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TH!$Q$10:$Q$2951</definedName>
    <definedName name="_C112">TH!$T$10:$T$2951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NXT!$A$11:$N$357</definedName>
    <definedName name="_xlnm._FilterDatabase" localSheetId="1" hidden="1">TH!$A$9:$AD$2830</definedName>
    <definedName name="_xlnm._FilterDatabase" localSheetId="15" hidden="1">TK!$A$1:$J$1</definedName>
    <definedName name="_M">TH!$B$10:$B$2951</definedName>
    <definedName name="_N111">TH!$P$10:$P$2951</definedName>
    <definedName name="_N112">TH!$S$10:$S$2951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TH!$J$10:$J$2951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TH!$H$10:$H$2951</definedName>
    <definedName name="KHC">TH!$M$10:$M$2951</definedName>
    <definedName name="KHN">TH!$L$10:$L$2951</definedName>
    <definedName name="Loai" localSheetId="25">OFFSET('[3]NK-SC'!$J$11,,,COUNTA('[3]NK-SC'!$J$11:$J$3855))</definedName>
    <definedName name="Loai">OFFSET(TH!$N$5,,,COUNTA(TH!$N$5:$N$41261))</definedName>
    <definedName name="Loai1">OFFSET(TH!$O$5,,,COUNTA(TH!$O$5:$O$41261))</definedName>
    <definedName name="Loai2">OFFSET(TH!$R$5,,,COUNTA(TH!$R$5:$R$41261))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OFFSET(TH!$U$5,,,COUNTA(TH!$U$5:$U$41261))</definedName>
    <definedName name="Loai5">OFFSET(TH!$V$5,,,COUNTA(TH!$V$5:$V$41261))</definedName>
    <definedName name="Loai6">OFFSET(TH!$Z$5,,,COUNTA(TH!$Z$5:$Z$41261))</definedName>
    <definedName name="Loai7">OFFSET(TH!$W$5,,,COUNTA(TH!$W$5:$W$41261))</definedName>
    <definedName name="Loai8">OFFSET(TH!$X$5,,,COUNTA(TH!$X$5:$X$41261))</definedName>
    <definedName name="Loai9">OFFSET(TH!$Y$5,,,COUNTA(TH!$Y$5:$Y$41261))</definedName>
    <definedName name="MH">TH!$F$10:$F$2951</definedName>
    <definedName name="NXT">NXT!$A$12:$A$679</definedName>
    <definedName name="_xlnm.Print_Area" localSheetId="4">'111'!$A$1:$J$65</definedName>
    <definedName name="_xlnm.Print_Area" localSheetId="6">'112'!$A$1:$I$57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NXT!$B$1:$L$362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TH!$I$10:$I$2951</definedName>
    <definedName name="TH">TH!$K$10:$K$2951</definedName>
    <definedName name="TM">TH!$A$10:$M$2951</definedName>
  </definedNames>
  <calcPr calcId="144525"/>
</workbook>
</file>

<file path=xl/calcChain.xml><?xml version="1.0" encoding="utf-8"?>
<calcChain xmlns="http://schemas.openxmlformats.org/spreadsheetml/2006/main">
  <c r="AB203" i="34" l="1"/>
  <c r="AB202" i="34"/>
  <c r="AB189" i="34"/>
  <c r="AB188" i="34"/>
  <c r="AB187" i="34"/>
  <c r="AB186" i="34"/>
  <c r="AB173" i="34"/>
  <c r="AB172" i="34"/>
  <c r="AB171" i="34"/>
  <c r="AB170" i="34"/>
  <c r="AB169" i="34"/>
  <c r="AB168" i="34"/>
  <c r="AB167" i="34"/>
  <c r="AB166" i="34"/>
  <c r="AB165" i="34"/>
  <c r="AB164" i="34"/>
  <c r="AB163" i="34"/>
  <c r="AB162" i="34"/>
  <c r="AB161" i="34"/>
  <c r="AB160" i="34"/>
  <c r="AB159" i="34"/>
  <c r="AB158" i="34"/>
  <c r="AB157" i="34"/>
  <c r="AB156" i="34"/>
  <c r="AB155" i="34"/>
  <c r="AB154" i="34"/>
  <c r="AB153" i="34"/>
  <c r="AB152" i="34"/>
  <c r="AB151" i="34"/>
  <c r="AB150" i="34"/>
  <c r="AB149" i="34"/>
  <c r="AB148" i="34"/>
  <c r="AB147" i="34"/>
  <c r="AB146" i="34"/>
  <c r="AB145" i="34"/>
  <c r="AB144" i="34"/>
  <c r="AB143" i="34"/>
  <c r="A39" i="70"/>
  <c r="A40" i="70"/>
  <c r="A41" i="70"/>
  <c r="A42" i="70"/>
  <c r="A20" i="70"/>
  <c r="A21" i="70"/>
  <c r="A22" i="70"/>
  <c r="A23" i="70"/>
  <c r="A24" i="70"/>
  <c r="A25" i="70"/>
  <c r="A26" i="70"/>
  <c r="A27" i="70"/>
  <c r="A28" i="70"/>
  <c r="A29" i="70"/>
  <c r="A30" i="70"/>
  <c r="A31" i="70"/>
  <c r="A32" i="70"/>
  <c r="A33" i="70"/>
  <c r="A34" i="70"/>
  <c r="A35" i="70"/>
  <c r="A36" i="70"/>
  <c r="A37" i="70"/>
  <c r="A38" i="70"/>
  <c r="AB205" i="34"/>
  <c r="AB206" i="34"/>
  <c r="AB207" i="34"/>
  <c r="AB208" i="34"/>
  <c r="AB209" i="34"/>
  <c r="AB210" i="34"/>
  <c r="AB211" i="34"/>
  <c r="AB212" i="34"/>
  <c r="AB213" i="34"/>
  <c r="AB214" i="34"/>
  <c r="AB215" i="34"/>
  <c r="AB216" i="34"/>
  <c r="AB217" i="34"/>
  <c r="AB218" i="34"/>
  <c r="AB219" i="34"/>
  <c r="AB220" i="34"/>
  <c r="AB221" i="34"/>
  <c r="AB222" i="34"/>
  <c r="AB223" i="34"/>
  <c r="AB224" i="34"/>
  <c r="AB225" i="34"/>
  <c r="AB226" i="34"/>
  <c r="AB227" i="34"/>
  <c r="AB228" i="34"/>
  <c r="AB229" i="34"/>
  <c r="AB230" i="34"/>
  <c r="AB231" i="34"/>
  <c r="AB232" i="34"/>
  <c r="AB233" i="34"/>
  <c r="AB234" i="34"/>
  <c r="AB235" i="34"/>
  <c r="AB236" i="34"/>
  <c r="AB237" i="34"/>
  <c r="AB238" i="34"/>
  <c r="AB239" i="34"/>
  <c r="AB240" i="34"/>
  <c r="AB241" i="34"/>
  <c r="AB242" i="34"/>
  <c r="AB243" i="34"/>
  <c r="AB244" i="34"/>
  <c r="AB245" i="34"/>
  <c r="AB246" i="34"/>
  <c r="AB247" i="34"/>
  <c r="AB248" i="34"/>
  <c r="AB249" i="34"/>
  <c r="AB250" i="34"/>
  <c r="AB251" i="34"/>
  <c r="AB252" i="34"/>
  <c r="AB253" i="34"/>
  <c r="AB254" i="34"/>
  <c r="AB255" i="34"/>
  <c r="AB256" i="34"/>
  <c r="AB257" i="34"/>
  <c r="AB258" i="34"/>
  <c r="AB259" i="34"/>
  <c r="AB260" i="34"/>
  <c r="AB261" i="34"/>
  <c r="AB262" i="34"/>
  <c r="AB263" i="34"/>
  <c r="AB264" i="34"/>
  <c r="AB265" i="34"/>
  <c r="AB266" i="34"/>
  <c r="AB267" i="34"/>
  <c r="AB268" i="34"/>
  <c r="AB269" i="34"/>
  <c r="AB270" i="34"/>
  <c r="AB271" i="34"/>
  <c r="AB272" i="34"/>
  <c r="AB273" i="34"/>
  <c r="AB274" i="34"/>
  <c r="AB275" i="34"/>
  <c r="AB276" i="34"/>
  <c r="AB277" i="34"/>
  <c r="AB278" i="34"/>
  <c r="AB279" i="34"/>
  <c r="AB280" i="34"/>
  <c r="AB281" i="34"/>
  <c r="AB282" i="34"/>
  <c r="AB283" i="34"/>
  <c r="AB284" i="34"/>
  <c r="AB285" i="34"/>
  <c r="AB286" i="34"/>
  <c r="AB287" i="34"/>
  <c r="AB288" i="34"/>
  <c r="AB289" i="34"/>
  <c r="AB290" i="34"/>
  <c r="AB291" i="34"/>
  <c r="AB292" i="34"/>
  <c r="AB293" i="34"/>
  <c r="AB294" i="34"/>
  <c r="AB295" i="34"/>
  <c r="AB296" i="34"/>
  <c r="AB297" i="34"/>
  <c r="AB298" i="34"/>
  <c r="AB299" i="34"/>
  <c r="AB300" i="34"/>
  <c r="AB301" i="34"/>
  <c r="AB302" i="34"/>
  <c r="AB303" i="34"/>
  <c r="AB304" i="34"/>
  <c r="AB305" i="34"/>
  <c r="AB306" i="34"/>
  <c r="AB307" i="34"/>
  <c r="AB308" i="34"/>
  <c r="AB309" i="34"/>
  <c r="AB310" i="34"/>
  <c r="AB311" i="34"/>
  <c r="AB312" i="34"/>
  <c r="AB313" i="34"/>
  <c r="AB314" i="34"/>
  <c r="AB315" i="34"/>
  <c r="AB316" i="34"/>
  <c r="AB317" i="34"/>
  <c r="AB318" i="34"/>
  <c r="AB319" i="34"/>
  <c r="AB320" i="34"/>
  <c r="AB321" i="34"/>
  <c r="AB322" i="34"/>
  <c r="AB323" i="34"/>
  <c r="AB324" i="34"/>
  <c r="AB325" i="34"/>
  <c r="AB326" i="34"/>
  <c r="AB327" i="34"/>
  <c r="AB328" i="34"/>
  <c r="AB329" i="34"/>
  <c r="AB330" i="34"/>
  <c r="AB331" i="34"/>
  <c r="AB332" i="34"/>
  <c r="AB333" i="34"/>
  <c r="AB334" i="34"/>
  <c r="AB335" i="34"/>
  <c r="AB336" i="34"/>
  <c r="AB337" i="34"/>
  <c r="AB338" i="34"/>
  <c r="AB339" i="34"/>
  <c r="AB340" i="34"/>
  <c r="AB341" i="34"/>
  <c r="AB342" i="34"/>
  <c r="AB343" i="34"/>
  <c r="AB344" i="34"/>
  <c r="AB345" i="34"/>
  <c r="AB346" i="34"/>
  <c r="AB347" i="34"/>
  <c r="AB348" i="34"/>
  <c r="AB349" i="34"/>
  <c r="AB350" i="34"/>
  <c r="AB351" i="34"/>
  <c r="AB352" i="34"/>
  <c r="AB353" i="34"/>
  <c r="AB354" i="34"/>
  <c r="AB355" i="34"/>
  <c r="AB356" i="34"/>
  <c r="AB357" i="34"/>
  <c r="AB358" i="34"/>
  <c r="AB359" i="34"/>
  <c r="AB360" i="34"/>
  <c r="AB361" i="34"/>
  <c r="AB362" i="34"/>
  <c r="AB363" i="34"/>
  <c r="AB364" i="34"/>
  <c r="AB365" i="34"/>
  <c r="AB366" i="34"/>
  <c r="AB367" i="34"/>
  <c r="AB368" i="34"/>
  <c r="AB369" i="34"/>
  <c r="AB370" i="34"/>
  <c r="AB371" i="34"/>
  <c r="AB372" i="34"/>
  <c r="AB373" i="34"/>
  <c r="AB374" i="34"/>
  <c r="AB375" i="34"/>
  <c r="AB376" i="34"/>
  <c r="AB377" i="34"/>
  <c r="AB378" i="34"/>
  <c r="AB379" i="34"/>
  <c r="AB380" i="34"/>
  <c r="AB381" i="34"/>
  <c r="AB382" i="34"/>
  <c r="AB383" i="34"/>
  <c r="AB384" i="34"/>
  <c r="AB385" i="34"/>
  <c r="AB386" i="34"/>
  <c r="AB387" i="34"/>
  <c r="AB388" i="34"/>
  <c r="AB389" i="34"/>
  <c r="AB390" i="34"/>
  <c r="AB391" i="34"/>
  <c r="AB392" i="34"/>
  <c r="AB393" i="34"/>
  <c r="AB394" i="34"/>
  <c r="AB395" i="34"/>
  <c r="AB396" i="34"/>
  <c r="AB397" i="34"/>
  <c r="AB398" i="34"/>
  <c r="AB399" i="34"/>
  <c r="AB400" i="34"/>
  <c r="AB401" i="34"/>
  <c r="AB402" i="34"/>
  <c r="AB403" i="34"/>
  <c r="AB404" i="34"/>
  <c r="AB405" i="34"/>
  <c r="AB406" i="34"/>
  <c r="AB407" i="34"/>
  <c r="AB408" i="34"/>
  <c r="AB409" i="34"/>
  <c r="AB410" i="34"/>
  <c r="AB411" i="34"/>
  <c r="AB412" i="34"/>
  <c r="AB413" i="34"/>
  <c r="AB414" i="34"/>
  <c r="AB415" i="34"/>
  <c r="AB416" i="34"/>
  <c r="AB417" i="34"/>
  <c r="AB418" i="34"/>
  <c r="AB419" i="34"/>
  <c r="AB420" i="34"/>
  <c r="AB421" i="34"/>
  <c r="AB422" i="34"/>
  <c r="AB423" i="34"/>
  <c r="AB424" i="34"/>
  <c r="AB425" i="34"/>
  <c r="AB426" i="34"/>
  <c r="AB427" i="34"/>
  <c r="AB428" i="34"/>
  <c r="AB429" i="34"/>
  <c r="AB430" i="34"/>
  <c r="AB431" i="34"/>
  <c r="AB432" i="34"/>
  <c r="AB433" i="34"/>
  <c r="AB434" i="34"/>
  <c r="AB435" i="34"/>
  <c r="AB436" i="34"/>
  <c r="AB437" i="34"/>
  <c r="AB438" i="34"/>
  <c r="AB439" i="34"/>
  <c r="AB440" i="34"/>
  <c r="AB441" i="34"/>
  <c r="AB442" i="34"/>
  <c r="AB443" i="34"/>
  <c r="AB444" i="34"/>
  <c r="AB445" i="34"/>
  <c r="AB446" i="34"/>
  <c r="AB447" i="34"/>
  <c r="AB448" i="34"/>
  <c r="AB449" i="34"/>
  <c r="AB450" i="34"/>
  <c r="AB451" i="34"/>
  <c r="AB452" i="34"/>
  <c r="AB453" i="34"/>
  <c r="AB454" i="34"/>
  <c r="AB455" i="34"/>
  <c r="AB456" i="34"/>
  <c r="AB457" i="34"/>
  <c r="AB458" i="34"/>
  <c r="AB459" i="34"/>
  <c r="AB460" i="34"/>
  <c r="AB461" i="34"/>
  <c r="AB462" i="34"/>
  <c r="AB463" i="34"/>
  <c r="AB464" i="34"/>
  <c r="AB465" i="34"/>
  <c r="AB466" i="34"/>
  <c r="AB467" i="34"/>
  <c r="AB468" i="34"/>
  <c r="AB469" i="34"/>
  <c r="AB470" i="34"/>
  <c r="AB471" i="34"/>
  <c r="AB472" i="34"/>
  <c r="AB473" i="34"/>
  <c r="AB474" i="34"/>
  <c r="AB475" i="34"/>
  <c r="AB476" i="34"/>
  <c r="AB477" i="34"/>
  <c r="AB478" i="34"/>
  <c r="AB479" i="34"/>
  <c r="AB480" i="34"/>
  <c r="AB481" i="34"/>
  <c r="AB482" i="34"/>
  <c r="AB483" i="34"/>
  <c r="AB484" i="34"/>
  <c r="AB485" i="34"/>
  <c r="AB486" i="34"/>
  <c r="AB487" i="34"/>
  <c r="AB488" i="34"/>
  <c r="AB489" i="34"/>
  <c r="AB490" i="34"/>
  <c r="AB491" i="34"/>
  <c r="AB492" i="34"/>
  <c r="AB493" i="34"/>
  <c r="AB494" i="34"/>
  <c r="AB495" i="34"/>
  <c r="AB496" i="34"/>
  <c r="AB497" i="34"/>
  <c r="AB498" i="34"/>
  <c r="AB499" i="34"/>
  <c r="AB500" i="34"/>
  <c r="AB501" i="34"/>
  <c r="AB502" i="34"/>
  <c r="AB503" i="34"/>
  <c r="AB504" i="34"/>
  <c r="AB505" i="34"/>
  <c r="AB506" i="34"/>
  <c r="AB507" i="34"/>
  <c r="AB508" i="34"/>
  <c r="AB509" i="34"/>
  <c r="AB510" i="34"/>
  <c r="AB511" i="34"/>
  <c r="AB512" i="34"/>
  <c r="AB513" i="34"/>
  <c r="AB514" i="34"/>
  <c r="AB515" i="34"/>
  <c r="AB516" i="34"/>
  <c r="AB517" i="34"/>
  <c r="AB518" i="34"/>
  <c r="AB519" i="34"/>
  <c r="AB520" i="34"/>
  <c r="AB521" i="34"/>
  <c r="AB522" i="34"/>
  <c r="AB523" i="34"/>
  <c r="AB524" i="34"/>
  <c r="AB525" i="34"/>
  <c r="AB526" i="34"/>
  <c r="AB527" i="34"/>
  <c r="AB528" i="34"/>
  <c r="AB529" i="34"/>
  <c r="AB530" i="34"/>
  <c r="AB531" i="34"/>
  <c r="AB532" i="34"/>
  <c r="AB533" i="34"/>
  <c r="AB534" i="34"/>
  <c r="AB535" i="34"/>
  <c r="AB536" i="34"/>
  <c r="AB537" i="34"/>
  <c r="AB538" i="34"/>
  <c r="AB539" i="34"/>
  <c r="AB540" i="34"/>
  <c r="AB541" i="34"/>
  <c r="AB542" i="34"/>
  <c r="AB543" i="34"/>
  <c r="AB544" i="34"/>
  <c r="AB545" i="34"/>
  <c r="AB546" i="34"/>
  <c r="AB547" i="34"/>
  <c r="AB548" i="34"/>
  <c r="AB549" i="34"/>
  <c r="AB550" i="34"/>
  <c r="AB551" i="34"/>
  <c r="AB552" i="34"/>
  <c r="AB553" i="34"/>
  <c r="AB554" i="34"/>
  <c r="AB555" i="34"/>
  <c r="AB556" i="34"/>
  <c r="AB557" i="34"/>
  <c r="AB558" i="34"/>
  <c r="AB559" i="34"/>
  <c r="AB560" i="34"/>
  <c r="AB561" i="34"/>
  <c r="AB562" i="34"/>
  <c r="AB563" i="34"/>
  <c r="AB564" i="34"/>
  <c r="AB565" i="34"/>
  <c r="AB566" i="34"/>
  <c r="AB567" i="34"/>
  <c r="AB568" i="34"/>
  <c r="AB569" i="34"/>
  <c r="AB570" i="34"/>
  <c r="AB571" i="34"/>
  <c r="AB572" i="34"/>
  <c r="AB573" i="34"/>
  <c r="AB574" i="34"/>
  <c r="AB575" i="34"/>
  <c r="AB576" i="34"/>
  <c r="AB577" i="34"/>
  <c r="AB578" i="34"/>
  <c r="AB579" i="34"/>
  <c r="AB580" i="34"/>
  <c r="AB581" i="34"/>
  <c r="AB582" i="34"/>
  <c r="AB583" i="34"/>
  <c r="AB584" i="34"/>
  <c r="AB585" i="34"/>
  <c r="AB586" i="34"/>
  <c r="AB587" i="34"/>
  <c r="AB588" i="34"/>
  <c r="AB589" i="34"/>
  <c r="AB590" i="34"/>
  <c r="AB591" i="34"/>
  <c r="AB592" i="34"/>
  <c r="AB593" i="34"/>
  <c r="AB594" i="34"/>
  <c r="AB595" i="34"/>
  <c r="AB596" i="34"/>
  <c r="AB597" i="34"/>
  <c r="AB598" i="34"/>
  <c r="AB599" i="34"/>
  <c r="AB600" i="34"/>
  <c r="AB601" i="34"/>
  <c r="AB602" i="34"/>
  <c r="AB603" i="34"/>
  <c r="AB604" i="34"/>
  <c r="AB605" i="34"/>
  <c r="AB606" i="34"/>
  <c r="AB607" i="34"/>
  <c r="AB608" i="34"/>
  <c r="AB609" i="34"/>
  <c r="AB610" i="34"/>
  <c r="AB611" i="34"/>
  <c r="AB612" i="34"/>
  <c r="AB613" i="34"/>
  <c r="AB614" i="34"/>
  <c r="AB615" i="34"/>
  <c r="AB616" i="34"/>
  <c r="AB617" i="34"/>
  <c r="AB618" i="34"/>
  <c r="AB619" i="34"/>
  <c r="AB620" i="34"/>
  <c r="AB621" i="34"/>
  <c r="AB622" i="34"/>
  <c r="AB623" i="34"/>
  <c r="AB624" i="34"/>
  <c r="AB625" i="34"/>
  <c r="AB626" i="34"/>
  <c r="AB627" i="34"/>
  <c r="AB628" i="34"/>
  <c r="AB629" i="34"/>
  <c r="AB630" i="34"/>
  <c r="AB631" i="34"/>
  <c r="AB632" i="34"/>
  <c r="AB633" i="34"/>
  <c r="AB634" i="34"/>
  <c r="AB635" i="34"/>
  <c r="AB636" i="34"/>
  <c r="AB637" i="34"/>
  <c r="AB638" i="34"/>
  <c r="AB639" i="34"/>
  <c r="AB640" i="34"/>
  <c r="AB641" i="34"/>
  <c r="AB642" i="34"/>
  <c r="AB643" i="34"/>
  <c r="AB644" i="34"/>
  <c r="AB645" i="34"/>
  <c r="AB646" i="34"/>
  <c r="AB647" i="34"/>
  <c r="AB648" i="34"/>
  <c r="AB649" i="34"/>
  <c r="AB650" i="34"/>
  <c r="AB651" i="34"/>
  <c r="AB652" i="34"/>
  <c r="AB653" i="34"/>
  <c r="AB654" i="34"/>
  <c r="AB655" i="34"/>
  <c r="AB656" i="34"/>
  <c r="AB657" i="34"/>
  <c r="AB658" i="34"/>
  <c r="AB659" i="34"/>
  <c r="AB660" i="34"/>
  <c r="AB661" i="34"/>
  <c r="AB662" i="34"/>
  <c r="AB663" i="34"/>
  <c r="AB664" i="34"/>
  <c r="AB665" i="34"/>
  <c r="AB666" i="34"/>
  <c r="AB667" i="34"/>
  <c r="AB668" i="34"/>
  <c r="AB669" i="34"/>
  <c r="AB670" i="34"/>
  <c r="AB671" i="34"/>
  <c r="AB672" i="34"/>
  <c r="AB673" i="34"/>
  <c r="AB674" i="34"/>
  <c r="AB675" i="34"/>
  <c r="AB676" i="34"/>
  <c r="AB677" i="34"/>
  <c r="AB678" i="34"/>
  <c r="AB679" i="34"/>
  <c r="AB680" i="34"/>
  <c r="AB681" i="34"/>
  <c r="AB682" i="34"/>
  <c r="AB683" i="34"/>
  <c r="AB684" i="34"/>
  <c r="AB685" i="34"/>
  <c r="AB686" i="34"/>
  <c r="AB687" i="34"/>
  <c r="AB688" i="34"/>
  <c r="AB689" i="34"/>
  <c r="AB690" i="34"/>
  <c r="AB691" i="34"/>
  <c r="AB692" i="34"/>
  <c r="AB693" i="34"/>
  <c r="AB694" i="34"/>
  <c r="AB695" i="34"/>
  <c r="AB696" i="34"/>
  <c r="AB697" i="34"/>
  <c r="AB698" i="34"/>
  <c r="AB699" i="34"/>
  <c r="AB700" i="34"/>
  <c r="AB701" i="34"/>
  <c r="AB702" i="34"/>
  <c r="AB703" i="34"/>
  <c r="AB704" i="34"/>
  <c r="AB705" i="34"/>
  <c r="AB706" i="34"/>
  <c r="AB707" i="34"/>
  <c r="AB708" i="34"/>
  <c r="AB709" i="34"/>
  <c r="AB710" i="34"/>
  <c r="AB711" i="34"/>
  <c r="AB712" i="34"/>
  <c r="AB713" i="34"/>
  <c r="AB714" i="34"/>
  <c r="AB715" i="34"/>
  <c r="AB716" i="34"/>
  <c r="AB717" i="34"/>
  <c r="AB718" i="34"/>
  <c r="AB719" i="34"/>
  <c r="AB720" i="34"/>
  <c r="AB721" i="34"/>
  <c r="AB722" i="34"/>
  <c r="AB723" i="34"/>
  <c r="AB724" i="34"/>
  <c r="AB725" i="34"/>
  <c r="AB726" i="34"/>
  <c r="AB727" i="34"/>
  <c r="AB728" i="34"/>
  <c r="AB729" i="34"/>
  <c r="AB730" i="34"/>
  <c r="AB731" i="34"/>
  <c r="AB732" i="34"/>
  <c r="AB733" i="34"/>
  <c r="AB734" i="34"/>
  <c r="AB735" i="34"/>
  <c r="AB736" i="34"/>
  <c r="AB737" i="34"/>
  <c r="AB738" i="34"/>
  <c r="AB739" i="34"/>
  <c r="AB740" i="34"/>
  <c r="AB741" i="34"/>
  <c r="AB742" i="34"/>
  <c r="AB743" i="34"/>
  <c r="AB744" i="34"/>
  <c r="AB745" i="34"/>
  <c r="AB746" i="34"/>
  <c r="AB747" i="34"/>
  <c r="AB748" i="34"/>
  <c r="AB749" i="34"/>
  <c r="AB750" i="34"/>
  <c r="AB751" i="34"/>
  <c r="AB752" i="34"/>
  <c r="AB753" i="34"/>
  <c r="AB754" i="34"/>
  <c r="AB755" i="34"/>
  <c r="AB756" i="34"/>
  <c r="AB757" i="34"/>
  <c r="AB758" i="34"/>
  <c r="AB759" i="34"/>
  <c r="AB760" i="34"/>
  <c r="AB761" i="34"/>
  <c r="AB762" i="34"/>
  <c r="AB763" i="34"/>
  <c r="AB764" i="34"/>
  <c r="AB765" i="34"/>
  <c r="AB766" i="34"/>
  <c r="AB767" i="34"/>
  <c r="AB768" i="34"/>
  <c r="AB769" i="34"/>
  <c r="AB770" i="34"/>
  <c r="AB771" i="34"/>
  <c r="AB772" i="34"/>
  <c r="AB773" i="34"/>
  <c r="AB774" i="34"/>
  <c r="AB775" i="34"/>
  <c r="AB776" i="34"/>
  <c r="AB777" i="34"/>
  <c r="AB778" i="34"/>
  <c r="AB779" i="34"/>
  <c r="AB780" i="34"/>
  <c r="AB781" i="34"/>
  <c r="AB782" i="34"/>
  <c r="AB783" i="34"/>
  <c r="AB784" i="34"/>
  <c r="AB785" i="34"/>
  <c r="AB786" i="34"/>
  <c r="AB787" i="34"/>
  <c r="AB788" i="34"/>
  <c r="AB789" i="34"/>
  <c r="AB790" i="34"/>
  <c r="AB791" i="34"/>
  <c r="AB792" i="34"/>
  <c r="AB793" i="34"/>
  <c r="AB794" i="34"/>
  <c r="AB204" i="34"/>
  <c r="B19" i="55" l="1"/>
  <c r="A19" i="55"/>
  <c r="G19" i="55" a="1"/>
  <c r="G19" i="55" s="1"/>
  <c r="I19" i="55" a="1"/>
  <c r="I19" i="55" s="1"/>
  <c r="K19" i="55" l="1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T8" i="43"/>
  <c r="C443" i="34"/>
  <c r="C442" i="34"/>
  <c r="C441" i="34"/>
  <c r="C440" i="34"/>
  <c r="C439" i="34"/>
  <c r="C438" i="34"/>
  <c r="C437" i="34"/>
  <c r="C436" i="34"/>
  <c r="C435" i="34"/>
  <c r="C434" i="34"/>
  <c r="C433" i="34"/>
  <c r="C432" i="34"/>
  <c r="C431" i="34"/>
  <c r="C430" i="34"/>
  <c r="C429" i="34"/>
  <c r="C428" i="34"/>
  <c r="C427" i="34"/>
  <c r="C426" i="34"/>
  <c r="C425" i="34"/>
  <c r="C424" i="34"/>
  <c r="C423" i="34"/>
  <c r="C422" i="34"/>
  <c r="C421" i="34"/>
  <c r="C420" i="34"/>
  <c r="C419" i="34"/>
  <c r="C418" i="34"/>
  <c r="C417" i="34"/>
  <c r="C416" i="34"/>
  <c r="C415" i="34"/>
  <c r="C414" i="34"/>
  <c r="C413" i="34"/>
  <c r="C412" i="34"/>
  <c r="C411" i="34"/>
  <c r="C410" i="34"/>
  <c r="C409" i="34"/>
  <c r="C408" i="34"/>
  <c r="C407" i="34"/>
  <c r="C406" i="34"/>
  <c r="C405" i="34"/>
  <c r="C404" i="34"/>
  <c r="C403" i="34"/>
  <c r="C402" i="34"/>
  <c r="C401" i="34"/>
  <c r="C400" i="34"/>
  <c r="C399" i="34"/>
  <c r="C398" i="34"/>
  <c r="C397" i="34"/>
  <c r="C396" i="34"/>
  <c r="C395" i="34"/>
  <c r="C394" i="34"/>
  <c r="C393" i="34"/>
  <c r="C392" i="34"/>
  <c r="C391" i="34"/>
  <c r="C390" i="34"/>
  <c r="C389" i="34"/>
  <c r="C388" i="34"/>
  <c r="C387" i="34"/>
  <c r="C386" i="34"/>
  <c r="C385" i="34"/>
  <c r="C384" i="34"/>
  <c r="C383" i="34"/>
  <c r="C382" i="34"/>
  <c r="C381" i="34"/>
  <c r="C380" i="34"/>
  <c r="C379" i="34"/>
  <c r="C378" i="34"/>
  <c r="C377" i="34"/>
  <c r="C376" i="34"/>
  <c r="C375" i="34"/>
  <c r="C374" i="34"/>
  <c r="C373" i="34"/>
  <c r="C372" i="34"/>
  <c r="C371" i="34"/>
  <c r="C370" i="34"/>
  <c r="C369" i="34"/>
  <c r="C368" i="34"/>
  <c r="C367" i="34"/>
  <c r="C366" i="34"/>
  <c r="C365" i="34"/>
  <c r="C364" i="34"/>
  <c r="C363" i="34"/>
  <c r="C362" i="34"/>
  <c r="C361" i="34"/>
  <c r="C360" i="34"/>
  <c r="C359" i="34"/>
  <c r="C358" i="34"/>
  <c r="C357" i="34"/>
  <c r="C356" i="34"/>
  <c r="C355" i="34"/>
  <c r="C354" i="34"/>
  <c r="C353" i="34"/>
  <c r="C352" i="34"/>
  <c r="C351" i="34"/>
  <c r="C350" i="34"/>
  <c r="C349" i="34"/>
  <c r="C348" i="34"/>
  <c r="C347" i="34"/>
  <c r="C346" i="34"/>
  <c r="C345" i="34"/>
  <c r="C344" i="34"/>
  <c r="C343" i="34"/>
  <c r="C342" i="34"/>
  <c r="C341" i="34"/>
  <c r="C340" i="34"/>
  <c r="C339" i="34"/>
  <c r="C338" i="34"/>
  <c r="C337" i="34"/>
  <c r="C336" i="34"/>
  <c r="C335" i="34"/>
  <c r="C334" i="34"/>
  <c r="C333" i="34"/>
  <c r="C332" i="34"/>
  <c r="C331" i="34"/>
  <c r="C330" i="34"/>
  <c r="C329" i="34"/>
  <c r="C328" i="34"/>
  <c r="C327" i="34"/>
  <c r="C326" i="34"/>
  <c r="C325" i="34"/>
  <c r="C324" i="34"/>
  <c r="C323" i="34"/>
  <c r="C322" i="34"/>
  <c r="C321" i="34"/>
  <c r="C320" i="34"/>
  <c r="C319" i="34"/>
  <c r="C318" i="34"/>
  <c r="C317" i="34"/>
  <c r="C316" i="34"/>
  <c r="C315" i="34"/>
  <c r="C314" i="34"/>
  <c r="C313" i="34"/>
  <c r="C312" i="34"/>
  <c r="C311" i="34"/>
  <c r="C310" i="34"/>
  <c r="C309" i="34"/>
  <c r="C308" i="34"/>
  <c r="C307" i="34"/>
  <c r="C306" i="34"/>
  <c r="C305" i="34"/>
  <c r="C304" i="34"/>
  <c r="C303" i="34"/>
  <c r="C302" i="34"/>
  <c r="C301" i="34"/>
  <c r="C300" i="34"/>
  <c r="C299" i="34"/>
  <c r="C298" i="34"/>
  <c r="C297" i="34"/>
  <c r="C296" i="34"/>
  <c r="C295" i="34"/>
  <c r="C294" i="34"/>
  <c r="C293" i="34"/>
  <c r="C292" i="34"/>
  <c r="C291" i="34"/>
  <c r="C290" i="34"/>
  <c r="C289" i="34"/>
  <c r="C288" i="34"/>
  <c r="C287" i="34"/>
  <c r="C286" i="34"/>
  <c r="C285" i="34"/>
  <c r="C284" i="34"/>
  <c r="C283" i="34"/>
  <c r="C282" i="34"/>
  <c r="C281" i="34"/>
  <c r="C280" i="34"/>
  <c r="C279" i="34"/>
  <c r="C278" i="34"/>
  <c r="C277" i="34"/>
  <c r="C276" i="34"/>
  <c r="C275" i="34"/>
  <c r="C274" i="34"/>
  <c r="C273" i="34"/>
  <c r="C272" i="34"/>
  <c r="C271" i="34"/>
  <c r="C270" i="34"/>
  <c r="C269" i="34"/>
  <c r="C268" i="34"/>
  <c r="C267" i="34"/>
  <c r="C266" i="34"/>
  <c r="C265" i="34"/>
  <c r="C264" i="34"/>
  <c r="C263" i="34"/>
  <c r="C262" i="34"/>
  <c r="C261" i="34"/>
  <c r="C260" i="34"/>
  <c r="C259" i="34"/>
  <c r="C258" i="34"/>
  <c r="C257" i="34"/>
  <c r="C256" i="34"/>
  <c r="C255" i="34"/>
  <c r="C254" i="34"/>
  <c r="C253" i="34"/>
  <c r="C252" i="34"/>
  <c r="C251" i="34"/>
  <c r="C250" i="34"/>
  <c r="C249" i="34"/>
  <c r="C248" i="34"/>
  <c r="C247" i="34"/>
  <c r="C246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C232" i="34"/>
  <c r="C231" i="34"/>
  <c r="C230" i="34"/>
  <c r="C229" i="34"/>
  <c r="C228" i="34"/>
  <c r="C227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C211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C176" i="34"/>
  <c r="C175" i="34"/>
  <c r="C174" i="34"/>
  <c r="C173" i="34"/>
  <c r="C172" i="34"/>
  <c r="C171" i="34"/>
  <c r="C170" i="34"/>
  <c r="C169" i="34"/>
  <c r="C168" i="34"/>
  <c r="C167" i="34"/>
  <c r="C166" i="34"/>
  <c r="C165" i="34"/>
  <c r="C164" i="34"/>
  <c r="C163" i="34"/>
  <c r="C162" i="34"/>
  <c r="C161" i="34"/>
  <c r="C160" i="34"/>
  <c r="C159" i="34"/>
  <c r="C158" i="34"/>
  <c r="C157" i="34"/>
  <c r="C156" i="34"/>
  <c r="C155" i="34"/>
  <c r="C154" i="34"/>
  <c r="C153" i="34"/>
  <c r="C152" i="34"/>
  <c r="C151" i="34"/>
  <c r="C150" i="34"/>
  <c r="C149" i="34"/>
  <c r="C148" i="34"/>
  <c r="C147" i="34"/>
  <c r="C146" i="34"/>
  <c r="C145" i="34"/>
  <c r="C144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X25" i="34"/>
  <c r="Y25" i="34"/>
  <c r="N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8" i="34"/>
  <c r="X2358" i="34"/>
  <c r="Y2358" i="34"/>
  <c r="N2359" i="34"/>
  <c r="X2359" i="34"/>
  <c r="Y2359" i="34"/>
  <c r="N2360" i="34"/>
  <c r="X2360" i="34"/>
  <c r="Y2360" i="34"/>
  <c r="N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X2449" i="34"/>
  <c r="Y2449" i="34"/>
  <c r="N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61" i="34" l="1"/>
  <c r="B2359" i="34"/>
  <c r="B1841" i="34"/>
  <c r="B1839" i="34"/>
  <c r="B1730" i="34"/>
  <c r="B1536" i="34"/>
  <c r="B1534" i="34"/>
  <c r="B1336" i="34"/>
  <c r="B994" i="34"/>
  <c r="R2359" i="34" l="1"/>
  <c r="S2359" i="34"/>
  <c r="W2359" i="34"/>
  <c r="T2359" i="34"/>
  <c r="U2359" i="34"/>
  <c r="A2359" i="34"/>
  <c r="T2361" i="34"/>
  <c r="U2361" i="34"/>
  <c r="R2361" i="34"/>
  <c r="S2361" i="34"/>
  <c r="W2361" i="34"/>
  <c r="A2361" i="34"/>
  <c r="S1839" i="34"/>
  <c r="W1839" i="34"/>
  <c r="T1839" i="34"/>
  <c r="U1839" i="34"/>
  <c r="R1839" i="34"/>
  <c r="A1839" i="34"/>
  <c r="T1536" i="34"/>
  <c r="U1536" i="34"/>
  <c r="R1536" i="34"/>
  <c r="S1536" i="34"/>
  <c r="W1536" i="34"/>
  <c r="A1536" i="34"/>
  <c r="W994" i="34"/>
  <c r="U994" i="34"/>
  <c r="A994" i="34"/>
  <c r="T1730" i="34"/>
  <c r="U1730" i="34"/>
  <c r="R1730" i="34"/>
  <c r="S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R1841" i="34"/>
  <c r="S1841" i="34"/>
  <c r="W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0" i="34"/>
  <c r="R2830" i="34"/>
  <c r="S2830" i="34"/>
  <c r="T2830" i="34"/>
  <c r="X2830" i="34"/>
  <c r="Y2830" i="34"/>
  <c r="B2702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43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2" i="34"/>
  <c r="U2702" i="34"/>
  <c r="A2702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W999" i="34" l="1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B105" i="34"/>
  <c r="B104" i="34"/>
  <c r="W104" i="34" l="1"/>
  <c r="U104" i="34"/>
  <c r="A104" i="34"/>
  <c r="U105" i="34"/>
  <c r="W105" i="34"/>
  <c r="A105" i="34"/>
  <c r="B1538" i="34" l="1"/>
  <c r="B2670" i="34"/>
  <c r="W1538" i="34" l="1"/>
  <c r="U1538" i="34"/>
  <c r="A1538" i="34"/>
  <c r="W2670" i="34"/>
  <c r="U2670" i="34"/>
  <c r="A2670" i="34"/>
  <c r="B2669" i="34"/>
  <c r="B2668" i="34"/>
  <c r="B46" i="34"/>
  <c r="U2668" i="34" l="1"/>
  <c r="W2668" i="34"/>
  <c r="A2668" i="34"/>
  <c r="W2669" i="34"/>
  <c r="U2669" i="34"/>
  <c r="A2669" i="34"/>
  <c r="U46" i="34"/>
  <c r="W46" i="34"/>
  <c r="A46" i="34"/>
  <c r="B2748" i="34"/>
  <c r="B2749" i="34"/>
  <c r="B2750" i="34"/>
  <c r="B2751" i="34"/>
  <c r="B2752" i="34"/>
  <c r="B2753" i="34"/>
  <c r="B2754" i="34"/>
  <c r="B2755" i="34"/>
  <c r="B2756" i="34"/>
  <c r="B2757" i="34"/>
  <c r="B2759" i="34"/>
  <c r="B2760" i="34"/>
  <c r="B2761" i="34"/>
  <c r="B2762" i="34"/>
  <c r="B2763" i="34"/>
  <c r="B2764" i="34"/>
  <c r="B2765" i="34"/>
  <c r="B2767" i="34"/>
  <c r="B2768" i="34"/>
  <c r="B2769" i="34"/>
  <c r="B2770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44" i="34"/>
  <c r="B2445" i="34"/>
  <c r="B2446" i="34"/>
  <c r="B2447" i="34"/>
  <c r="B2448" i="34"/>
  <c r="B2458" i="34"/>
  <c r="B2459" i="34"/>
  <c r="B2460" i="34"/>
  <c r="B2461" i="34"/>
  <c r="B2462" i="34"/>
  <c r="B2463" i="34"/>
  <c r="B2464" i="34"/>
  <c r="B2466" i="34"/>
  <c r="B2467" i="34"/>
  <c r="B2468" i="34"/>
  <c r="B2469" i="34"/>
  <c r="B2470" i="34"/>
  <c r="B2471" i="34"/>
  <c r="B2475" i="34"/>
  <c r="B2476" i="34"/>
  <c r="B2477" i="34"/>
  <c r="B2478" i="34"/>
  <c r="B2479" i="34"/>
  <c r="B2480" i="34"/>
  <c r="B2481" i="34"/>
  <c r="B2482" i="34"/>
  <c r="B2483" i="34"/>
  <c r="B2484" i="34"/>
  <c r="B2490" i="34"/>
  <c r="B2491" i="34"/>
  <c r="B2492" i="34"/>
  <c r="B2493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635" i="34"/>
  <c r="B2636" i="34"/>
  <c r="B2637" i="34"/>
  <c r="B2638" i="34"/>
  <c r="B2639" i="34"/>
  <c r="B2640" i="34"/>
  <c r="B2641" i="34"/>
  <c r="B2642" i="34"/>
  <c r="B2671" i="34"/>
  <c r="B2672" i="34"/>
  <c r="B2673" i="34"/>
  <c r="B2674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494" i="34"/>
  <c r="B2453" i="34"/>
  <c r="B2543" i="34"/>
  <c r="B2544" i="34"/>
  <c r="B2545" i="34"/>
  <c r="B2546" i="34"/>
  <c r="B2547" i="34"/>
  <c r="B2548" i="34"/>
  <c r="B2549" i="34"/>
  <c r="B2550" i="34"/>
  <c r="B2551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14" i="34"/>
  <c r="B2613" i="34"/>
  <c r="B2612" i="34"/>
  <c r="B261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52" i="34"/>
  <c r="B2451" i="34"/>
  <c r="B2489" i="34"/>
  <c r="B2488" i="34"/>
  <c r="B2824" i="34"/>
  <c r="B2823" i="34"/>
  <c r="B2822" i="34"/>
  <c r="B2667" i="34"/>
  <c r="B2487" i="34"/>
  <c r="B2486" i="34"/>
  <c r="B2485" i="34"/>
  <c r="B2457" i="34"/>
  <c r="B2456" i="34"/>
  <c r="B2455" i="34"/>
  <c r="B2450" i="34"/>
  <c r="B2449" i="34"/>
  <c r="B2474" i="34"/>
  <c r="B2473" i="34"/>
  <c r="B2472" i="34"/>
  <c r="B2465" i="34"/>
  <c r="B2443" i="34"/>
  <c r="B2441" i="34"/>
  <c r="B2442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1" i="34"/>
  <c r="B2700" i="34"/>
  <c r="B2686" i="34"/>
  <c r="B2634" i="34"/>
  <c r="B2758" i="34"/>
  <c r="B2747" i="34"/>
  <c r="B2746" i="34"/>
  <c r="B2745" i="34"/>
  <c r="B2744" i="34"/>
  <c r="B2743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17" i="34"/>
  <c r="B2616" i="34"/>
  <c r="B2615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781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20" i="34"/>
  <c r="B2619" i="34"/>
  <c r="B2618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454" i="34"/>
  <c r="B2495" i="34"/>
  <c r="B2780" i="34"/>
  <c r="B2779" i="34"/>
  <c r="B2778" i="34"/>
  <c r="B2777" i="34"/>
  <c r="B2776" i="34"/>
  <c r="B2775" i="34"/>
  <c r="B2774" i="34"/>
  <c r="B2773" i="34"/>
  <c r="B2772" i="34"/>
  <c r="B2771" i="34"/>
  <c r="B2766" i="34"/>
  <c r="B2020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79" i="34"/>
  <c r="B2080" i="34"/>
  <c r="B2081" i="34"/>
  <c r="B2082" i="34"/>
  <c r="B2083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1978" i="34"/>
  <c r="B2374" i="34"/>
  <c r="B2375" i="34"/>
  <c r="B2376" i="34"/>
  <c r="B2377" i="34"/>
  <c r="B2378" i="34"/>
  <c r="B2379" i="34"/>
  <c r="B2380" i="34"/>
  <c r="B2430" i="34"/>
  <c r="B2431" i="34"/>
  <c r="B2432" i="34"/>
  <c r="B2433" i="34"/>
  <c r="B24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8" i="34"/>
  <c r="B2049" i="34"/>
  <c r="B2050" i="34"/>
  <c r="B2097" i="34"/>
  <c r="B2098" i="34"/>
  <c r="B2100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019" i="34"/>
  <c r="B2198" i="34"/>
  <c r="B209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34" i="34"/>
  <c r="U2434" i="34"/>
  <c r="A2434" i="34"/>
  <c r="W2430" i="34"/>
  <c r="U2430" i="34"/>
  <c r="A2430" i="34"/>
  <c r="U2377" i="34"/>
  <c r="W2377" i="34"/>
  <c r="A2377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1" i="34"/>
  <c r="W2771" i="34"/>
  <c r="A2771" i="34"/>
  <c r="U2775" i="34"/>
  <c r="W2775" i="34"/>
  <c r="A2775" i="34"/>
  <c r="U2779" i="34"/>
  <c r="W2779" i="34"/>
  <c r="A2779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U2620" i="34"/>
  <c r="W2620" i="34"/>
  <c r="A2620" i="34"/>
  <c r="W2658" i="34"/>
  <c r="U2658" i="34"/>
  <c r="A2658" i="34"/>
  <c r="W2662" i="34"/>
  <c r="U2662" i="34"/>
  <c r="A2662" i="34"/>
  <c r="W2666" i="34"/>
  <c r="U2666" i="34"/>
  <c r="A2666" i="34"/>
  <c r="W2554" i="34"/>
  <c r="U2554" i="34"/>
  <c r="A2554" i="34"/>
  <c r="W2558" i="34"/>
  <c r="U2558" i="34"/>
  <c r="A2558" i="34"/>
  <c r="W2562" i="34"/>
  <c r="U2562" i="34"/>
  <c r="A2562" i="34"/>
  <c r="W2566" i="34"/>
  <c r="U2566" i="34"/>
  <c r="A2566" i="34"/>
  <c r="W2570" i="34"/>
  <c r="U2570" i="34"/>
  <c r="A2570" i="34"/>
  <c r="W2574" i="34"/>
  <c r="U2574" i="34"/>
  <c r="A2574" i="34"/>
  <c r="U2616" i="34"/>
  <c r="W2616" i="34"/>
  <c r="A2616" i="34"/>
  <c r="W2645" i="34"/>
  <c r="U2645" i="34"/>
  <c r="A2645" i="34"/>
  <c r="W2649" i="34"/>
  <c r="U2649" i="34"/>
  <c r="A2649" i="34"/>
  <c r="W2653" i="34"/>
  <c r="U2653" i="34"/>
  <c r="A2653" i="34"/>
  <c r="W2745" i="34"/>
  <c r="U2745" i="34"/>
  <c r="A2745" i="34"/>
  <c r="W2634" i="34"/>
  <c r="U2634" i="34"/>
  <c r="A2634" i="34"/>
  <c r="U2703" i="34"/>
  <c r="W2703" i="34"/>
  <c r="A2703" i="34"/>
  <c r="U2707" i="34"/>
  <c r="W2707" i="34"/>
  <c r="A2707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W2442" i="34"/>
  <c r="U2442" i="34"/>
  <c r="A2442" i="34"/>
  <c r="U2472" i="34"/>
  <c r="W2472" i="34"/>
  <c r="A2472" i="34"/>
  <c r="R2450" i="34"/>
  <c r="S2450" i="34"/>
  <c r="W2450" i="34"/>
  <c r="T2450" i="34"/>
  <c r="U2450" i="34"/>
  <c r="A2450" i="34"/>
  <c r="S2485" i="34"/>
  <c r="W2485" i="34"/>
  <c r="T2485" i="34"/>
  <c r="U2485" i="34"/>
  <c r="R2485" i="34"/>
  <c r="A2485" i="34"/>
  <c r="W2822" i="34"/>
  <c r="U2822" i="34"/>
  <c r="A2822" i="34"/>
  <c r="W2489" i="34"/>
  <c r="U2489" i="34"/>
  <c r="A2489" i="34"/>
  <c r="W2497" i="34"/>
  <c r="U2497" i="34"/>
  <c r="A2497" i="34"/>
  <c r="W2501" i="34"/>
  <c r="U2501" i="34"/>
  <c r="A2501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613" i="34"/>
  <c r="U2613" i="34"/>
  <c r="A2613" i="34"/>
  <c r="U2623" i="34"/>
  <c r="W2623" i="34"/>
  <c r="A2623" i="34"/>
  <c r="U2627" i="34"/>
  <c r="W2627" i="34"/>
  <c r="A2627" i="34"/>
  <c r="U2631" i="34"/>
  <c r="W2631" i="34"/>
  <c r="A2631" i="34"/>
  <c r="W2550" i="34"/>
  <c r="U2550" i="34"/>
  <c r="A2550" i="34"/>
  <c r="W2546" i="34"/>
  <c r="U2546" i="34"/>
  <c r="A2546" i="34"/>
  <c r="W2453" i="34"/>
  <c r="U2453" i="34"/>
  <c r="A2453" i="34"/>
  <c r="W2697" i="34"/>
  <c r="U2697" i="34"/>
  <c r="A2697" i="34"/>
  <c r="W2693" i="34"/>
  <c r="U2693" i="34"/>
  <c r="A2693" i="34"/>
  <c r="W2689" i="34"/>
  <c r="U2689" i="34"/>
  <c r="A2689" i="34"/>
  <c r="W2685" i="34"/>
  <c r="U2685" i="34"/>
  <c r="A2685" i="34"/>
  <c r="W2681" i="34"/>
  <c r="U2681" i="34"/>
  <c r="A2681" i="34"/>
  <c r="W2677" i="34"/>
  <c r="U2677" i="34"/>
  <c r="A2677" i="34"/>
  <c r="W2673" i="34"/>
  <c r="U2673" i="34"/>
  <c r="A2673" i="34"/>
  <c r="W2641" i="34"/>
  <c r="U2641" i="34"/>
  <c r="A2641" i="34"/>
  <c r="W2637" i="34"/>
  <c r="U2637" i="34"/>
  <c r="A2637" i="34"/>
  <c r="W2542" i="34"/>
  <c r="U2542" i="34"/>
  <c r="A2542" i="34"/>
  <c r="W2538" i="34"/>
  <c r="U2538" i="34"/>
  <c r="A2538" i="34"/>
  <c r="W2534" i="34"/>
  <c r="U2534" i="34"/>
  <c r="A2534" i="34"/>
  <c r="W2493" i="34"/>
  <c r="U2493" i="34"/>
  <c r="A2493" i="34"/>
  <c r="U2484" i="34"/>
  <c r="W2484" i="34"/>
  <c r="A2484" i="34"/>
  <c r="U2480" i="34"/>
  <c r="W2480" i="34"/>
  <c r="A2480" i="34"/>
  <c r="U2476" i="34"/>
  <c r="W2476" i="34"/>
  <c r="A2476" i="34"/>
  <c r="U2468" i="34"/>
  <c r="W2468" i="34"/>
  <c r="A2468" i="34"/>
  <c r="U2464" i="34"/>
  <c r="W2464" i="34"/>
  <c r="A2464" i="34"/>
  <c r="U2460" i="34"/>
  <c r="W2460" i="34"/>
  <c r="A2460" i="34"/>
  <c r="U2447" i="34"/>
  <c r="W2447" i="34"/>
  <c r="A2447" i="34"/>
  <c r="W2769" i="34"/>
  <c r="U2769" i="34"/>
  <c r="A2769" i="34"/>
  <c r="W2765" i="34"/>
  <c r="U2765" i="34"/>
  <c r="A2765" i="34"/>
  <c r="W2761" i="34"/>
  <c r="U2761" i="34"/>
  <c r="A2761" i="34"/>
  <c r="W2757" i="34"/>
  <c r="U2757" i="34"/>
  <c r="A2757" i="34"/>
  <c r="W2753" i="34"/>
  <c r="U2753" i="34"/>
  <c r="A2753" i="34"/>
  <c r="W2749" i="34"/>
  <c r="U2749" i="34"/>
  <c r="A2749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33" i="34"/>
  <c r="U2433" i="34"/>
  <c r="A2433" i="34"/>
  <c r="U2380" i="34"/>
  <c r="W2380" i="34"/>
  <c r="A2380" i="34"/>
  <c r="U2376" i="34"/>
  <c r="W2376" i="34"/>
  <c r="A2376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2" i="34"/>
  <c r="W2772" i="34"/>
  <c r="A2772" i="34"/>
  <c r="U2776" i="34"/>
  <c r="W2776" i="34"/>
  <c r="A2776" i="34"/>
  <c r="U2780" i="34"/>
  <c r="W2780" i="34"/>
  <c r="A2780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W2602" i="34"/>
  <c r="U2602" i="34"/>
  <c r="A2602" i="34"/>
  <c r="W2606" i="34"/>
  <c r="U2606" i="34"/>
  <c r="A2606" i="34"/>
  <c r="W2610" i="34"/>
  <c r="U2610" i="34"/>
  <c r="A2610" i="34"/>
  <c r="U2655" i="34"/>
  <c r="W2655" i="34"/>
  <c r="A2655" i="34"/>
  <c r="U2659" i="34"/>
  <c r="W2659" i="34"/>
  <c r="A2659" i="34"/>
  <c r="U2663" i="34"/>
  <c r="W2663" i="34"/>
  <c r="A2663" i="34"/>
  <c r="W2781" i="34"/>
  <c r="U2781" i="34"/>
  <c r="A2781" i="34"/>
  <c r="U2555" i="34"/>
  <c r="W2555" i="34"/>
  <c r="A2555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W2617" i="34"/>
  <c r="U2617" i="34"/>
  <c r="A2617" i="34"/>
  <c r="W2646" i="34"/>
  <c r="U2646" i="34"/>
  <c r="A2646" i="34"/>
  <c r="W2650" i="34"/>
  <c r="U2650" i="34"/>
  <c r="A2650" i="34"/>
  <c r="W2654" i="34"/>
  <c r="U2654" i="34"/>
  <c r="A2654" i="34"/>
  <c r="W2746" i="34"/>
  <c r="U2746" i="34"/>
  <c r="A2746" i="34"/>
  <c r="W2686" i="34"/>
  <c r="U2686" i="34"/>
  <c r="A2686" i="34"/>
  <c r="U2704" i="34"/>
  <c r="W2704" i="34"/>
  <c r="A2704" i="34"/>
  <c r="U2708" i="34"/>
  <c r="W2708" i="34"/>
  <c r="A2708" i="34"/>
  <c r="U2712" i="34"/>
  <c r="W2712" i="34"/>
  <c r="A2712" i="34"/>
  <c r="U2716" i="34"/>
  <c r="W2716" i="34"/>
  <c r="A2716" i="34"/>
  <c r="U2720" i="34"/>
  <c r="W2720" i="34"/>
  <c r="A2720" i="34"/>
  <c r="U2724" i="34"/>
  <c r="W2724" i="34"/>
  <c r="A2724" i="34"/>
  <c r="U2728" i="34"/>
  <c r="W2728" i="34"/>
  <c r="A2728" i="34"/>
  <c r="U2732" i="34"/>
  <c r="W2732" i="34"/>
  <c r="A2732" i="34"/>
  <c r="U2736" i="34"/>
  <c r="W2736" i="34"/>
  <c r="A2736" i="34"/>
  <c r="U2740" i="34"/>
  <c r="W2740" i="34"/>
  <c r="A2740" i="34"/>
  <c r="W2441" i="34"/>
  <c r="U2441" i="34"/>
  <c r="A2441" i="34"/>
  <c r="W2473" i="34"/>
  <c r="U2473" i="34"/>
  <c r="A2473" i="34"/>
  <c r="U2455" i="34"/>
  <c r="R2455" i="34"/>
  <c r="S2455" i="34"/>
  <c r="W2455" i="34"/>
  <c r="T2455" i="34"/>
  <c r="A2455" i="34"/>
  <c r="W2486" i="34"/>
  <c r="U2486" i="34"/>
  <c r="A2486" i="34"/>
  <c r="U2823" i="34"/>
  <c r="W2823" i="34"/>
  <c r="A2823" i="34"/>
  <c r="U2451" i="34"/>
  <c r="W2451" i="34"/>
  <c r="A2451" i="34"/>
  <c r="W2498" i="34"/>
  <c r="U2498" i="34"/>
  <c r="A2498" i="34"/>
  <c r="W2502" i="34"/>
  <c r="U2502" i="34"/>
  <c r="A2502" i="34"/>
  <c r="W2506" i="34"/>
  <c r="U2506" i="34"/>
  <c r="A2506" i="34"/>
  <c r="W2510" i="34"/>
  <c r="U2510" i="34"/>
  <c r="A2510" i="34"/>
  <c r="W2514" i="34"/>
  <c r="U2514" i="34"/>
  <c r="A2514" i="34"/>
  <c r="W2518" i="34"/>
  <c r="U2518" i="34"/>
  <c r="A2518" i="34"/>
  <c r="W2522" i="34"/>
  <c r="U2522" i="34"/>
  <c r="A2522" i="34"/>
  <c r="W2526" i="34"/>
  <c r="U2526" i="34"/>
  <c r="A2526" i="34"/>
  <c r="W2530" i="34"/>
  <c r="U2530" i="34"/>
  <c r="A2530" i="34"/>
  <c r="W2614" i="34"/>
  <c r="U2614" i="34"/>
  <c r="A2614" i="34"/>
  <c r="U2624" i="34"/>
  <c r="W2624" i="34"/>
  <c r="A2624" i="34"/>
  <c r="U2628" i="34"/>
  <c r="W2628" i="34"/>
  <c r="A2628" i="34"/>
  <c r="U2632" i="34"/>
  <c r="W2632" i="34"/>
  <c r="A2632" i="34"/>
  <c r="W2549" i="34"/>
  <c r="U2549" i="34"/>
  <c r="A2549" i="34"/>
  <c r="W2545" i="34"/>
  <c r="U2545" i="34"/>
  <c r="A2545" i="34"/>
  <c r="W2494" i="34"/>
  <c r="U2494" i="34"/>
  <c r="A2494" i="34"/>
  <c r="U2696" i="34"/>
  <c r="W2696" i="34"/>
  <c r="A2696" i="34"/>
  <c r="U2692" i="34"/>
  <c r="W2692" i="34"/>
  <c r="A2692" i="34"/>
  <c r="U2688" i="34"/>
  <c r="W2688" i="34"/>
  <c r="A2688" i="34"/>
  <c r="U2684" i="34"/>
  <c r="W2684" i="34"/>
  <c r="A2684" i="34"/>
  <c r="U2680" i="34"/>
  <c r="W2680" i="34"/>
  <c r="A2680" i="34"/>
  <c r="U2676" i="34"/>
  <c r="W2676" i="34"/>
  <c r="A2676" i="34"/>
  <c r="U2672" i="34"/>
  <c r="W2672" i="34"/>
  <c r="A2672" i="34"/>
  <c r="U2640" i="34"/>
  <c r="W2640" i="34"/>
  <c r="A2640" i="34"/>
  <c r="U2636" i="34"/>
  <c r="W2636" i="34"/>
  <c r="A2636" i="34"/>
  <c r="W2541" i="34"/>
  <c r="U2541" i="34"/>
  <c r="A2541" i="34"/>
  <c r="W2537" i="34"/>
  <c r="U2537" i="34"/>
  <c r="A2537" i="34"/>
  <c r="W2533" i="34"/>
  <c r="U2533" i="34"/>
  <c r="A2533" i="34"/>
  <c r="U2492" i="34"/>
  <c r="W2492" i="34"/>
  <c r="A2492" i="34"/>
  <c r="U2483" i="34"/>
  <c r="W2483" i="34"/>
  <c r="A2483" i="34"/>
  <c r="U2479" i="34"/>
  <c r="W2479" i="34"/>
  <c r="A2479" i="34"/>
  <c r="U2475" i="34"/>
  <c r="W2475" i="34"/>
  <c r="A2475" i="34"/>
  <c r="U2471" i="34"/>
  <c r="W2471" i="34"/>
  <c r="A2471" i="34"/>
  <c r="U2467" i="34"/>
  <c r="W2467" i="34"/>
  <c r="A2467" i="34"/>
  <c r="U2463" i="34"/>
  <c r="W2463" i="34"/>
  <c r="A2463" i="34"/>
  <c r="U2459" i="34"/>
  <c r="W2459" i="34"/>
  <c r="A2459" i="34"/>
  <c r="W2446" i="34"/>
  <c r="U2446" i="34"/>
  <c r="A2446" i="34"/>
  <c r="U2768" i="34"/>
  <c r="W2768" i="34"/>
  <c r="A2768" i="34"/>
  <c r="U2764" i="34"/>
  <c r="W2764" i="34"/>
  <c r="A2764" i="34"/>
  <c r="U2760" i="34"/>
  <c r="W2760" i="34"/>
  <c r="A2760" i="34"/>
  <c r="U2756" i="34"/>
  <c r="W2756" i="34"/>
  <c r="A2756" i="34"/>
  <c r="U2752" i="34"/>
  <c r="W2752" i="34"/>
  <c r="A2752" i="34"/>
  <c r="U2748" i="34"/>
  <c r="W2748" i="34"/>
  <c r="A2748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2" i="34"/>
  <c r="W2432" i="34"/>
  <c r="A2432" i="34"/>
  <c r="W2379" i="34"/>
  <c r="U2379" i="34"/>
  <c r="A2379" i="34"/>
  <c r="W2375" i="34"/>
  <c r="U2375" i="34"/>
  <c r="A2375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73" i="34"/>
  <c r="U2773" i="34"/>
  <c r="A2773" i="34"/>
  <c r="W2777" i="34"/>
  <c r="U2777" i="34"/>
  <c r="A2777" i="34"/>
  <c r="U2495" i="34"/>
  <c r="W2495" i="34"/>
  <c r="A249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W2618" i="34"/>
  <c r="U2618" i="34"/>
  <c r="A2618" i="34"/>
  <c r="U2656" i="34"/>
  <c r="W2656" i="34"/>
  <c r="A2656" i="34"/>
  <c r="U2660" i="34"/>
  <c r="W2660" i="34"/>
  <c r="A2660" i="34"/>
  <c r="U2664" i="34"/>
  <c r="W2664" i="34"/>
  <c r="A2664" i="34"/>
  <c r="U2552" i="34"/>
  <c r="W2552" i="34"/>
  <c r="A2552" i="34"/>
  <c r="U2556" i="34"/>
  <c r="W2556" i="34"/>
  <c r="A2556" i="34"/>
  <c r="U2560" i="34"/>
  <c r="W2560" i="34"/>
  <c r="A2560" i="34"/>
  <c r="U2564" i="34"/>
  <c r="W2564" i="34"/>
  <c r="A2564" i="34"/>
  <c r="U2568" i="34"/>
  <c r="W2568" i="34"/>
  <c r="A2568" i="34"/>
  <c r="U2572" i="34"/>
  <c r="W2572" i="34"/>
  <c r="A2572" i="34"/>
  <c r="U2576" i="34"/>
  <c r="W2576" i="34"/>
  <c r="A2576" i="34"/>
  <c r="U2643" i="34"/>
  <c r="W2643" i="34"/>
  <c r="A2643" i="34"/>
  <c r="U2647" i="34"/>
  <c r="W2647" i="34"/>
  <c r="A2647" i="34"/>
  <c r="U2651" i="34"/>
  <c r="W2651" i="34"/>
  <c r="A2651" i="34"/>
  <c r="U2743" i="34"/>
  <c r="W2743" i="34"/>
  <c r="A2743" i="34"/>
  <c r="U2747" i="34"/>
  <c r="W2747" i="34"/>
  <c r="A2747" i="34"/>
  <c r="U2700" i="34"/>
  <c r="W2700" i="34"/>
  <c r="A2700" i="34"/>
  <c r="W2705" i="34"/>
  <c r="U2705" i="34"/>
  <c r="A2705" i="34"/>
  <c r="W2709" i="34"/>
  <c r="U2709" i="34"/>
  <c r="A2709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U2443" i="34"/>
  <c r="W2443" i="34"/>
  <c r="A2443" i="34"/>
  <c r="W2474" i="34"/>
  <c r="U2474" i="34"/>
  <c r="A2474" i="34"/>
  <c r="U2456" i="34"/>
  <c r="W2456" i="34"/>
  <c r="A2456" i="34"/>
  <c r="U2487" i="34"/>
  <c r="W2487" i="34"/>
  <c r="A2487" i="34"/>
  <c r="U2824" i="34"/>
  <c r="W2824" i="34"/>
  <c r="A2824" i="34"/>
  <c r="U2452" i="34"/>
  <c r="W2452" i="34"/>
  <c r="A2452" i="34"/>
  <c r="U2499" i="34"/>
  <c r="W2499" i="34"/>
  <c r="A2499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611" i="34"/>
  <c r="W2611" i="34"/>
  <c r="A2611" i="34"/>
  <c r="W2621" i="34"/>
  <c r="U2621" i="34"/>
  <c r="A2621" i="34"/>
  <c r="W2625" i="34"/>
  <c r="U2625" i="34"/>
  <c r="A2625" i="34"/>
  <c r="W2629" i="34"/>
  <c r="U2629" i="34"/>
  <c r="A2629" i="34"/>
  <c r="W2633" i="34"/>
  <c r="U2633" i="34"/>
  <c r="A2633" i="34"/>
  <c r="U2548" i="34"/>
  <c r="W2548" i="34"/>
  <c r="A2548" i="34"/>
  <c r="U2544" i="34"/>
  <c r="W2544" i="34"/>
  <c r="A2544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75" i="34"/>
  <c r="W2675" i="34"/>
  <c r="A2675" i="34"/>
  <c r="U2671" i="34"/>
  <c r="W2671" i="34"/>
  <c r="A2671" i="34"/>
  <c r="U2639" i="34"/>
  <c r="W2639" i="34"/>
  <c r="A2639" i="34"/>
  <c r="U2635" i="34"/>
  <c r="W2635" i="34"/>
  <c r="A2635" i="34"/>
  <c r="U2540" i="34"/>
  <c r="W2540" i="34"/>
  <c r="A2540" i="34"/>
  <c r="U2536" i="34"/>
  <c r="W2536" i="34"/>
  <c r="A2536" i="34"/>
  <c r="U2532" i="34"/>
  <c r="W2532" i="34"/>
  <c r="A2532" i="34"/>
  <c r="U2491" i="34"/>
  <c r="W2491" i="34"/>
  <c r="A2491" i="34"/>
  <c r="W2482" i="34"/>
  <c r="U2482" i="34"/>
  <c r="A2482" i="34"/>
  <c r="W2478" i="34"/>
  <c r="U2478" i="34"/>
  <c r="A2478" i="34"/>
  <c r="W2470" i="34"/>
  <c r="U2470" i="34"/>
  <c r="A2470" i="34"/>
  <c r="W2466" i="34"/>
  <c r="U2466" i="34"/>
  <c r="A2466" i="34"/>
  <c r="W2462" i="34"/>
  <c r="U2462" i="34"/>
  <c r="A2462" i="34"/>
  <c r="W2458" i="34"/>
  <c r="U2458" i="34"/>
  <c r="A2458" i="34"/>
  <c r="W2445" i="34"/>
  <c r="U2445" i="34"/>
  <c r="A2445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U2751" i="34"/>
  <c r="W2751" i="34"/>
  <c r="A2751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1" i="34"/>
  <c r="W2431" i="34"/>
  <c r="A2431" i="34"/>
  <c r="W2378" i="34"/>
  <c r="U2378" i="34"/>
  <c r="A2378" i="34"/>
  <c r="W2374" i="34"/>
  <c r="U2374" i="34"/>
  <c r="A2374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66" i="34"/>
  <c r="U2766" i="34"/>
  <c r="A2766" i="34"/>
  <c r="W2774" i="34"/>
  <c r="U2774" i="34"/>
  <c r="A2774" i="34"/>
  <c r="W2778" i="34"/>
  <c r="U2778" i="34"/>
  <c r="A2778" i="34"/>
  <c r="W2454" i="34"/>
  <c r="U2454" i="34"/>
  <c r="A2454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0" i="34"/>
  <c r="W2600" i="34"/>
  <c r="A2600" i="34"/>
  <c r="U2604" i="34"/>
  <c r="W2604" i="34"/>
  <c r="A2604" i="34"/>
  <c r="U2608" i="34"/>
  <c r="W2608" i="34"/>
  <c r="A2608" i="34"/>
  <c r="U2619" i="34"/>
  <c r="W2619" i="34"/>
  <c r="A2619" i="34"/>
  <c r="W2657" i="34"/>
  <c r="U2657" i="34"/>
  <c r="A2657" i="34"/>
  <c r="W2661" i="34"/>
  <c r="U2661" i="34"/>
  <c r="A2661" i="34"/>
  <c r="W2665" i="34"/>
  <c r="U2665" i="34"/>
  <c r="A2665" i="34"/>
  <c r="W2553" i="34"/>
  <c r="U2553" i="34"/>
  <c r="A2553" i="34"/>
  <c r="W2557" i="34"/>
  <c r="U2557" i="34"/>
  <c r="A2557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U2615" i="34"/>
  <c r="W2615" i="34"/>
  <c r="A2615" i="34"/>
  <c r="U2644" i="34"/>
  <c r="W2644" i="34"/>
  <c r="A2644" i="34"/>
  <c r="U2648" i="34"/>
  <c r="W2648" i="34"/>
  <c r="A2648" i="34"/>
  <c r="U2652" i="34"/>
  <c r="W2652" i="34"/>
  <c r="A2652" i="34"/>
  <c r="U2744" i="34"/>
  <c r="W2744" i="34"/>
  <c r="A2744" i="34"/>
  <c r="W2758" i="34"/>
  <c r="U2758" i="34"/>
  <c r="A2758" i="34"/>
  <c r="W2701" i="34"/>
  <c r="U2701" i="34"/>
  <c r="A2701" i="34"/>
  <c r="W2706" i="34"/>
  <c r="U2706" i="34"/>
  <c r="A2706" i="34"/>
  <c r="W2710" i="34"/>
  <c r="U2710" i="34"/>
  <c r="A2710" i="34"/>
  <c r="W2714" i="34"/>
  <c r="U2714" i="34"/>
  <c r="A2714" i="34"/>
  <c r="W2718" i="34"/>
  <c r="U2718" i="34"/>
  <c r="A2718" i="34"/>
  <c r="W2722" i="34"/>
  <c r="U2722" i="34"/>
  <c r="A2722" i="34"/>
  <c r="W2726" i="34"/>
  <c r="U2726" i="34"/>
  <c r="A2726" i="34"/>
  <c r="W2730" i="34"/>
  <c r="U2730" i="34"/>
  <c r="A2730" i="34"/>
  <c r="W2734" i="34"/>
  <c r="U2734" i="34"/>
  <c r="A2734" i="34"/>
  <c r="W2738" i="34"/>
  <c r="U2738" i="34"/>
  <c r="A2738" i="34"/>
  <c r="W2742" i="34"/>
  <c r="U2742" i="34"/>
  <c r="A2742" i="34"/>
  <c r="W2465" i="34"/>
  <c r="U2465" i="34"/>
  <c r="A2465" i="34"/>
  <c r="S2449" i="34"/>
  <c r="W2449" i="34"/>
  <c r="T2449" i="34"/>
  <c r="U2449" i="34"/>
  <c r="R2449" i="34"/>
  <c r="A2449" i="34"/>
  <c r="W2457" i="34"/>
  <c r="U2457" i="34"/>
  <c r="A2457" i="34"/>
  <c r="U2667" i="34"/>
  <c r="R2667" i="34"/>
  <c r="S2667" i="34"/>
  <c r="W2667" i="34"/>
  <c r="T2667" i="34"/>
  <c r="A2667" i="34"/>
  <c r="U2488" i="34"/>
  <c r="W2488" i="34"/>
  <c r="A2488" i="34"/>
  <c r="U2496" i="34"/>
  <c r="W2496" i="34"/>
  <c r="A2496" i="34"/>
  <c r="U2500" i="34"/>
  <c r="W2500" i="34"/>
  <c r="A2500" i="34"/>
  <c r="U2504" i="34"/>
  <c r="W2504" i="34"/>
  <c r="A2504" i="34"/>
  <c r="U2508" i="34"/>
  <c r="W2508" i="34"/>
  <c r="A2508" i="34"/>
  <c r="U2512" i="34"/>
  <c r="W2512" i="34"/>
  <c r="A2512" i="34"/>
  <c r="U2516" i="34"/>
  <c r="W2516" i="34"/>
  <c r="A2516" i="34"/>
  <c r="U2520" i="34"/>
  <c r="W2520" i="34"/>
  <c r="A2520" i="34"/>
  <c r="U2524" i="34"/>
  <c r="W2524" i="34"/>
  <c r="A2524" i="34"/>
  <c r="U2528" i="34"/>
  <c r="W2528" i="34"/>
  <c r="A2528" i="34"/>
  <c r="U2612" i="34"/>
  <c r="W2612" i="34"/>
  <c r="A2612" i="34"/>
  <c r="W2622" i="34"/>
  <c r="U2622" i="34"/>
  <c r="A2622" i="34"/>
  <c r="W2626" i="34"/>
  <c r="U2626" i="34"/>
  <c r="A2626" i="34"/>
  <c r="W2630" i="34"/>
  <c r="U2630" i="34"/>
  <c r="A2630" i="34"/>
  <c r="U2551" i="34"/>
  <c r="W2551" i="34"/>
  <c r="A2551" i="34"/>
  <c r="U2547" i="34"/>
  <c r="W2547" i="34"/>
  <c r="A2547" i="34"/>
  <c r="U2543" i="34"/>
  <c r="W2543" i="34"/>
  <c r="A2543" i="34"/>
  <c r="W2698" i="34"/>
  <c r="U2698" i="34"/>
  <c r="A2698" i="34"/>
  <c r="W2694" i="34"/>
  <c r="U2694" i="34"/>
  <c r="A2694" i="34"/>
  <c r="W2690" i="34"/>
  <c r="U2690" i="34"/>
  <c r="A2690" i="34"/>
  <c r="W2682" i="34"/>
  <c r="U2682" i="34"/>
  <c r="A2682" i="34"/>
  <c r="W2678" i="34"/>
  <c r="U2678" i="34"/>
  <c r="A2678" i="34"/>
  <c r="W2674" i="34"/>
  <c r="U2674" i="34"/>
  <c r="A2674" i="34"/>
  <c r="W2642" i="34"/>
  <c r="U2642" i="34"/>
  <c r="A2642" i="34"/>
  <c r="W2638" i="34"/>
  <c r="U2638" i="34"/>
  <c r="A2638" i="34"/>
  <c r="U2539" i="34"/>
  <c r="W2539" i="34"/>
  <c r="A2539" i="34"/>
  <c r="U2535" i="34"/>
  <c r="W2535" i="34"/>
  <c r="A2535" i="34"/>
  <c r="U2531" i="34"/>
  <c r="W2531" i="34"/>
  <c r="A2531" i="34"/>
  <c r="W2490" i="34"/>
  <c r="U2490" i="34"/>
  <c r="A2490" i="34"/>
  <c r="W2481" i="34"/>
  <c r="U2481" i="34"/>
  <c r="A2481" i="34"/>
  <c r="W2477" i="34"/>
  <c r="U2477" i="34"/>
  <c r="A2477" i="34"/>
  <c r="W2469" i="34"/>
  <c r="U2469" i="34"/>
  <c r="A2469" i="34"/>
  <c r="W2461" i="34"/>
  <c r="U2461" i="34"/>
  <c r="A2461" i="34"/>
  <c r="U2448" i="34"/>
  <c r="W2448" i="34"/>
  <c r="A2448" i="34"/>
  <c r="U2444" i="34"/>
  <c r="W2444" i="34"/>
  <c r="A2444" i="34"/>
  <c r="W2770" i="34"/>
  <c r="U2770" i="34"/>
  <c r="A2770" i="34"/>
  <c r="W2762" i="34"/>
  <c r="U2762" i="34"/>
  <c r="A2762" i="34"/>
  <c r="W2754" i="34"/>
  <c r="U2754" i="34"/>
  <c r="A2754" i="34"/>
  <c r="W2750" i="34"/>
  <c r="U2750" i="34"/>
  <c r="A2750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B2820" i="34"/>
  <c r="B2409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09" i="34"/>
  <c r="W2409" i="34"/>
  <c r="A2409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0" i="34"/>
  <c r="W2820" i="34"/>
  <c r="A2820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684" i="34"/>
  <c r="B1683" i="34"/>
  <c r="B1682" i="34"/>
  <c r="B1681" i="34"/>
  <c r="B1680" i="34"/>
  <c r="B1679" i="34"/>
  <c r="B1678" i="34"/>
  <c r="B1677" i="34"/>
  <c r="B1659" i="34"/>
  <c r="B1658" i="34"/>
  <c r="B1657" i="34"/>
  <c r="B1656" i="34"/>
  <c r="B1655" i="34"/>
  <c r="B1654" i="34"/>
  <c r="B1653" i="34"/>
  <c r="B1652" i="34"/>
  <c r="B1630" i="34"/>
  <c r="B1629" i="34"/>
  <c r="B1628" i="34"/>
  <c r="B1627" i="34"/>
  <c r="B1626" i="34"/>
  <c r="B1625" i="34"/>
  <c r="B1624" i="34"/>
  <c r="B1623" i="34"/>
  <c r="B1622" i="34"/>
  <c r="B1599" i="34"/>
  <c r="B1571" i="34"/>
  <c r="B1570" i="34"/>
  <c r="B1569" i="34"/>
  <c r="B1568" i="34"/>
  <c r="B1567" i="34"/>
  <c r="B1566" i="34"/>
  <c r="B1565" i="34"/>
  <c r="B1564" i="34"/>
  <c r="B1529" i="34"/>
  <c r="B1497" i="34"/>
  <c r="B1496" i="34"/>
  <c r="B1495" i="34"/>
  <c r="B1494" i="34"/>
  <c r="B1493" i="34"/>
  <c r="B1492" i="34"/>
  <c r="B1491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28" i="34"/>
  <c r="B1411" i="34"/>
  <c r="B1410" i="34"/>
  <c r="B1409" i="34"/>
  <c r="B1408" i="34"/>
  <c r="B1407" i="34"/>
  <c r="B1406" i="34"/>
  <c r="B1405" i="34"/>
  <c r="B1404" i="34"/>
  <c r="B1386" i="34"/>
  <c r="B1385" i="34"/>
  <c r="B1384" i="34"/>
  <c r="B1383" i="34"/>
  <c r="B1382" i="34"/>
  <c r="B1381" i="34"/>
  <c r="B1380" i="34"/>
  <c r="B1379" i="34"/>
  <c r="B1378" i="34"/>
  <c r="B1332" i="34"/>
  <c r="B1297" i="34"/>
  <c r="B1293" i="34"/>
  <c r="B1292" i="34"/>
  <c r="B1291" i="34"/>
  <c r="B1282" i="34"/>
  <c r="B1281" i="34"/>
  <c r="B1280" i="34"/>
  <c r="B1279" i="34"/>
  <c r="B1278" i="34"/>
  <c r="B1265" i="34"/>
  <c r="B1264" i="34"/>
  <c r="B1263" i="34"/>
  <c r="B1262" i="34"/>
  <c r="B1261" i="34"/>
  <c r="B1260" i="34"/>
  <c r="B1259" i="34"/>
  <c r="B1258" i="34"/>
  <c r="B1237" i="34"/>
  <c r="B1236" i="34"/>
  <c r="B1235" i="34"/>
  <c r="B1234" i="34"/>
  <c r="B1233" i="34"/>
  <c r="B1232" i="34"/>
  <c r="B1231" i="34"/>
  <c r="B1230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53" i="34"/>
  <c r="B1152" i="34"/>
  <c r="B1151" i="34"/>
  <c r="B1150" i="34"/>
  <c r="B1149" i="34"/>
  <c r="B1148" i="34"/>
  <c r="B1147" i="34"/>
  <c r="B1146" i="34"/>
  <c r="B1110" i="34"/>
  <c r="B1109" i="34"/>
  <c r="B1108" i="34"/>
  <c r="B1107" i="34"/>
  <c r="B1106" i="34"/>
  <c r="B1105" i="34"/>
  <c r="B1104" i="34"/>
  <c r="B1103" i="34"/>
  <c r="B1078" i="34"/>
  <c r="B1077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1" i="34"/>
  <c r="B2819" i="34"/>
  <c r="B2410" i="34"/>
  <c r="B2408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07" i="34"/>
  <c r="B2406" i="34"/>
  <c r="B2405" i="34"/>
  <c r="B2404" i="34"/>
  <c r="B2403" i="34"/>
  <c r="B2402" i="34"/>
  <c r="B2396" i="34"/>
  <c r="B2395" i="34"/>
  <c r="B2394" i="34"/>
  <c r="B2393" i="34"/>
  <c r="B2392" i="34"/>
  <c r="B2391" i="34"/>
  <c r="B2390" i="34"/>
  <c r="B2389" i="34"/>
  <c r="B2388" i="34"/>
  <c r="B2365" i="34"/>
  <c r="B2364" i="34"/>
  <c r="B2363" i="34"/>
  <c r="B2362" i="34"/>
  <c r="B2360" i="34"/>
  <c r="B2358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29" i="34"/>
  <c r="B2428" i="34"/>
  <c r="B2427" i="34"/>
  <c r="B2426" i="34"/>
  <c r="B2425" i="34"/>
  <c r="B2424" i="34"/>
  <c r="B2423" i="34"/>
  <c r="B2373" i="34"/>
  <c r="B2372" i="34"/>
  <c r="B2371" i="34"/>
  <c r="B2370" i="34"/>
  <c r="B2369" i="34"/>
  <c r="B2368" i="34"/>
  <c r="B2367" i="34"/>
  <c r="B2366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6" i="34"/>
  <c r="U2366" i="34"/>
  <c r="A2366" i="34"/>
  <c r="W2370" i="34"/>
  <c r="U2370" i="34"/>
  <c r="A2370" i="34"/>
  <c r="U2423" i="34"/>
  <c r="W2423" i="34"/>
  <c r="A2423" i="34"/>
  <c r="U2427" i="34"/>
  <c r="W2427" i="34"/>
  <c r="A2427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2" i="34"/>
  <c r="U2362" i="34"/>
  <c r="A2362" i="34"/>
  <c r="U2388" i="34"/>
  <c r="W2388" i="34"/>
  <c r="A2388" i="34"/>
  <c r="U2392" i="34"/>
  <c r="R2392" i="34"/>
  <c r="S2392" i="34"/>
  <c r="W2392" i="34"/>
  <c r="T2392" i="34"/>
  <c r="A2392" i="34"/>
  <c r="U2396" i="34"/>
  <c r="W2396" i="34"/>
  <c r="A2396" i="34"/>
  <c r="U2405" i="34"/>
  <c r="W2405" i="34"/>
  <c r="A2405" i="34"/>
  <c r="U2412" i="34"/>
  <c r="W2412" i="34"/>
  <c r="A2412" i="34"/>
  <c r="U2416" i="34"/>
  <c r="W2416" i="34"/>
  <c r="A2416" i="34"/>
  <c r="U2420" i="34"/>
  <c r="W2420" i="34"/>
  <c r="A2420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08" i="34"/>
  <c r="W2408" i="34"/>
  <c r="A2408" i="34"/>
  <c r="U1737" i="34"/>
  <c r="W1737" i="34"/>
  <c r="A1737" i="34"/>
  <c r="U1745" i="34"/>
  <c r="W1745" i="34"/>
  <c r="A1745" i="34"/>
  <c r="R1768" i="34"/>
  <c r="S1768" i="34"/>
  <c r="W1768" i="34"/>
  <c r="T1768" i="34"/>
  <c r="U1768" i="34"/>
  <c r="A1768" i="34"/>
  <c r="R1840" i="34"/>
  <c r="S1840" i="34"/>
  <c r="W1840" i="34"/>
  <c r="T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7" i="34"/>
  <c r="U2367" i="34"/>
  <c r="A2367" i="34"/>
  <c r="W2371" i="34"/>
  <c r="U2371" i="34"/>
  <c r="A2371" i="34"/>
  <c r="U2424" i="34"/>
  <c r="W2424" i="34"/>
  <c r="A2424" i="34"/>
  <c r="U2428" i="34"/>
  <c r="W2428" i="34"/>
  <c r="A2428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3" i="34"/>
  <c r="U2363" i="34"/>
  <c r="A2363" i="34"/>
  <c r="U2389" i="34"/>
  <c r="W2389" i="34"/>
  <c r="A2389" i="34"/>
  <c r="U2393" i="34"/>
  <c r="W2393" i="34"/>
  <c r="A2393" i="34"/>
  <c r="W2402" i="34"/>
  <c r="U2402" i="34"/>
  <c r="A2402" i="34"/>
  <c r="W2406" i="34"/>
  <c r="U2406" i="34"/>
  <c r="A2406" i="34"/>
  <c r="U2413" i="34"/>
  <c r="W2413" i="34"/>
  <c r="A2413" i="34"/>
  <c r="U2417" i="34"/>
  <c r="W2417" i="34"/>
  <c r="A2417" i="34"/>
  <c r="U2421" i="34"/>
  <c r="W2421" i="34"/>
  <c r="A2421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0" i="34"/>
  <c r="U2410" i="34"/>
  <c r="A2410" i="34"/>
  <c r="U1738" i="34"/>
  <c r="W1738" i="34"/>
  <c r="A1738" i="34"/>
  <c r="U1746" i="34"/>
  <c r="W1746" i="34"/>
  <c r="A1746" i="34"/>
  <c r="R1836" i="34"/>
  <c r="S1836" i="34"/>
  <c r="W1836" i="34"/>
  <c r="T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68" i="34"/>
  <c r="W2368" i="34"/>
  <c r="A2368" i="34"/>
  <c r="U2372" i="34"/>
  <c r="W2372" i="34"/>
  <c r="A2372" i="34"/>
  <c r="W2425" i="34"/>
  <c r="U2425" i="34"/>
  <c r="A2425" i="34"/>
  <c r="U2429" i="34"/>
  <c r="W2429" i="34"/>
  <c r="A2429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S2000" i="34"/>
  <c r="W2000" i="34"/>
  <c r="U2000" i="34"/>
  <c r="R2000" i="34"/>
  <c r="T2000" i="34"/>
  <c r="A2000" i="34"/>
  <c r="U2117" i="34"/>
  <c r="W2117" i="34"/>
  <c r="A2117" i="34"/>
  <c r="S2358" i="34"/>
  <c r="W2358" i="34"/>
  <c r="T2358" i="34"/>
  <c r="U2358" i="34"/>
  <c r="R2358" i="34"/>
  <c r="A2358" i="34"/>
  <c r="U2364" i="34"/>
  <c r="W2364" i="34"/>
  <c r="A2364" i="34"/>
  <c r="W2390" i="34"/>
  <c r="U2390" i="34"/>
  <c r="A2390" i="34"/>
  <c r="W2394" i="34"/>
  <c r="U2394" i="34"/>
  <c r="A2394" i="34"/>
  <c r="W2403" i="34"/>
  <c r="U2403" i="34"/>
  <c r="A2403" i="34"/>
  <c r="W2407" i="34"/>
  <c r="U2407" i="34"/>
  <c r="A2407" i="34"/>
  <c r="W2414" i="34"/>
  <c r="U2414" i="34"/>
  <c r="A2414" i="34"/>
  <c r="W2418" i="34"/>
  <c r="U2418" i="34"/>
  <c r="A2418" i="34"/>
  <c r="W2422" i="34"/>
  <c r="U2422" i="34"/>
  <c r="A2422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19" i="34"/>
  <c r="W2819" i="34"/>
  <c r="A2819" i="34"/>
  <c r="W1739" i="34"/>
  <c r="U1739" i="34"/>
  <c r="A1739" i="34"/>
  <c r="W1747" i="34"/>
  <c r="U1747" i="34"/>
  <c r="A1747" i="34"/>
  <c r="U1837" i="34"/>
  <c r="R1837" i="34"/>
  <c r="S1837" i="34"/>
  <c r="W1837" i="34"/>
  <c r="T1837" i="34"/>
  <c r="A1837" i="34"/>
  <c r="W1843" i="34"/>
  <c r="U1843" i="34"/>
  <c r="A1843" i="34"/>
  <c r="S1955" i="34"/>
  <c r="T1955" i="34"/>
  <c r="U1955" i="34"/>
  <c r="R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69" i="34"/>
  <c r="W2369" i="34"/>
  <c r="A2369" i="34"/>
  <c r="U2373" i="34"/>
  <c r="W2373" i="34"/>
  <c r="A2373" i="34"/>
  <c r="W2426" i="34"/>
  <c r="U2426" i="34"/>
  <c r="A2426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R2001" i="34"/>
  <c r="T2001" i="34"/>
  <c r="W2001" i="34"/>
  <c r="S2001" i="34"/>
  <c r="U2001" i="34"/>
  <c r="A2001" i="34"/>
  <c r="T2145" i="34"/>
  <c r="U2145" i="34"/>
  <c r="R2145" i="34"/>
  <c r="S2145" i="34"/>
  <c r="W2145" i="34"/>
  <c r="A2145" i="34"/>
  <c r="U2360" i="34"/>
  <c r="R2360" i="34"/>
  <c r="S2360" i="34"/>
  <c r="W2360" i="34"/>
  <c r="T2360" i="34"/>
  <c r="A2360" i="34"/>
  <c r="U2365" i="34"/>
  <c r="W2365" i="34"/>
  <c r="A2365" i="34"/>
  <c r="W2391" i="34"/>
  <c r="U2391" i="34"/>
  <c r="A2391" i="34"/>
  <c r="W2395" i="34"/>
  <c r="U2395" i="34"/>
  <c r="A2395" i="34"/>
  <c r="U2404" i="34"/>
  <c r="W2404" i="34"/>
  <c r="A2404" i="34"/>
  <c r="W2411" i="34"/>
  <c r="U2411" i="34"/>
  <c r="A2411" i="34"/>
  <c r="W2415" i="34"/>
  <c r="U2415" i="34"/>
  <c r="A2415" i="34"/>
  <c r="W2419" i="34"/>
  <c r="U2419" i="34"/>
  <c r="A2419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1" i="34"/>
  <c r="U2821" i="34"/>
  <c r="A2821" i="34"/>
  <c r="R1744" i="34"/>
  <c r="S1744" i="34"/>
  <c r="W1744" i="34"/>
  <c r="T1744" i="34"/>
  <c r="U1744" i="34"/>
  <c r="A1744" i="34"/>
  <c r="W1748" i="34"/>
  <c r="U1748" i="34"/>
  <c r="A1748" i="34"/>
  <c r="T1838" i="34"/>
  <c r="U1838" i="34"/>
  <c r="R1838" i="34"/>
  <c r="S1838" i="34"/>
  <c r="W1838" i="34"/>
  <c r="A1838" i="34"/>
  <c r="W1844" i="34"/>
  <c r="U1844" i="34"/>
  <c r="A1844" i="34"/>
  <c r="S1956" i="34"/>
  <c r="W1956" i="34"/>
  <c r="T1956" i="34"/>
  <c r="U1956" i="34"/>
  <c r="R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000" i="34" l="1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11" i="34"/>
  <c r="B1012" i="34"/>
  <c r="B1013" i="34"/>
  <c r="B1014" i="34"/>
  <c r="B1015" i="34"/>
  <c r="B1016" i="34"/>
  <c r="B1017" i="34"/>
  <c r="B1018" i="34"/>
  <c r="B1019" i="34"/>
  <c r="B1020" i="34"/>
  <c r="B1021" i="34"/>
  <c r="B1022" i="34"/>
  <c r="B1023" i="34"/>
  <c r="B1024" i="34"/>
  <c r="B1032" i="34"/>
  <c r="B1033" i="34"/>
  <c r="B1034" i="34"/>
  <c r="B1035" i="34"/>
  <c r="B1036" i="34"/>
  <c r="B1037" i="34"/>
  <c r="B1038" i="34"/>
  <c r="B1039" i="34"/>
  <c r="B1053" i="34"/>
  <c r="B1054" i="34"/>
  <c r="B1055" i="34"/>
  <c r="B1056" i="34"/>
  <c r="B1057" i="34"/>
  <c r="B1058" i="34"/>
  <c r="B1059" i="34"/>
  <c r="B1060" i="34"/>
  <c r="B1061" i="34"/>
  <c r="B1062" i="34"/>
  <c r="B1089" i="34"/>
  <c r="B1090" i="34"/>
  <c r="B1091" i="34"/>
  <c r="B1092" i="34"/>
  <c r="B1093" i="34"/>
  <c r="B1094" i="34"/>
  <c r="B1113" i="34"/>
  <c r="B1114" i="34"/>
  <c r="B1115" i="34"/>
  <c r="B1116" i="34"/>
  <c r="B1117" i="34"/>
  <c r="B1118" i="34"/>
  <c r="B1119" i="34"/>
  <c r="B1120" i="34"/>
  <c r="B1130" i="34"/>
  <c r="B1131" i="34"/>
  <c r="B1132" i="34"/>
  <c r="B1133" i="34"/>
  <c r="B1134" i="34"/>
  <c r="B1135" i="34"/>
  <c r="B1136" i="34"/>
  <c r="B1137" i="34"/>
  <c r="B1217" i="34"/>
  <c r="B1218" i="34"/>
  <c r="B1219" i="34"/>
  <c r="B1220" i="34"/>
  <c r="B1221" i="34"/>
  <c r="B1247" i="34"/>
  <c r="B1248" i="34"/>
  <c r="B1249" i="34"/>
  <c r="B1272" i="34"/>
  <c r="B1303" i="34"/>
  <c r="B1309" i="34"/>
  <c r="B1310" i="34"/>
  <c r="B1311" i="34"/>
  <c r="B1312" i="34"/>
  <c r="B1313" i="34"/>
  <c r="B1314" i="34"/>
  <c r="B1315" i="34"/>
  <c r="B1316" i="34"/>
  <c r="B1317" i="34"/>
  <c r="B1320" i="34"/>
  <c r="B1321" i="34"/>
  <c r="B1322" i="34"/>
  <c r="B1323" i="34"/>
  <c r="B1324" i="34"/>
  <c r="B1325" i="34"/>
  <c r="B1326" i="34"/>
  <c r="B1327" i="34"/>
  <c r="B1338" i="34"/>
  <c r="B1339" i="34"/>
  <c r="B1340" i="34"/>
  <c r="B1341" i="34"/>
  <c r="B1342" i="34"/>
  <c r="B1343" i="34"/>
  <c r="B1344" i="34"/>
  <c r="B1345" i="34"/>
  <c r="B1346" i="34"/>
  <c r="B1347" i="34"/>
  <c r="B1348" i="34"/>
  <c r="B1349" i="34"/>
  <c r="B1350" i="34"/>
  <c r="B1351" i="34"/>
  <c r="B1352" i="34"/>
  <c r="B1353" i="34"/>
  <c r="B1416" i="34"/>
  <c r="B1417" i="34"/>
  <c r="B1418" i="34"/>
  <c r="B1419" i="34"/>
  <c r="B1420" i="34"/>
  <c r="B1421" i="34"/>
  <c r="B1422" i="34"/>
  <c r="B1501" i="34"/>
  <c r="B1502" i="34"/>
  <c r="B1503" i="34"/>
  <c r="B1504" i="34"/>
  <c r="B1505" i="34"/>
  <c r="B1506" i="34"/>
  <c r="B1507" i="34"/>
  <c r="B1508" i="34"/>
  <c r="B1509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39" i="34"/>
  <c r="B1540" i="34"/>
  <c r="B1541" i="34"/>
  <c r="B1542" i="34"/>
  <c r="B1543" i="34"/>
  <c r="B1544" i="34"/>
  <c r="B1545" i="34"/>
  <c r="B1546" i="34"/>
  <c r="B1576" i="34"/>
  <c r="B1577" i="34"/>
  <c r="B1578" i="34"/>
  <c r="B1579" i="34"/>
  <c r="B1580" i="34"/>
  <c r="B1581" i="34"/>
  <c r="B1582" i="34"/>
  <c r="B1583" i="34"/>
  <c r="B1591" i="34"/>
  <c r="B1592" i="34"/>
  <c r="B1593" i="34"/>
  <c r="B1594" i="34"/>
  <c r="B1595" i="34"/>
  <c r="B1596" i="34"/>
  <c r="B1597" i="34"/>
  <c r="B1640" i="34"/>
  <c r="B1641" i="34"/>
  <c r="B1642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1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1" i="34"/>
  <c r="B2400" i="34"/>
  <c r="B2399" i="34"/>
  <c r="B2398" i="34"/>
  <c r="B2397" i="34"/>
  <c r="B2355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440" i="34"/>
  <c r="B2439" i="34"/>
  <c r="B2438" i="34"/>
  <c r="B2437" i="34"/>
  <c r="B2436" i="34"/>
  <c r="B2435" i="34"/>
  <c r="B2387" i="34"/>
  <c r="B2386" i="34"/>
  <c r="B2385" i="34"/>
  <c r="B2384" i="34"/>
  <c r="B2383" i="34"/>
  <c r="B2382" i="34"/>
  <c r="B1734" i="34"/>
  <c r="B1749" i="34"/>
  <c r="B1965" i="34"/>
  <c r="B1733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798" i="34" l="1"/>
  <c r="U2798" i="34"/>
  <c r="A2798" i="34"/>
  <c r="W2802" i="34"/>
  <c r="U2802" i="34"/>
  <c r="A2802" i="34"/>
  <c r="W2806" i="34"/>
  <c r="U2806" i="34"/>
  <c r="A2806" i="34"/>
  <c r="W2810" i="34"/>
  <c r="U2810" i="34"/>
  <c r="A2810" i="34"/>
  <c r="W2814" i="34"/>
  <c r="U2814" i="34"/>
  <c r="A2814" i="34"/>
  <c r="W2818" i="34"/>
  <c r="U2818" i="34"/>
  <c r="A2818" i="34"/>
  <c r="U1734" i="34"/>
  <c r="W1734" i="34"/>
  <c r="A1734" i="34"/>
  <c r="U2385" i="34"/>
  <c r="W2385" i="34"/>
  <c r="A2385" i="34"/>
  <c r="U2436" i="34"/>
  <c r="W2436" i="34"/>
  <c r="A2436" i="34"/>
  <c r="T2440" i="34"/>
  <c r="U2440" i="34"/>
  <c r="R2440" i="34"/>
  <c r="S2440" i="34"/>
  <c r="W2440" i="34"/>
  <c r="A2440" i="34"/>
  <c r="W2785" i="34"/>
  <c r="U2785" i="34"/>
  <c r="A2785" i="34"/>
  <c r="W2789" i="34"/>
  <c r="U2789" i="34"/>
  <c r="A2789" i="34"/>
  <c r="W2793" i="34"/>
  <c r="U2793" i="34"/>
  <c r="A2793" i="34"/>
  <c r="W2355" i="34"/>
  <c r="U2355" i="34"/>
  <c r="A2355" i="34"/>
  <c r="U2400" i="34"/>
  <c r="W2400" i="34"/>
  <c r="A2400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799" i="34"/>
  <c r="W2799" i="34"/>
  <c r="A2799" i="34"/>
  <c r="U2803" i="34"/>
  <c r="W2803" i="34"/>
  <c r="A2803" i="34"/>
  <c r="U2807" i="34"/>
  <c r="W2807" i="34"/>
  <c r="A2807" i="34"/>
  <c r="U2811" i="34"/>
  <c r="W2811" i="34"/>
  <c r="A2811" i="34"/>
  <c r="U2815" i="34"/>
  <c r="W2815" i="34"/>
  <c r="A2815" i="34"/>
  <c r="U1733" i="34"/>
  <c r="W1733" i="34"/>
  <c r="A1733" i="34"/>
  <c r="W2382" i="34"/>
  <c r="U2382" i="34"/>
  <c r="A2382" i="34"/>
  <c r="W2386" i="34"/>
  <c r="U2386" i="34"/>
  <c r="A2386" i="34"/>
  <c r="W2437" i="34"/>
  <c r="U2437" i="34"/>
  <c r="A2437" i="34"/>
  <c r="W2782" i="34"/>
  <c r="U2782" i="34"/>
  <c r="A2782" i="34"/>
  <c r="W2786" i="34"/>
  <c r="U2786" i="34"/>
  <c r="A2786" i="34"/>
  <c r="W2790" i="34"/>
  <c r="U2790" i="34"/>
  <c r="A2790" i="34"/>
  <c r="W2794" i="34"/>
  <c r="U2794" i="34"/>
  <c r="A2794" i="34"/>
  <c r="U2397" i="34"/>
  <c r="W2397" i="34"/>
  <c r="A2397" i="34"/>
  <c r="U2401" i="34"/>
  <c r="W2401" i="34"/>
  <c r="A2401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0" i="34"/>
  <c r="W2800" i="34"/>
  <c r="A2800" i="34"/>
  <c r="U2804" i="34"/>
  <c r="W2804" i="34"/>
  <c r="A2804" i="34"/>
  <c r="U2808" i="34"/>
  <c r="W2808" i="34"/>
  <c r="A2808" i="34"/>
  <c r="U2812" i="34"/>
  <c r="W2812" i="34"/>
  <c r="A2812" i="34"/>
  <c r="U2816" i="34"/>
  <c r="W2816" i="34"/>
  <c r="A2816" i="34"/>
  <c r="U1965" i="34"/>
  <c r="W1965" i="34"/>
  <c r="A1965" i="34"/>
  <c r="W2383" i="34"/>
  <c r="U2383" i="34"/>
  <c r="A2383" i="34"/>
  <c r="W2387" i="34"/>
  <c r="U2387" i="34"/>
  <c r="A2387" i="34"/>
  <c r="W2438" i="34"/>
  <c r="U2438" i="34"/>
  <c r="A2438" i="34"/>
  <c r="U2783" i="34"/>
  <c r="W2783" i="34"/>
  <c r="A2783" i="34"/>
  <c r="U2787" i="34"/>
  <c r="W2787" i="34"/>
  <c r="A2787" i="34"/>
  <c r="U2791" i="34"/>
  <c r="W2791" i="34"/>
  <c r="A2791" i="34"/>
  <c r="U2795" i="34"/>
  <c r="W2795" i="34"/>
  <c r="A2795" i="34"/>
  <c r="W2398" i="34"/>
  <c r="U2398" i="34"/>
  <c r="A2398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1" i="34"/>
  <c r="W2381" i="34"/>
  <c r="A2381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797" i="34"/>
  <c r="U2797" i="34"/>
  <c r="A2797" i="34"/>
  <c r="W2801" i="34"/>
  <c r="U2801" i="34"/>
  <c r="A2801" i="34"/>
  <c r="W2805" i="34"/>
  <c r="U2805" i="34"/>
  <c r="A2805" i="34"/>
  <c r="W2809" i="34"/>
  <c r="U2809" i="34"/>
  <c r="A2809" i="34"/>
  <c r="W2813" i="34"/>
  <c r="U2813" i="34"/>
  <c r="A2813" i="34"/>
  <c r="W2817" i="34"/>
  <c r="U2817" i="34"/>
  <c r="A2817" i="34"/>
  <c r="U1749" i="34"/>
  <c r="W1749" i="34"/>
  <c r="A1749" i="34"/>
  <c r="U2384" i="34"/>
  <c r="W2384" i="34"/>
  <c r="A2384" i="34"/>
  <c r="U2435" i="34"/>
  <c r="W2435" i="34"/>
  <c r="A2435" i="34"/>
  <c r="U2439" i="34"/>
  <c r="W2439" i="34"/>
  <c r="A2439" i="34"/>
  <c r="U2784" i="34"/>
  <c r="W2784" i="34"/>
  <c r="A2784" i="34"/>
  <c r="U2788" i="34"/>
  <c r="W2788" i="34"/>
  <c r="A2788" i="34"/>
  <c r="U2792" i="34"/>
  <c r="W2792" i="34"/>
  <c r="A2792" i="34"/>
  <c r="U2796" i="34"/>
  <c r="W2796" i="34"/>
  <c r="A2796" i="34"/>
  <c r="W2399" i="34"/>
  <c r="U2399" i="34"/>
  <c r="A2399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997" i="34" l="1"/>
  <c r="B744" i="34"/>
  <c r="B521" i="34"/>
  <c r="B508" i="34"/>
  <c r="U997" i="34" l="1"/>
  <c r="W997" i="34"/>
  <c r="A997" i="34"/>
  <c r="U508" i="34"/>
  <c r="W508" i="34"/>
  <c r="A508" i="34"/>
  <c r="U744" i="34"/>
  <c r="W744" i="34"/>
  <c r="A744" i="34"/>
  <c r="U521" i="34"/>
  <c r="W521" i="34"/>
  <c r="A521" i="34"/>
  <c r="F21" i="55"/>
  <c r="E21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U708" i="34" l="1"/>
  <c r="W708" i="34"/>
  <c r="A708" i="34"/>
  <c r="W721" i="34"/>
  <c r="U721" i="34"/>
  <c r="A721" i="34"/>
  <c r="U338" i="34"/>
  <c r="W338" i="34"/>
  <c r="A338" i="34"/>
  <c r="B575" i="34"/>
  <c r="B551" i="34"/>
  <c r="B69" i="34"/>
  <c r="B66" i="34"/>
  <c r="B62" i="34"/>
  <c r="B126" i="34"/>
  <c r="B165" i="34"/>
  <c r="B583" i="34"/>
  <c r="B683" i="34"/>
  <c r="I7" i="12"/>
  <c r="I8" i="12"/>
  <c r="I9" i="12"/>
  <c r="I10" i="12"/>
  <c r="I11" i="12"/>
  <c r="I12" i="12"/>
  <c r="I13" i="12"/>
  <c r="I14" i="12"/>
  <c r="I15" i="12"/>
  <c r="I6" i="12"/>
  <c r="U583" i="34" l="1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U117" i="34" l="1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W1575" i="34" l="1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S1723" i="34"/>
  <c r="W1723" i="34"/>
  <c r="T1723" i="34"/>
  <c r="U1723" i="34"/>
  <c r="R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R1729" i="34"/>
  <c r="S1729" i="34"/>
  <c r="W1729" i="34"/>
  <c r="T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R1728" i="34"/>
  <c r="S1728" i="34"/>
  <c r="W1728" i="34"/>
  <c r="T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B60" i="34"/>
  <c r="B61" i="34"/>
  <c r="B89" i="34"/>
  <c r="Z21" i="60"/>
  <c r="Z20" i="60"/>
  <c r="B996" i="34"/>
  <c r="B507" i="34"/>
  <c r="U996" i="34" l="1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355" i="55"/>
  <c r="A355" i="55" s="1"/>
  <c r="A19" i="60" l="1"/>
  <c r="A20" i="60" s="1"/>
  <c r="A21" i="60" s="1"/>
  <c r="A22" i="60" s="1"/>
  <c r="I18" i="54" l="1"/>
  <c r="B27" i="34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B990" i="34" l="1"/>
  <c r="B995" i="34"/>
  <c r="B505" i="34"/>
  <c r="B506" i="34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B100" i="34"/>
  <c r="B99" i="34"/>
  <c r="W99" i="34" l="1"/>
  <c r="U99" i="34"/>
  <c r="A99" i="34"/>
  <c r="W100" i="34"/>
  <c r="U100" i="34"/>
  <c r="A100" i="34"/>
  <c r="B181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43" i="70"/>
  <c r="I6" i="70"/>
  <c r="H12" i="61"/>
  <c r="E12" i="61"/>
  <c r="C12" i="61"/>
  <c r="D12" i="61"/>
  <c r="F12" i="61"/>
  <c r="G12" i="61"/>
  <c r="I12" i="61"/>
  <c r="U181" i="34" l="1"/>
  <c r="W181" i="34"/>
  <c r="A181" i="34"/>
  <c r="U101" i="34"/>
  <c r="W101" i="34"/>
  <c r="A10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W52" i="34" l="1"/>
  <c r="U52" i="34"/>
  <c r="A52" i="34"/>
  <c r="W53" i="34"/>
  <c r="U53" i="34"/>
  <c r="A53" i="34"/>
  <c r="B20" i="55"/>
  <c r="A20" i="55" s="1"/>
  <c r="A21" i="55"/>
  <c r="S10" i="34"/>
  <c r="I118" i="55" l="1" a="1"/>
  <c r="I118" i="55" s="1"/>
  <c r="I115" i="55" a="1"/>
  <c r="I115" i="55" s="1"/>
  <c r="I89" i="55" a="1"/>
  <c r="I89" i="55" s="1"/>
  <c r="I273" i="55" a="1"/>
  <c r="I273" i="55" s="1"/>
  <c r="I197" i="55" a="1"/>
  <c r="I197" i="55" s="1"/>
  <c r="I189" i="55" a="1"/>
  <c r="I189" i="55" s="1"/>
  <c r="I169" i="55" a="1"/>
  <c r="I169" i="55" s="1"/>
  <c r="I144" i="55" a="1"/>
  <c r="I144" i="55" s="1"/>
  <c r="I343" i="55" a="1"/>
  <c r="I343" i="55" s="1"/>
  <c r="I335" i="55" a="1"/>
  <c r="I335" i="55" s="1"/>
  <c r="I64" i="55" a="1"/>
  <c r="I64" i="55" s="1"/>
  <c r="I167" i="55" a="1"/>
  <c r="I167" i="55" s="1"/>
  <c r="I339" i="55" a="1"/>
  <c r="I339" i="55" s="1"/>
  <c r="I78" i="55" a="1"/>
  <c r="I78" i="55" s="1"/>
  <c r="I120" i="55" a="1"/>
  <c r="I120" i="55" s="1"/>
  <c r="I277" i="55" a="1"/>
  <c r="I277" i="55" s="1"/>
  <c r="I348" i="55" a="1"/>
  <c r="I348" i="55" s="1"/>
  <c r="I94" i="55" a="1"/>
  <c r="I94" i="55" s="1"/>
  <c r="I331" i="55" a="1"/>
  <c r="I331" i="55" s="1"/>
  <c r="I90" i="55" a="1"/>
  <c r="I90" i="55" s="1"/>
  <c r="I100" i="55" a="1"/>
  <c r="I100" i="55" s="1"/>
  <c r="I93" i="55" a="1"/>
  <c r="I93" i="55" s="1"/>
  <c r="I46" i="55" a="1"/>
  <c r="I46" i="55" s="1"/>
  <c r="G130" i="55" a="1"/>
  <c r="G130" i="55" s="1"/>
  <c r="G116" i="55" a="1"/>
  <c r="G116" i="55" s="1"/>
  <c r="G109" i="55" a="1"/>
  <c r="G109" i="55" s="1"/>
  <c r="G51" i="55" a="1"/>
  <c r="G51" i="55" s="1"/>
  <c r="G198" i="55" a="1"/>
  <c r="G198" i="55" s="1"/>
  <c r="G190" i="55" a="1"/>
  <c r="G190" i="55" s="1"/>
  <c r="G183" i="55" a="1"/>
  <c r="G183" i="55" s="1"/>
  <c r="G168" i="55" a="1"/>
  <c r="G168" i="55" s="1"/>
  <c r="G137" i="55" a="1"/>
  <c r="G137" i="55" s="1"/>
  <c r="G345" i="55" a="1"/>
  <c r="G345" i="55" s="1"/>
  <c r="G336" i="55" a="1"/>
  <c r="G336" i="55" s="1"/>
  <c r="G334" i="55" a="1"/>
  <c r="G334" i="55" s="1"/>
  <c r="G44" i="55" a="1"/>
  <c r="G44" i="55" s="1"/>
  <c r="G81" i="55" a="1"/>
  <c r="G81" i="55" s="1"/>
  <c r="G185" i="55" a="1"/>
  <c r="G185" i="55" s="1"/>
  <c r="G131" i="55" a="1"/>
  <c r="G131" i="55" s="1"/>
  <c r="G164" i="55" a="1"/>
  <c r="G164" i="55" s="1"/>
  <c r="G117" i="55" a="1"/>
  <c r="G117" i="55" s="1"/>
  <c r="G104" i="55" a="1"/>
  <c r="G104" i="55" s="1"/>
  <c r="G350" i="55" a="1"/>
  <c r="G350" i="55" s="1"/>
  <c r="G133" i="55" a="1"/>
  <c r="G133" i="55" s="1"/>
  <c r="G318" i="55" a="1"/>
  <c r="G318" i="55" s="1"/>
  <c r="G319" i="55" a="1"/>
  <c r="G319" i="55" s="1"/>
  <c r="G98" i="55" a="1"/>
  <c r="G98" i="55" s="1"/>
  <c r="G70" i="55" a="1"/>
  <c r="G70" i="55" s="1"/>
  <c r="G114" i="55" a="1"/>
  <c r="G114" i="55" s="1"/>
  <c r="G136" i="55" a="1"/>
  <c r="G136" i="55" s="1"/>
  <c r="G85" i="55" a="1"/>
  <c r="G85" i="55" s="1"/>
  <c r="G342" i="55" a="1"/>
  <c r="G342" i="55" s="1"/>
  <c r="G71" i="55" a="1"/>
  <c r="G71" i="55" s="1"/>
  <c r="G87" i="55" a="1"/>
  <c r="G87" i="55" s="1"/>
  <c r="G57" i="55" a="1"/>
  <c r="G57" i="55" s="1"/>
  <c r="G154" i="55" a="1"/>
  <c r="G154" i="55" s="1"/>
  <c r="I114" i="55" a="1"/>
  <c r="I114" i="55" s="1"/>
  <c r="I85" i="55" a="1"/>
  <c r="I85" i="55" s="1"/>
  <c r="I71" i="55" a="1"/>
  <c r="I71" i="55" s="1"/>
  <c r="I57" i="55" a="1"/>
  <c r="I57" i="55" s="1"/>
  <c r="I49" i="55" a="1"/>
  <c r="I49" i="55" s="1"/>
  <c r="I111" i="55" a="1"/>
  <c r="I111" i="55" s="1"/>
  <c r="I112" i="55" a="1"/>
  <c r="I112" i="55" s="1"/>
  <c r="I130" i="55" a="1"/>
  <c r="I130" i="55" s="1"/>
  <c r="I116" i="55" a="1"/>
  <c r="I116" i="55" s="1"/>
  <c r="I109" i="55" a="1"/>
  <c r="I109" i="55" s="1"/>
  <c r="I51" i="55" a="1"/>
  <c r="I51" i="55" s="1"/>
  <c r="I198" i="55" a="1"/>
  <c r="I198" i="55" s="1"/>
  <c r="I190" i="55" a="1"/>
  <c r="I190" i="55" s="1"/>
  <c r="I183" i="55" a="1"/>
  <c r="I183" i="55" s="1"/>
  <c r="I168" i="55" a="1"/>
  <c r="I168" i="55" s="1"/>
  <c r="I137" i="55" a="1"/>
  <c r="I137" i="55" s="1"/>
  <c r="I345" i="55" a="1"/>
  <c r="I345" i="55" s="1"/>
  <c r="I336" i="55" a="1"/>
  <c r="I336" i="55" s="1"/>
  <c r="I334" i="55" a="1"/>
  <c r="I334" i="55" s="1"/>
  <c r="I44" i="55" a="1"/>
  <c r="I44" i="55" s="1"/>
  <c r="I81" i="55" a="1"/>
  <c r="I81" i="55" s="1"/>
  <c r="I185" i="55" a="1"/>
  <c r="I185" i="55" s="1"/>
  <c r="I131" i="55" a="1"/>
  <c r="I131" i="55" s="1"/>
  <c r="I164" i="55" a="1"/>
  <c r="I164" i="55" s="1"/>
  <c r="I117" i="55" a="1"/>
  <c r="I117" i="55" s="1"/>
  <c r="I104" i="55" a="1"/>
  <c r="I104" i="55" s="1"/>
  <c r="I350" i="55" a="1"/>
  <c r="I350" i="55" s="1"/>
  <c r="I133" i="55" a="1"/>
  <c r="I133" i="55" s="1"/>
  <c r="I318" i="55" a="1"/>
  <c r="I318" i="55" s="1"/>
  <c r="I319" i="55" a="1"/>
  <c r="I319" i="55" s="1"/>
  <c r="I98" i="55" a="1"/>
  <c r="I98" i="55" s="1"/>
  <c r="I70" i="55" a="1"/>
  <c r="I70" i="55" s="1"/>
  <c r="G118" i="55" a="1"/>
  <c r="G118" i="55" s="1"/>
  <c r="K118" i="55" s="1"/>
  <c r="G115" i="55" a="1"/>
  <c r="G115" i="55" s="1"/>
  <c r="K115" i="55" s="1"/>
  <c r="G89" i="55" a="1"/>
  <c r="G89" i="55" s="1"/>
  <c r="K89" i="55" s="1"/>
  <c r="G273" i="55" a="1"/>
  <c r="G273" i="55" s="1"/>
  <c r="K273" i="55" s="1"/>
  <c r="G197" i="55" a="1"/>
  <c r="G197" i="55" s="1"/>
  <c r="K197" i="55" s="1"/>
  <c r="G189" i="55" a="1"/>
  <c r="G189" i="55" s="1"/>
  <c r="K189" i="55" s="1"/>
  <c r="G169" i="55" a="1"/>
  <c r="G169" i="55" s="1"/>
  <c r="K169" i="55" s="1"/>
  <c r="G144" i="55" a="1"/>
  <c r="G144" i="55" s="1"/>
  <c r="K144" i="55" s="1"/>
  <c r="G343" i="55" a="1"/>
  <c r="G343" i="55" s="1"/>
  <c r="K343" i="55" s="1"/>
  <c r="G335" i="55" a="1"/>
  <c r="G335" i="55" s="1"/>
  <c r="K335" i="55" s="1"/>
  <c r="G64" i="55" a="1"/>
  <c r="G64" i="55" s="1"/>
  <c r="K64" i="55" s="1"/>
  <c r="G167" i="55" a="1"/>
  <c r="G167" i="55" s="1"/>
  <c r="K167" i="55" s="1"/>
  <c r="G339" i="55" a="1"/>
  <c r="G339" i="55" s="1"/>
  <c r="K339" i="55" s="1"/>
  <c r="G78" i="55" a="1"/>
  <c r="G78" i="55" s="1"/>
  <c r="K78" i="55" s="1"/>
  <c r="G120" i="55" a="1"/>
  <c r="G120" i="55" s="1"/>
  <c r="K120" i="55" s="1"/>
  <c r="G277" i="55" a="1"/>
  <c r="G277" i="55" s="1"/>
  <c r="K277" i="55" s="1"/>
  <c r="G348" i="55" a="1"/>
  <c r="G348" i="55" s="1"/>
  <c r="K348" i="55" s="1"/>
  <c r="G94" i="55" a="1"/>
  <c r="G94" i="55" s="1"/>
  <c r="K94" i="55" s="1"/>
  <c r="G331" i="55" a="1"/>
  <c r="G331" i="55" s="1"/>
  <c r="K331" i="55" s="1"/>
  <c r="G90" i="55" a="1"/>
  <c r="G90" i="55" s="1"/>
  <c r="K90" i="55" s="1"/>
  <c r="G100" i="55" a="1"/>
  <c r="G100" i="55" s="1"/>
  <c r="K100" i="55" s="1"/>
  <c r="G93" i="55" a="1"/>
  <c r="G93" i="55" s="1"/>
  <c r="K93" i="55" s="1"/>
  <c r="G46" i="55" a="1"/>
  <c r="G46" i="55" s="1"/>
  <c r="K46" i="55" s="1"/>
  <c r="G149" i="55" a="1"/>
  <c r="G149" i="55" s="1"/>
  <c r="G105" i="55" a="1"/>
  <c r="G105" i="55" s="1"/>
  <c r="G340" i="55" a="1"/>
  <c r="G340" i="55" s="1"/>
  <c r="G58" i="55" a="1"/>
  <c r="G58" i="55" s="1"/>
  <c r="G127" i="55" a="1"/>
  <c r="G127" i="55" s="1"/>
  <c r="G124" i="55" a="1"/>
  <c r="G124" i="55" s="1"/>
  <c r="G175" i="55" a="1"/>
  <c r="G175" i="55" s="1"/>
  <c r="G54" i="55" a="1"/>
  <c r="G54" i="55" s="1"/>
  <c r="I136" i="55" a="1"/>
  <c r="I136" i="55" s="1"/>
  <c r="I342" i="55" a="1"/>
  <c r="I342" i="55" s="1"/>
  <c r="I87" i="55" a="1"/>
  <c r="I87" i="55" s="1"/>
  <c r="I154" i="55" a="1"/>
  <c r="I154" i="55" s="1"/>
  <c r="I187" i="55" a="1"/>
  <c r="I187" i="55" s="1"/>
  <c r="I113" i="55" a="1"/>
  <c r="I113" i="55" s="1"/>
  <c r="I163" i="55" a="1"/>
  <c r="I163" i="55" s="1"/>
  <c r="I61" i="55" a="1"/>
  <c r="I61" i="55" s="1"/>
  <c r="I150" i="55" a="1"/>
  <c r="I150" i="55" s="1"/>
  <c r="I274" i="55" a="1"/>
  <c r="I274" i="55" s="1"/>
  <c r="I337" i="55" a="1"/>
  <c r="I337" i="55" s="1"/>
  <c r="I351" i="55" a="1"/>
  <c r="I351" i="55" s="1"/>
  <c r="I349" i="55" a="1"/>
  <c r="I349" i="55" s="1"/>
  <c r="I352" i="55" a="1"/>
  <c r="I352" i="55" s="1"/>
  <c r="I333" i="55" a="1"/>
  <c r="I333" i="55" s="1"/>
  <c r="G275" i="55" a="1"/>
  <c r="G275" i="55" s="1"/>
  <c r="G122" i="55" a="1"/>
  <c r="G122" i="55" s="1"/>
  <c r="G199" i="55" a="1"/>
  <c r="G199" i="55" s="1"/>
  <c r="G74" i="55" a="1"/>
  <c r="G74" i="55" s="1"/>
  <c r="G86" i="55" a="1"/>
  <c r="G86" i="55" s="1"/>
  <c r="G173" i="55" a="1"/>
  <c r="G173" i="55" s="1"/>
  <c r="G123" i="55" a="1"/>
  <c r="G123" i="55" s="1"/>
  <c r="G73" i="55" a="1"/>
  <c r="G73" i="55" s="1"/>
  <c r="G162" i="55" a="1"/>
  <c r="G162" i="55" s="1"/>
  <c r="G158" i="55" a="1"/>
  <c r="G158" i="55" s="1"/>
  <c r="G128" i="55" a="1"/>
  <c r="G128" i="55" s="1"/>
  <c r="G329" i="55" a="1"/>
  <c r="G329" i="55" s="1"/>
  <c r="G330" i="55" a="1"/>
  <c r="G330" i="55" s="1"/>
  <c r="G283" i="55" a="1"/>
  <c r="G283" i="55" s="1"/>
  <c r="G328" i="55" a="1"/>
  <c r="G328" i="55" s="1"/>
  <c r="G309" i="55" a="1"/>
  <c r="G309" i="55" s="1"/>
  <c r="G76" i="55" a="1"/>
  <c r="G76" i="55" s="1"/>
  <c r="G91" i="55" a="1"/>
  <c r="G91" i="55" s="1"/>
  <c r="G200" i="55" a="1"/>
  <c r="G200" i="55" s="1"/>
  <c r="G201" i="55" a="1"/>
  <c r="G201" i="55" s="1"/>
  <c r="G278" i="55" a="1"/>
  <c r="G278" i="55" s="1"/>
  <c r="G314" i="55" a="1"/>
  <c r="G314" i="55" s="1"/>
  <c r="I149" i="55" a="1"/>
  <c r="I149" i="55" s="1"/>
  <c r="I340" i="55" a="1"/>
  <c r="I340" i="55" s="1"/>
  <c r="I127" i="55" a="1"/>
  <c r="I127" i="55" s="1"/>
  <c r="I175" i="55" a="1"/>
  <c r="I175" i="55" s="1"/>
  <c r="G49" i="55" a="1"/>
  <c r="G49" i="55" s="1"/>
  <c r="K49" i="55" s="1"/>
  <c r="G111" i="55" a="1"/>
  <c r="G111" i="55" s="1"/>
  <c r="K111" i="55" s="1"/>
  <c r="G112" i="55" a="1"/>
  <c r="G112" i="55" s="1"/>
  <c r="K112" i="55" s="1"/>
  <c r="G150" i="55" a="1"/>
  <c r="G150" i="55" s="1"/>
  <c r="K150" i="55" s="1"/>
  <c r="G60" i="55" a="1"/>
  <c r="G60" i="55" s="1"/>
  <c r="G353" i="55" a="1"/>
  <c r="G353" i="55" s="1"/>
  <c r="G338" i="55" a="1"/>
  <c r="G338" i="55" s="1"/>
  <c r="G344" i="55" a="1"/>
  <c r="G344" i="55" s="1"/>
  <c r="G346" i="55" a="1"/>
  <c r="G346" i="55" s="1"/>
  <c r="G347" i="55" a="1"/>
  <c r="G347" i="55" s="1"/>
  <c r="G341" i="55" a="1"/>
  <c r="G341" i="55" s="1"/>
  <c r="I270" i="55" a="1"/>
  <c r="I270" i="55" s="1"/>
  <c r="I276" i="55" a="1"/>
  <c r="I276" i="55" s="1"/>
  <c r="I126" i="55" a="1"/>
  <c r="I126" i="55" s="1"/>
  <c r="I75" i="55" a="1"/>
  <c r="I75" i="55" s="1"/>
  <c r="I188" i="55" a="1"/>
  <c r="I188" i="55" s="1"/>
  <c r="I174" i="55" a="1"/>
  <c r="I174" i="55" s="1"/>
  <c r="I110" i="55" a="1"/>
  <c r="I110" i="55" s="1"/>
  <c r="I147" i="55" a="1"/>
  <c r="I147" i="55" s="1"/>
  <c r="I186" i="55" a="1"/>
  <c r="I186" i="55" s="1"/>
  <c r="I138" i="55" a="1"/>
  <c r="I138" i="55" s="1"/>
  <c r="I161" i="55" a="1"/>
  <c r="I161" i="55" s="1"/>
  <c r="I313" i="55" a="1"/>
  <c r="I313" i="55" s="1"/>
  <c r="I311" i="55" a="1"/>
  <c r="I311" i="55" s="1"/>
  <c r="I312" i="55" a="1"/>
  <c r="I312" i="55" s="1"/>
  <c r="I327" i="55" a="1"/>
  <c r="I327" i="55" s="1"/>
  <c r="I310" i="55" a="1"/>
  <c r="I310" i="55" s="1"/>
  <c r="I65" i="55" a="1"/>
  <c r="I65" i="55" s="1"/>
  <c r="I92" i="55" a="1"/>
  <c r="I92" i="55" s="1"/>
  <c r="I202" i="55" a="1"/>
  <c r="I202" i="55" s="1"/>
  <c r="I41" i="55" a="1"/>
  <c r="I41" i="55" s="1"/>
  <c r="I279" i="55" a="1"/>
  <c r="I279" i="55" s="1"/>
  <c r="I60" i="55" a="1"/>
  <c r="I60" i="55" s="1"/>
  <c r="I353" i="55" a="1"/>
  <c r="I353" i="55" s="1"/>
  <c r="I338" i="55" a="1"/>
  <c r="I338" i="55" s="1"/>
  <c r="I344" i="55" a="1"/>
  <c r="I344" i="55" s="1"/>
  <c r="I346" i="55" a="1"/>
  <c r="I346" i="55" s="1"/>
  <c r="I347" i="55" a="1"/>
  <c r="I347" i="55" s="1"/>
  <c r="I341" i="55" a="1"/>
  <c r="I341" i="55" s="1"/>
  <c r="G270" i="55" a="1"/>
  <c r="G270" i="55" s="1"/>
  <c r="K270" i="55" s="1"/>
  <c r="G276" i="55" a="1"/>
  <c r="G276" i="55" s="1"/>
  <c r="K276" i="55" s="1"/>
  <c r="G126" i="55" a="1"/>
  <c r="G126" i="55" s="1"/>
  <c r="K126" i="55" s="1"/>
  <c r="G75" i="55" a="1"/>
  <c r="G75" i="55" s="1"/>
  <c r="K75" i="55" s="1"/>
  <c r="G188" i="55" a="1"/>
  <c r="G188" i="55" s="1"/>
  <c r="K188" i="55" s="1"/>
  <c r="G174" i="55" a="1"/>
  <c r="G174" i="55" s="1"/>
  <c r="K174" i="55" s="1"/>
  <c r="G110" i="55" a="1"/>
  <c r="G110" i="55" s="1"/>
  <c r="K110" i="55" s="1"/>
  <c r="G147" i="55" a="1"/>
  <c r="G147" i="55" s="1"/>
  <c r="K147" i="55" s="1"/>
  <c r="G186" i="55" a="1"/>
  <c r="G186" i="55" s="1"/>
  <c r="K186" i="55" s="1"/>
  <c r="G138" i="55" a="1"/>
  <c r="G138" i="55" s="1"/>
  <c r="K138" i="55" s="1"/>
  <c r="G161" i="55" a="1"/>
  <c r="G161" i="55" s="1"/>
  <c r="K161" i="55" s="1"/>
  <c r="G313" i="55" a="1"/>
  <c r="G313" i="55" s="1"/>
  <c r="K313" i="55" s="1"/>
  <c r="G311" i="55" a="1"/>
  <c r="G311" i="55" s="1"/>
  <c r="K311" i="55" s="1"/>
  <c r="G312" i="55" a="1"/>
  <c r="G312" i="55" s="1"/>
  <c r="K312" i="55" s="1"/>
  <c r="G327" i="55" a="1"/>
  <c r="G327" i="55" s="1"/>
  <c r="K327" i="55" s="1"/>
  <c r="G310" i="55" a="1"/>
  <c r="G310" i="55" s="1"/>
  <c r="K310" i="55" s="1"/>
  <c r="G65" i="55" a="1"/>
  <c r="G65" i="55" s="1"/>
  <c r="K65" i="55" s="1"/>
  <c r="G92" i="55" a="1"/>
  <c r="G92" i="55" s="1"/>
  <c r="K92" i="55" s="1"/>
  <c r="G202" i="55" a="1"/>
  <c r="G202" i="55" s="1"/>
  <c r="K202" i="55" s="1"/>
  <c r="G41" i="55" a="1"/>
  <c r="G41" i="55" s="1"/>
  <c r="K41" i="55" s="1"/>
  <c r="G279" i="55" a="1"/>
  <c r="G279" i="55" s="1"/>
  <c r="K279" i="55" s="1"/>
  <c r="I105" i="55" a="1"/>
  <c r="I105" i="55" s="1"/>
  <c r="I58" i="55" a="1"/>
  <c r="I58" i="55" s="1"/>
  <c r="I124" i="55" a="1"/>
  <c r="I124" i="55" s="1"/>
  <c r="I54" i="55" a="1"/>
  <c r="I54" i="55" s="1"/>
  <c r="G187" i="55" a="1"/>
  <c r="G187" i="55" s="1"/>
  <c r="G113" i="55" a="1"/>
  <c r="G113" i="55" s="1"/>
  <c r="K113" i="55" s="1"/>
  <c r="G163" i="55" a="1"/>
  <c r="G163" i="55" s="1"/>
  <c r="G61" i="55" a="1"/>
  <c r="G61" i="55" s="1"/>
  <c r="K61" i="55" s="1"/>
  <c r="G274" i="55" a="1"/>
  <c r="G274" i="55" s="1"/>
  <c r="K274" i="55" s="1"/>
  <c r="G337" i="55" a="1"/>
  <c r="G337" i="55" s="1"/>
  <c r="K337" i="55" s="1"/>
  <c r="G351" i="55" a="1"/>
  <c r="G351" i="55" s="1"/>
  <c r="K351" i="55" s="1"/>
  <c r="G349" i="55" a="1"/>
  <c r="G349" i="55" s="1"/>
  <c r="K349" i="55" s="1"/>
  <c r="G352" i="55" a="1"/>
  <c r="G352" i="55" s="1"/>
  <c r="K352" i="55" s="1"/>
  <c r="G333" i="55" a="1"/>
  <c r="G333" i="55" s="1"/>
  <c r="K333" i="55" s="1"/>
  <c r="I275" i="55" a="1"/>
  <c r="I275" i="55" s="1"/>
  <c r="I122" i="55" a="1"/>
  <c r="I122" i="55" s="1"/>
  <c r="I199" i="55" a="1"/>
  <c r="I199" i="55" s="1"/>
  <c r="I74" i="55" a="1"/>
  <c r="I74" i="55" s="1"/>
  <c r="I86" i="55" a="1"/>
  <c r="I86" i="55" s="1"/>
  <c r="I173" i="55" a="1"/>
  <c r="I173" i="55" s="1"/>
  <c r="I123" i="55" a="1"/>
  <c r="I123" i="55" s="1"/>
  <c r="I73" i="55" a="1"/>
  <c r="I73" i="55" s="1"/>
  <c r="I162" i="55" a="1"/>
  <c r="I162" i="55" s="1"/>
  <c r="I158" i="55" a="1"/>
  <c r="I158" i="55" s="1"/>
  <c r="I128" i="55" a="1"/>
  <c r="I128" i="55" s="1"/>
  <c r="I329" i="55" a="1"/>
  <c r="I329" i="55" s="1"/>
  <c r="I330" i="55" a="1"/>
  <c r="I330" i="55" s="1"/>
  <c r="I283" i="55" a="1"/>
  <c r="I283" i="55" s="1"/>
  <c r="I328" i="55" a="1"/>
  <c r="I328" i="55" s="1"/>
  <c r="I309" i="55" a="1"/>
  <c r="I309" i="55" s="1"/>
  <c r="I76" i="55" a="1"/>
  <c r="I76" i="55" s="1"/>
  <c r="I91" i="55" a="1"/>
  <c r="I91" i="55" s="1"/>
  <c r="I200" i="55" a="1"/>
  <c r="I200" i="55" s="1"/>
  <c r="I201" i="55" a="1"/>
  <c r="I201" i="55" s="1"/>
  <c r="I278" i="55" a="1"/>
  <c r="I278" i="55" s="1"/>
  <c r="I314" i="55" a="1"/>
  <c r="I314" i="55" s="1"/>
  <c r="G320" i="55" a="1"/>
  <c r="G320" i="55" s="1"/>
  <c r="G26" i="55" a="1"/>
  <c r="G26" i="55" s="1"/>
  <c r="G33" i="55" a="1"/>
  <c r="G33" i="55" s="1"/>
  <c r="G148" i="55" a="1"/>
  <c r="G148" i="55" s="1"/>
  <c r="G52" i="55" a="1"/>
  <c r="G52" i="55" s="1"/>
  <c r="G80" i="55" a="1"/>
  <c r="G80" i="55" s="1"/>
  <c r="I132" i="55" a="1"/>
  <c r="I132" i="55" s="1"/>
  <c r="I176" i="55" a="1"/>
  <c r="I176" i="55" s="1"/>
  <c r="I271" i="55" a="1"/>
  <c r="I271" i="55" s="1"/>
  <c r="I236" i="55" a="1"/>
  <c r="I236" i="55" s="1"/>
  <c r="I243" i="55" a="1"/>
  <c r="I243" i="55" s="1"/>
  <c r="I27" i="55" a="1"/>
  <c r="I27" i="55" s="1"/>
  <c r="I28" i="55" a="1"/>
  <c r="I28" i="55" s="1"/>
  <c r="I63" i="55" a="1"/>
  <c r="I63" i="55" s="1"/>
  <c r="I157" i="55" a="1"/>
  <c r="I157" i="55" s="1"/>
  <c r="G103" i="55" a="1"/>
  <c r="G103" i="55" s="1"/>
  <c r="G155" i="55" a="1"/>
  <c r="G155" i="55" s="1"/>
  <c r="G249" i="55" a="1"/>
  <c r="G249" i="55" s="1"/>
  <c r="G229" i="55" a="1"/>
  <c r="G229" i="55" s="1"/>
  <c r="G247" i="55" a="1"/>
  <c r="G247" i="55" s="1"/>
  <c r="I354" i="55" a="1"/>
  <c r="I354" i="55" s="1"/>
  <c r="G251" i="55" a="1"/>
  <c r="G251" i="55" s="1"/>
  <c r="I211" i="55" a="1"/>
  <c r="I211" i="55" s="1"/>
  <c r="I210" i="55" a="1"/>
  <c r="I210" i="55" s="1"/>
  <c r="I216" i="55" a="1"/>
  <c r="I216" i="55" s="1"/>
  <c r="G32" i="55" a="1"/>
  <c r="G32" i="55" s="1"/>
  <c r="G325" i="55" a="1"/>
  <c r="G325" i="55" s="1"/>
  <c r="G203" i="55" a="1"/>
  <c r="G203" i="55" s="1"/>
  <c r="I121" i="55" a="1"/>
  <c r="I121" i="55" s="1"/>
  <c r="I172" i="55" a="1"/>
  <c r="I172" i="55" s="1"/>
  <c r="I323" i="55" a="1"/>
  <c r="I323" i="55" s="1"/>
  <c r="I320" i="55" a="1"/>
  <c r="I320" i="55" s="1"/>
  <c r="G209" i="55" a="1"/>
  <c r="G209" i="55" s="1"/>
  <c r="G207" i="55" a="1"/>
  <c r="G207" i="55" s="1"/>
  <c r="G208" i="55" a="1"/>
  <c r="G208" i="55" s="1"/>
  <c r="G306" i="55" a="1"/>
  <c r="G306" i="55" s="1"/>
  <c r="I31" i="55" a="1"/>
  <c r="I31" i="55" s="1"/>
  <c r="I324" i="55" a="1"/>
  <c r="I324" i="55" s="1"/>
  <c r="I40" i="55" a="1"/>
  <c r="I40" i="55" s="1"/>
  <c r="G82" i="55" a="1"/>
  <c r="G82" i="55" s="1"/>
  <c r="G125" i="55" a="1"/>
  <c r="G125" i="55" s="1"/>
  <c r="G239" i="55" a="1"/>
  <c r="G239" i="55" s="1"/>
  <c r="G27" i="55" a="1"/>
  <c r="G27" i="55" s="1"/>
  <c r="G28" i="55" a="1"/>
  <c r="G28" i="55" s="1"/>
  <c r="G63" i="55" a="1"/>
  <c r="G63" i="55" s="1"/>
  <c r="G157" i="55" a="1"/>
  <c r="G157" i="55" s="1"/>
  <c r="I103" i="55" a="1"/>
  <c r="I103" i="55" s="1"/>
  <c r="I155" i="55" a="1"/>
  <c r="I155" i="55" s="1"/>
  <c r="I249" i="55" a="1"/>
  <c r="I249" i="55" s="1"/>
  <c r="I229" i="55" a="1"/>
  <c r="I229" i="55" s="1"/>
  <c r="I247" i="55" a="1"/>
  <c r="I247" i="55" s="1"/>
  <c r="I24" i="55" a="1"/>
  <c r="I24" i="55" s="1"/>
  <c r="I146" i="55" a="1"/>
  <c r="I146" i="55" s="1"/>
  <c r="I62" i="55" a="1"/>
  <c r="I62" i="55" s="1"/>
  <c r="I156" i="55" a="1"/>
  <c r="I156" i="55" s="1"/>
  <c r="I142" i="55" a="1"/>
  <c r="I142" i="55" s="1"/>
  <c r="G179" i="55" a="1"/>
  <c r="G179" i="55" s="1"/>
  <c r="G45" i="55" a="1"/>
  <c r="G45" i="55" s="1"/>
  <c r="G222" i="55" a="1"/>
  <c r="G222" i="55" s="1"/>
  <c r="G238" i="55" a="1"/>
  <c r="G238" i="55" s="1"/>
  <c r="G231" i="55" a="1"/>
  <c r="G231" i="55" s="1"/>
  <c r="G299" i="55" a="1"/>
  <c r="G299" i="55" s="1"/>
  <c r="I322" i="55" a="1"/>
  <c r="I322" i="55" s="1"/>
  <c r="I212" i="55" a="1"/>
  <c r="I212" i="55" s="1"/>
  <c r="I217" i="55" a="1"/>
  <c r="I217" i="55" s="1"/>
  <c r="I218" i="55" a="1"/>
  <c r="I218" i="55" s="1"/>
  <c r="G31" i="55" a="1"/>
  <c r="G31" i="55" s="1"/>
  <c r="G324" i="55" a="1"/>
  <c r="G324" i="55" s="1"/>
  <c r="G40" i="55" a="1"/>
  <c r="G40" i="55" s="1"/>
  <c r="I67" i="55" a="1"/>
  <c r="I67" i="55" s="1"/>
  <c r="I83" i="55" a="1"/>
  <c r="I83" i="55" s="1"/>
  <c r="I171" i="55" a="1"/>
  <c r="I171" i="55" s="1"/>
  <c r="G354" i="55" a="1"/>
  <c r="G354" i="55" s="1"/>
  <c r="I251" i="55" a="1"/>
  <c r="I251" i="55" s="1"/>
  <c r="G211" i="55" a="1"/>
  <c r="G211" i="55" s="1"/>
  <c r="G210" i="55" a="1"/>
  <c r="G210" i="55" s="1"/>
  <c r="G216" i="55" a="1"/>
  <c r="G216" i="55" s="1"/>
  <c r="I299" i="55" a="1"/>
  <c r="I299" i="55" s="1"/>
  <c r="I272" i="55" a="1"/>
  <c r="I272" i="55" s="1"/>
  <c r="I280" i="55" a="1"/>
  <c r="I280" i="55" s="1"/>
  <c r="I317" i="55" a="1"/>
  <c r="I317" i="55" s="1"/>
  <c r="G53" i="55" a="1"/>
  <c r="G53" i="55" s="1"/>
  <c r="G84" i="55" a="1"/>
  <c r="G84" i="55" s="1"/>
  <c r="G234" i="55" a="1"/>
  <c r="G234" i="55" s="1"/>
  <c r="G24" i="55" a="1"/>
  <c r="G24" i="55" s="1"/>
  <c r="G146" i="55" a="1"/>
  <c r="G146" i="55" s="1"/>
  <c r="G62" i="55" a="1"/>
  <c r="G62" i="55" s="1"/>
  <c r="G156" i="55" a="1"/>
  <c r="G156" i="55" s="1"/>
  <c r="G142" i="55" a="1"/>
  <c r="G142" i="55" s="1"/>
  <c r="I179" i="55" a="1"/>
  <c r="I179" i="55" s="1"/>
  <c r="I45" i="55" a="1"/>
  <c r="I45" i="55" s="1"/>
  <c r="I222" i="55" a="1"/>
  <c r="I222" i="55" s="1"/>
  <c r="I238" i="55" a="1"/>
  <c r="I238" i="55" s="1"/>
  <c r="I231" i="55" a="1"/>
  <c r="I231" i="55" s="1"/>
  <c r="I23" i="55" a="1"/>
  <c r="I23" i="55" s="1"/>
  <c r="I151" i="55" a="1"/>
  <c r="I151" i="55" s="1"/>
  <c r="I50" i="55" a="1"/>
  <c r="I50" i="55" s="1"/>
  <c r="I119" i="55" a="1"/>
  <c r="I119" i="55" s="1"/>
  <c r="G101" i="55" a="1"/>
  <c r="G101" i="55" s="1"/>
  <c r="G264" i="55" a="1"/>
  <c r="G264" i="55" s="1"/>
  <c r="G226" i="55" a="1"/>
  <c r="G226" i="55" s="1"/>
  <c r="G244" i="55" a="1"/>
  <c r="G244" i="55" s="1"/>
  <c r="I233" i="55" a="1"/>
  <c r="I233" i="55" s="1"/>
  <c r="I316" i="55" a="1"/>
  <c r="I316" i="55" s="1"/>
  <c r="I234" i="55" a="1"/>
  <c r="I234" i="55" s="1"/>
  <c r="I205" i="55" a="1"/>
  <c r="I205" i="55" s="1"/>
  <c r="I215" i="55" a="1"/>
  <c r="I215" i="55" s="1"/>
  <c r="I206" i="55" a="1"/>
  <c r="I206" i="55" s="1"/>
  <c r="I298" i="55" a="1"/>
  <c r="I298" i="55" s="1"/>
  <c r="G272" i="55" a="1"/>
  <c r="G272" i="55" s="1"/>
  <c r="G280" i="55" a="1"/>
  <c r="G280" i="55" s="1"/>
  <c r="G317" i="55" a="1"/>
  <c r="G317" i="55" s="1"/>
  <c r="I82" i="55" a="1"/>
  <c r="I82" i="55" s="1"/>
  <c r="I125" i="55" a="1"/>
  <c r="I125" i="55" s="1"/>
  <c r="G233" i="55" a="1"/>
  <c r="G233" i="55" s="1"/>
  <c r="I306" i="55" a="1"/>
  <c r="I306" i="55" s="1"/>
  <c r="G322" i="55" a="1"/>
  <c r="G322" i="55" s="1"/>
  <c r="G212" i="55" a="1"/>
  <c r="G212" i="55" s="1"/>
  <c r="G217" i="55" a="1"/>
  <c r="G217" i="55" s="1"/>
  <c r="G218" i="55" a="1"/>
  <c r="G218" i="55" s="1"/>
  <c r="I321" i="55" a="1"/>
  <c r="I321" i="55" s="1"/>
  <c r="I326" i="55" a="1"/>
  <c r="I326" i="55" s="1"/>
  <c r="I204" i="55" a="1"/>
  <c r="I204" i="55" s="1"/>
  <c r="G121" i="55" a="1"/>
  <c r="G121" i="55" s="1"/>
  <c r="G172" i="55" a="1"/>
  <c r="G172" i="55" s="1"/>
  <c r="G240" i="55" a="1"/>
  <c r="G240" i="55" s="1"/>
  <c r="G23" i="55" a="1"/>
  <c r="G23" i="55" s="1"/>
  <c r="G151" i="55" a="1"/>
  <c r="G151" i="55" s="1"/>
  <c r="G50" i="55" a="1"/>
  <c r="G50" i="55" s="1"/>
  <c r="G119" i="55" a="1"/>
  <c r="G119" i="55" s="1"/>
  <c r="I101" i="55" a="1"/>
  <c r="I101" i="55" s="1"/>
  <c r="I264" i="55" a="1"/>
  <c r="I264" i="55" s="1"/>
  <c r="I226" i="55" a="1"/>
  <c r="I226" i="55" s="1"/>
  <c r="I244" i="55" a="1"/>
  <c r="I244" i="55" s="1"/>
  <c r="I26" i="55" a="1"/>
  <c r="I26" i="55" s="1"/>
  <c r="I33" i="55" a="1"/>
  <c r="I33" i="55" s="1"/>
  <c r="I148" i="55" a="1"/>
  <c r="I148" i="55" s="1"/>
  <c r="I52" i="55" a="1"/>
  <c r="I52" i="55" s="1"/>
  <c r="I80" i="55" a="1"/>
  <c r="I80" i="55" s="1"/>
  <c r="G132" i="55" a="1"/>
  <c r="G132" i="55" s="1"/>
  <c r="G176" i="55" a="1"/>
  <c r="G176" i="55" s="1"/>
  <c r="G271" i="55" a="1"/>
  <c r="G271" i="55" s="1"/>
  <c r="G236" i="55" a="1"/>
  <c r="G236" i="55" s="1"/>
  <c r="G243" i="55" a="1"/>
  <c r="G243" i="55" s="1"/>
  <c r="G323" i="55" a="1"/>
  <c r="G323" i="55" s="1"/>
  <c r="I315" i="55" a="1"/>
  <c r="I315" i="55" s="1"/>
  <c r="I240" i="55" a="1"/>
  <c r="I240" i="55" s="1"/>
  <c r="I209" i="55" a="1"/>
  <c r="I209" i="55" s="1"/>
  <c r="I207" i="55" a="1"/>
  <c r="I207" i="55" s="1"/>
  <c r="I208" i="55" a="1"/>
  <c r="I208" i="55" s="1"/>
  <c r="G321" i="55" a="1"/>
  <c r="G321" i="55" s="1"/>
  <c r="G326" i="55" a="1"/>
  <c r="G326" i="55" s="1"/>
  <c r="G204" i="55" a="1"/>
  <c r="G204" i="55" s="1"/>
  <c r="G316" i="55" a="1"/>
  <c r="G316" i="55" s="1"/>
  <c r="I53" i="55" a="1"/>
  <c r="I53" i="55" s="1"/>
  <c r="I84" i="55" a="1"/>
  <c r="I84" i="55" s="1"/>
  <c r="I239" i="55" a="1"/>
  <c r="I239" i="55" s="1"/>
  <c r="G315" i="55" a="1"/>
  <c r="G315" i="55" s="1"/>
  <c r="G205" i="55" a="1"/>
  <c r="G205" i="55" s="1"/>
  <c r="G215" i="55" a="1"/>
  <c r="G215" i="55" s="1"/>
  <c r="G206" i="55" a="1"/>
  <c r="G206" i="55" s="1"/>
  <c r="G298" i="55" a="1"/>
  <c r="G298" i="55" s="1"/>
  <c r="I32" i="55" a="1"/>
  <c r="I32" i="55" s="1"/>
  <c r="I325" i="55" a="1"/>
  <c r="I325" i="55" s="1"/>
  <c r="I203" i="55" a="1"/>
  <c r="I203" i="55" s="1"/>
  <c r="G67" i="55" a="1"/>
  <c r="G67" i="55" s="1"/>
  <c r="K67" i="55" s="1"/>
  <c r="G83" i="55" a="1"/>
  <c r="G83" i="55" s="1"/>
  <c r="K83" i="55" s="1"/>
  <c r="G171" i="55" a="1"/>
  <c r="G171" i="55" s="1"/>
  <c r="K171" i="55" s="1"/>
  <c r="A3" i="15"/>
  <c r="A2" i="15"/>
  <c r="N8" i="73"/>
  <c r="M8" i="73"/>
  <c r="A2" i="73"/>
  <c r="A1" i="73"/>
  <c r="K323" i="55" l="1"/>
  <c r="K322" i="55"/>
  <c r="Z14" i="34"/>
  <c r="Z1839" i="34"/>
  <c r="Z1730" i="34"/>
  <c r="Z1534" i="34"/>
  <c r="Z1841" i="34"/>
  <c r="Z2359" i="34"/>
  <c r="Z994" i="34"/>
  <c r="Z1336" i="34"/>
  <c r="Z2361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2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0" i="34"/>
  <c r="Z1538" i="34"/>
  <c r="Z2669" i="34"/>
  <c r="Z46" i="34"/>
  <c r="Z2668" i="34"/>
  <c r="Z2231" i="34"/>
  <c r="Z2215" i="34"/>
  <c r="Z2112" i="34"/>
  <c r="Z2038" i="34"/>
  <c r="Z2307" i="34"/>
  <c r="Z2291" i="34"/>
  <c r="Z2204" i="34"/>
  <c r="Z2188" i="34"/>
  <c r="Z2090" i="34"/>
  <c r="Z2030" i="34"/>
  <c r="Z2779" i="34"/>
  <c r="Z2585" i="34"/>
  <c r="Z2601" i="34"/>
  <c r="Z2554" i="34"/>
  <c r="Z2570" i="34"/>
  <c r="Z2653" i="34"/>
  <c r="Z2711" i="34"/>
  <c r="Z2727" i="34"/>
  <c r="Z2472" i="34"/>
  <c r="Z2822" i="34"/>
  <c r="Z2489" i="34"/>
  <c r="Z2509" i="34"/>
  <c r="Z2525" i="34"/>
  <c r="Z2631" i="34"/>
  <c r="Z2546" i="34"/>
  <c r="Z2453" i="34"/>
  <c r="Z2685" i="34"/>
  <c r="Z2641" i="34"/>
  <c r="Z2538" i="34"/>
  <c r="Z2484" i="34"/>
  <c r="Z2464" i="34"/>
  <c r="Z2757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2" i="34"/>
  <c r="Z2598" i="34"/>
  <c r="Z2663" i="34"/>
  <c r="Z2563" i="34"/>
  <c r="Z2650" i="34"/>
  <c r="Z2716" i="34"/>
  <c r="Z2732" i="34"/>
  <c r="Z2510" i="34"/>
  <c r="Z2526" i="34"/>
  <c r="Z2624" i="34"/>
  <c r="Z2494" i="34"/>
  <c r="Z2688" i="34"/>
  <c r="Z2672" i="34"/>
  <c r="Z2483" i="34"/>
  <c r="Z2467" i="34"/>
  <c r="Z2764" i="34"/>
  <c r="Z2748" i="34"/>
  <c r="Z2221" i="34"/>
  <c r="Z2102" i="34"/>
  <c r="Z2036" i="34"/>
  <c r="Z2432" i="34"/>
  <c r="Z2379" i="34"/>
  <c r="Z2313" i="34"/>
  <c r="Z2297" i="34"/>
  <c r="Z2190" i="34"/>
  <c r="Z2084" i="34"/>
  <c r="Z2024" i="34"/>
  <c r="Z2777" i="34"/>
  <c r="Z2495" i="34"/>
  <c r="Z2591" i="34"/>
  <c r="Z2607" i="34"/>
  <c r="Z2552" i="34"/>
  <c r="Z2568" i="34"/>
  <c r="Z2643" i="34"/>
  <c r="Z2747" i="34"/>
  <c r="Z2700" i="34"/>
  <c r="Z2709" i="34"/>
  <c r="Z2725" i="34"/>
  <c r="Z2741" i="34"/>
  <c r="Z2443" i="34"/>
  <c r="Z2452" i="34"/>
  <c r="Z2507" i="34"/>
  <c r="Z2523" i="34"/>
  <c r="Z2621" i="34"/>
  <c r="Z2687" i="34"/>
  <c r="Z2671" i="34"/>
  <c r="Z2532" i="34"/>
  <c r="Z2466" i="34"/>
  <c r="Z2759" i="34"/>
  <c r="Z2228" i="34"/>
  <c r="Z2212" i="34"/>
  <c r="Z2113" i="34"/>
  <c r="Z2097" i="34"/>
  <c r="Z2047" i="34"/>
  <c r="Z2378" i="34"/>
  <c r="Z2304" i="34"/>
  <c r="Z2205" i="34"/>
  <c r="Z2189" i="34"/>
  <c r="Z2083" i="34"/>
  <c r="Z2023" i="34"/>
  <c r="Z2454" i="34"/>
  <c r="Z2588" i="34"/>
  <c r="Z2604" i="34"/>
  <c r="Z2553" i="34"/>
  <c r="Z2569" i="34"/>
  <c r="Z2744" i="34"/>
  <c r="Z2758" i="34"/>
  <c r="Z2701" i="34"/>
  <c r="Z2714" i="34"/>
  <c r="Z2730" i="34"/>
  <c r="Z2496" i="34"/>
  <c r="Z2512" i="34"/>
  <c r="Z2528" i="34"/>
  <c r="Z2543" i="34"/>
  <c r="Z2694" i="34"/>
  <c r="Z2674" i="34"/>
  <c r="Z2469" i="34"/>
  <c r="Z2448" i="34"/>
  <c r="Z2750" i="34"/>
  <c r="Z2321" i="34"/>
  <c r="Z2235" i="34"/>
  <c r="Z2219" i="34"/>
  <c r="Z2100" i="34"/>
  <c r="Z2042" i="34"/>
  <c r="Z2430" i="34"/>
  <c r="Z2311" i="34"/>
  <c r="Z2295" i="34"/>
  <c r="Z2208" i="34"/>
  <c r="Z2192" i="34"/>
  <c r="Z2094" i="34"/>
  <c r="Z2034" i="34"/>
  <c r="Z2775" i="34"/>
  <c r="Z2581" i="34"/>
  <c r="Z2597" i="34"/>
  <c r="Z2666" i="34"/>
  <c r="Z2566" i="34"/>
  <c r="Z2616" i="34"/>
  <c r="Z2649" i="34"/>
  <c r="Z2634" i="34"/>
  <c r="Z2707" i="34"/>
  <c r="Z2723" i="34"/>
  <c r="Z2739" i="34"/>
  <c r="Z2450" i="34"/>
  <c r="Z2505" i="34"/>
  <c r="Z2521" i="34"/>
  <c r="Z2627" i="34"/>
  <c r="Z2550" i="34"/>
  <c r="Z2689" i="34"/>
  <c r="Z2673" i="34"/>
  <c r="Z2542" i="34"/>
  <c r="Z2468" i="34"/>
  <c r="Z2447" i="34"/>
  <c r="Z2761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0" i="34"/>
  <c r="Z2578" i="34"/>
  <c r="Z2594" i="34"/>
  <c r="Z2610" i="34"/>
  <c r="Z2659" i="34"/>
  <c r="Z2559" i="34"/>
  <c r="Z2575" i="34"/>
  <c r="Z2646" i="34"/>
  <c r="Z2686" i="34"/>
  <c r="Z2712" i="34"/>
  <c r="Z2728" i="34"/>
  <c r="Z2506" i="34"/>
  <c r="Z2522" i="34"/>
  <c r="Z2692" i="34"/>
  <c r="Z2676" i="34"/>
  <c r="Z2533" i="34"/>
  <c r="Z2471" i="34"/>
  <c r="Z2768" i="34"/>
  <c r="Z2752" i="34"/>
  <c r="Z2198" i="34"/>
  <c r="Z2319" i="34"/>
  <c r="Z2225" i="34"/>
  <c r="Z2106" i="34"/>
  <c r="Z2040" i="34"/>
  <c r="Z2317" i="34"/>
  <c r="Z2301" i="34"/>
  <c r="Z2194" i="34"/>
  <c r="Z2088" i="34"/>
  <c r="Z2028" i="34"/>
  <c r="Z2773" i="34"/>
  <c r="Z2587" i="34"/>
  <c r="Z2603" i="34"/>
  <c r="Z2618" i="34"/>
  <c r="Z2664" i="34"/>
  <c r="Z2564" i="34"/>
  <c r="Z2743" i="34"/>
  <c r="Z2705" i="34"/>
  <c r="Z2721" i="34"/>
  <c r="Z2737" i="34"/>
  <c r="Z2474" i="34"/>
  <c r="Z2487" i="34"/>
  <c r="Z2824" i="34"/>
  <c r="Z2503" i="34"/>
  <c r="Z2519" i="34"/>
  <c r="Z2633" i="34"/>
  <c r="Z2544" i="34"/>
  <c r="Z2691" i="34"/>
  <c r="Z2675" i="34"/>
  <c r="Z2536" i="34"/>
  <c r="Z2470" i="34"/>
  <c r="Z2763" i="34"/>
  <c r="Z2232" i="34"/>
  <c r="Z2216" i="34"/>
  <c r="Z2101" i="34"/>
  <c r="Z2035" i="34"/>
  <c r="Z2308" i="34"/>
  <c r="Z2292" i="34"/>
  <c r="Z2209" i="34"/>
  <c r="Z2193" i="34"/>
  <c r="Z2087" i="34"/>
  <c r="Z2027" i="34"/>
  <c r="Z2778" i="34"/>
  <c r="Z2584" i="34"/>
  <c r="Z2600" i="34"/>
  <c r="Z2619" i="34"/>
  <c r="Z2665" i="34"/>
  <c r="Z2565" i="34"/>
  <c r="Z2652" i="34"/>
  <c r="Z2710" i="34"/>
  <c r="Z2726" i="34"/>
  <c r="Z2742" i="34"/>
  <c r="Z2465" i="34"/>
  <c r="Z2488" i="34"/>
  <c r="Z2508" i="34"/>
  <c r="Z2524" i="34"/>
  <c r="Z2630" i="34"/>
  <c r="Z2547" i="34"/>
  <c r="Z2698" i="34"/>
  <c r="Z2678" i="34"/>
  <c r="Z2531" i="34"/>
  <c r="Z2477" i="34"/>
  <c r="Z2754" i="34"/>
  <c r="Z2325" i="34"/>
  <c r="Z2223" i="34"/>
  <c r="Z2104" i="34"/>
  <c r="Z2046" i="34"/>
  <c r="Z2434" i="34"/>
  <c r="Z2315" i="34"/>
  <c r="Z2299" i="34"/>
  <c r="Z2196" i="34"/>
  <c r="Z2082" i="34"/>
  <c r="Z2022" i="34"/>
  <c r="Z2771" i="34"/>
  <c r="Z2577" i="34"/>
  <c r="Z2593" i="34"/>
  <c r="Z2609" i="34"/>
  <c r="Z2662" i="34"/>
  <c r="Z2562" i="34"/>
  <c r="Z2645" i="34"/>
  <c r="Z2703" i="34"/>
  <c r="Z2719" i="34"/>
  <c r="Z2735" i="34"/>
  <c r="Z2442" i="34"/>
  <c r="Z2485" i="34"/>
  <c r="Z2501" i="34"/>
  <c r="Z2517" i="34"/>
  <c r="Z2613" i="34"/>
  <c r="Z2623" i="34"/>
  <c r="Z2693" i="34"/>
  <c r="Z2677" i="34"/>
  <c r="Z2476" i="34"/>
  <c r="Z2765" i="34"/>
  <c r="Z2749" i="34"/>
  <c r="Z2222" i="34"/>
  <c r="Z2037" i="34"/>
  <c r="Z2376" i="34"/>
  <c r="Z2310" i="34"/>
  <c r="Z2294" i="34"/>
  <c r="Z2203" i="34"/>
  <c r="Z2187" i="34"/>
  <c r="Z2089" i="34"/>
  <c r="Z2029" i="34"/>
  <c r="Z2776" i="34"/>
  <c r="Z2590" i="34"/>
  <c r="Z2606" i="34"/>
  <c r="Z2655" i="34"/>
  <c r="Z2781" i="34"/>
  <c r="Z2555" i="34"/>
  <c r="Z2571" i="34"/>
  <c r="Z2746" i="34"/>
  <c r="Z2708" i="34"/>
  <c r="Z2724" i="34"/>
  <c r="Z2740" i="34"/>
  <c r="Z2473" i="34"/>
  <c r="Z2486" i="34"/>
  <c r="Z2451" i="34"/>
  <c r="Z2502" i="34"/>
  <c r="Z2518" i="34"/>
  <c r="Z2614" i="34"/>
  <c r="Z2632" i="34"/>
  <c r="Z2545" i="34"/>
  <c r="Z2696" i="34"/>
  <c r="Z2680" i="34"/>
  <c r="Z2636" i="34"/>
  <c r="Z2537" i="34"/>
  <c r="Z2492" i="34"/>
  <c r="Z2475" i="34"/>
  <c r="Z2459" i="34"/>
  <c r="Z2756" i="34"/>
  <c r="Z2323" i="34"/>
  <c r="Z2229" i="34"/>
  <c r="Z2213" i="34"/>
  <c r="Z2110" i="34"/>
  <c r="Z2044" i="34"/>
  <c r="Z2305" i="34"/>
  <c r="Z2289" i="34"/>
  <c r="Z2202" i="34"/>
  <c r="Z2092" i="34"/>
  <c r="Z2032" i="34"/>
  <c r="Z2583" i="34"/>
  <c r="Z2599" i="34"/>
  <c r="Z2660" i="34"/>
  <c r="Z2560" i="34"/>
  <c r="Z2576" i="34"/>
  <c r="Z2651" i="34"/>
  <c r="Z2717" i="34"/>
  <c r="Z2733" i="34"/>
  <c r="Z2499" i="34"/>
  <c r="Z2515" i="34"/>
  <c r="Z2611" i="34"/>
  <c r="Z2629" i="34"/>
  <c r="Z2548" i="34"/>
  <c r="Z2695" i="34"/>
  <c r="Z2679" i="34"/>
  <c r="Z2635" i="34"/>
  <c r="Z2540" i="34"/>
  <c r="Z2491" i="34"/>
  <c r="Z2478" i="34"/>
  <c r="Z2458" i="34"/>
  <c r="Z2445" i="34"/>
  <c r="Z2767" i="34"/>
  <c r="Z2751" i="34"/>
  <c r="Z2322" i="34"/>
  <c r="Z2236" i="34"/>
  <c r="Z2220" i="34"/>
  <c r="Z2105" i="34"/>
  <c r="Z2039" i="34"/>
  <c r="Z2431" i="34"/>
  <c r="Z2312" i="34"/>
  <c r="Z2296" i="34"/>
  <c r="Z2197" i="34"/>
  <c r="Z2091" i="34"/>
  <c r="Z2031" i="34"/>
  <c r="Z2774" i="34"/>
  <c r="Z2580" i="34"/>
  <c r="Z2596" i="34"/>
  <c r="Z2661" i="34"/>
  <c r="Z2561" i="34"/>
  <c r="Z2648" i="34"/>
  <c r="Z2706" i="34"/>
  <c r="Z2722" i="34"/>
  <c r="Z2738" i="34"/>
  <c r="Z2457" i="34"/>
  <c r="Z2504" i="34"/>
  <c r="Z2520" i="34"/>
  <c r="Z2626" i="34"/>
  <c r="Z2551" i="34"/>
  <c r="Z2682" i="34"/>
  <c r="Z2638" i="34"/>
  <c r="Z2535" i="34"/>
  <c r="Z2490" i="34"/>
  <c r="Z2481" i="34"/>
  <c r="Z2762" i="34"/>
  <c r="Z2329" i="34"/>
  <c r="Z2227" i="34"/>
  <c r="Z2211" i="34"/>
  <c r="Z2108" i="34"/>
  <c r="Z2050" i="34"/>
  <c r="Z2377" i="34"/>
  <c r="Z1978" i="34"/>
  <c r="Z2303" i="34"/>
  <c r="Z2200" i="34"/>
  <c r="Z2184" i="34"/>
  <c r="Z2086" i="34"/>
  <c r="Z2026" i="34"/>
  <c r="Z2589" i="34"/>
  <c r="Z2605" i="34"/>
  <c r="Z2620" i="34"/>
  <c r="Z2658" i="34"/>
  <c r="Z2558" i="34"/>
  <c r="Z2574" i="34"/>
  <c r="Z2745" i="34"/>
  <c r="Z2715" i="34"/>
  <c r="Z2731" i="34"/>
  <c r="Z2497" i="34"/>
  <c r="Z2513" i="34"/>
  <c r="Z2529" i="34"/>
  <c r="Z2697" i="34"/>
  <c r="Z2681" i="34"/>
  <c r="Z2637" i="34"/>
  <c r="Z2534" i="34"/>
  <c r="Z2493" i="34"/>
  <c r="Z2480" i="34"/>
  <c r="Z2460" i="34"/>
  <c r="Z2769" i="34"/>
  <c r="Z2753" i="34"/>
  <c r="Z2320" i="34"/>
  <c r="Z2226" i="34"/>
  <c r="Z2210" i="34"/>
  <c r="Z2103" i="34"/>
  <c r="Z2041" i="34"/>
  <c r="Z2433" i="34"/>
  <c r="Z2380" i="34"/>
  <c r="Z2314" i="34"/>
  <c r="Z2298" i="34"/>
  <c r="Z2207" i="34"/>
  <c r="Z2191" i="34"/>
  <c r="Z2093" i="34"/>
  <c r="Z2033" i="34"/>
  <c r="Z2772" i="34"/>
  <c r="Z2586" i="34"/>
  <c r="Z2602" i="34"/>
  <c r="Z2567" i="34"/>
  <c r="Z2617" i="34"/>
  <c r="Z2654" i="34"/>
  <c r="Z2704" i="34"/>
  <c r="Z2720" i="34"/>
  <c r="Z2736" i="34"/>
  <c r="Z2441" i="34"/>
  <c r="Z2455" i="34"/>
  <c r="Z2823" i="34"/>
  <c r="Z2498" i="34"/>
  <c r="Z2514" i="34"/>
  <c r="Z2530" i="34"/>
  <c r="Z2628" i="34"/>
  <c r="Z2549" i="34"/>
  <c r="Z2684" i="34"/>
  <c r="Z2640" i="34"/>
  <c r="Z2541" i="34"/>
  <c r="Z2479" i="34"/>
  <c r="Z2463" i="34"/>
  <c r="Z2446" i="34"/>
  <c r="Z2760" i="34"/>
  <c r="Z2327" i="34"/>
  <c r="Z2233" i="34"/>
  <c r="Z2217" i="34"/>
  <c r="Z2114" i="34"/>
  <c r="Z2098" i="34"/>
  <c r="Z2048" i="34"/>
  <c r="Z2375" i="34"/>
  <c r="Z2309" i="34"/>
  <c r="Z2293" i="34"/>
  <c r="Z2206" i="34"/>
  <c r="Z2186" i="34"/>
  <c r="Z2096" i="34"/>
  <c r="Z2080" i="34"/>
  <c r="Z2020" i="34"/>
  <c r="Z2579" i="34"/>
  <c r="Z2595" i="34"/>
  <c r="Z2656" i="34"/>
  <c r="Z2556" i="34"/>
  <c r="Z2572" i="34"/>
  <c r="Z2647" i="34"/>
  <c r="Z2713" i="34"/>
  <c r="Z2729" i="34"/>
  <c r="Z2456" i="34"/>
  <c r="Z2511" i="34"/>
  <c r="Z2527" i="34"/>
  <c r="Z2625" i="34"/>
  <c r="Z2699" i="34"/>
  <c r="Z2683" i="34"/>
  <c r="Z2639" i="34"/>
  <c r="Z2482" i="34"/>
  <c r="Z2462" i="34"/>
  <c r="Z2755" i="34"/>
  <c r="Z2019" i="34"/>
  <c r="Z2326" i="34"/>
  <c r="Z2224" i="34"/>
  <c r="Z2109" i="34"/>
  <c r="Z2043" i="34"/>
  <c r="Z2374" i="34"/>
  <c r="Z2316" i="34"/>
  <c r="Z2300" i="34"/>
  <c r="Z2201" i="34"/>
  <c r="Z2185" i="34"/>
  <c r="Z2095" i="34"/>
  <c r="Z2079" i="34"/>
  <c r="Z2766" i="34"/>
  <c r="Z2592" i="34"/>
  <c r="Z2608" i="34"/>
  <c r="Z2657" i="34"/>
  <c r="Z2557" i="34"/>
  <c r="Z2573" i="34"/>
  <c r="Z2615" i="34"/>
  <c r="Z2644" i="34"/>
  <c r="Z2718" i="34"/>
  <c r="Z2734" i="34"/>
  <c r="Z2449" i="34"/>
  <c r="Z2667" i="34"/>
  <c r="Z2500" i="34"/>
  <c r="Z2516" i="34"/>
  <c r="Z2612" i="34"/>
  <c r="Z2622" i="34"/>
  <c r="Z2690" i="34"/>
  <c r="Z2642" i="34"/>
  <c r="Z2539" i="34"/>
  <c r="Z2461" i="34"/>
  <c r="Z2444" i="34"/>
  <c r="Z2770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0" i="34"/>
  <c r="Z1899" i="34"/>
  <c r="Z1897" i="34"/>
  <c r="Z1902" i="34"/>
  <c r="Z1960" i="34"/>
  <c r="Z1892" i="34"/>
  <c r="Z2409" i="34"/>
  <c r="Z1859" i="34"/>
  <c r="Z2146" i="34"/>
  <c r="Z2147" i="34"/>
  <c r="Z2259" i="34"/>
  <c r="Z2275" i="34"/>
  <c r="Z2370" i="34"/>
  <c r="Z1972" i="34"/>
  <c r="Z1992" i="34"/>
  <c r="Z2059" i="34"/>
  <c r="Z2129" i="34"/>
  <c r="Z1904" i="34"/>
  <c r="Z1885" i="34"/>
  <c r="Z2396" i="34"/>
  <c r="Z2405" i="34"/>
  <c r="Z2420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24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2" i="34"/>
  <c r="Z2429" i="34"/>
  <c r="Z1990" i="34"/>
  <c r="Z2053" i="34"/>
  <c r="Z2131" i="34"/>
  <c r="Z1825" i="34"/>
  <c r="Z1879" i="34"/>
  <c r="Z2394" i="34"/>
  <c r="Z2418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1" i="34"/>
  <c r="Z2010" i="34"/>
  <c r="Z2063" i="34"/>
  <c r="Z1744" i="34"/>
  <c r="Z1766" i="34"/>
  <c r="Z1816" i="34"/>
  <c r="Z1872" i="34"/>
  <c r="Z2078" i="34"/>
  <c r="Z2171" i="34"/>
  <c r="Z2271" i="34"/>
  <c r="Z2287" i="34"/>
  <c r="Z2366" i="34"/>
  <c r="Z2427" i="34"/>
  <c r="Z1988" i="34"/>
  <c r="Z2055" i="34"/>
  <c r="Z2125" i="34"/>
  <c r="Z2141" i="34"/>
  <c r="Z1939" i="34"/>
  <c r="Z1835" i="34"/>
  <c r="Z1881" i="34"/>
  <c r="Z1922" i="34"/>
  <c r="Z1947" i="34"/>
  <c r="Z2416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1" i="34"/>
  <c r="Z1977" i="34"/>
  <c r="Z1997" i="34"/>
  <c r="Z2056" i="34"/>
  <c r="Z2126" i="34"/>
  <c r="Z2142" i="34"/>
  <c r="Z1824" i="34"/>
  <c r="Z1878" i="34"/>
  <c r="Z1981" i="34"/>
  <c r="Z2363" i="34"/>
  <c r="Z2421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68" i="34"/>
  <c r="Z1986" i="34"/>
  <c r="Z2127" i="34"/>
  <c r="Z2143" i="34"/>
  <c r="Z1910" i="34"/>
  <c r="Z1891" i="34"/>
  <c r="Z2000" i="34"/>
  <c r="Z2390" i="34"/>
  <c r="Z2407" i="34"/>
  <c r="Z2414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3" i="34"/>
  <c r="Z1971" i="34"/>
  <c r="Z1991" i="34"/>
  <c r="Z2058" i="34"/>
  <c r="Z2120" i="34"/>
  <c r="Z2136" i="34"/>
  <c r="Z1903" i="34"/>
  <c r="Z1826" i="34"/>
  <c r="Z1888" i="34"/>
  <c r="Z1917" i="34"/>
  <c r="Z2145" i="34"/>
  <c r="Z2360" i="34"/>
  <c r="Z2006" i="34"/>
  <c r="Z1961" i="34"/>
  <c r="Z2821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23" i="34"/>
  <c r="Z1984" i="34"/>
  <c r="Z2051" i="34"/>
  <c r="Z2121" i="34"/>
  <c r="Z2137" i="34"/>
  <c r="Z1875" i="34"/>
  <c r="Z1912" i="34"/>
  <c r="Z1935" i="34"/>
  <c r="Z1831" i="34"/>
  <c r="Z1918" i="34"/>
  <c r="Z1943" i="34"/>
  <c r="Z2412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7" i="34"/>
  <c r="Z1973" i="34"/>
  <c r="Z1993" i="34"/>
  <c r="Z2052" i="34"/>
  <c r="Z2122" i="34"/>
  <c r="Z2138" i="34"/>
  <c r="Z1890" i="34"/>
  <c r="Z1919" i="34"/>
  <c r="Z2116" i="34"/>
  <c r="Z2393" i="34"/>
  <c r="Z2406" i="34"/>
  <c r="Z2417" i="34"/>
  <c r="Z2004" i="34"/>
  <c r="Z2069" i="34"/>
  <c r="Z1732" i="34"/>
  <c r="Z2410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25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3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69" i="34"/>
  <c r="Z1987" i="34"/>
  <c r="Z2054" i="34"/>
  <c r="Z2132" i="34"/>
  <c r="Z1884" i="34"/>
  <c r="Z1913" i="34"/>
  <c r="Z2395" i="34"/>
  <c r="Z2419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2" i="34"/>
  <c r="Z2388" i="34"/>
  <c r="Z2392" i="34"/>
  <c r="Z2011" i="34"/>
  <c r="Z2060" i="34"/>
  <c r="Z1731" i="34"/>
  <c r="Z2408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28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89" i="34"/>
  <c r="Z2402" i="34"/>
  <c r="Z2413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8" i="34"/>
  <c r="Z2364" i="34"/>
  <c r="Z2422" i="34"/>
  <c r="Z2819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26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5" i="34"/>
  <c r="Z2391" i="34"/>
  <c r="Z2404" i="34"/>
  <c r="Z2415" i="34"/>
  <c r="Z2014" i="34"/>
  <c r="Z2067" i="34"/>
  <c r="Z1791" i="34"/>
  <c r="Z1848" i="34"/>
  <c r="Z1741" i="34"/>
  <c r="Z1754" i="34"/>
  <c r="Z1820" i="34"/>
  <c r="Z2798" i="34"/>
  <c r="Z2814" i="34"/>
  <c r="Z2385" i="34"/>
  <c r="Z2440" i="34"/>
  <c r="Z2793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03" i="34"/>
  <c r="Z1733" i="34"/>
  <c r="Z2437" i="34"/>
  <c r="Z2790" i="34"/>
  <c r="Z2401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08" i="34"/>
  <c r="Z2387" i="34"/>
  <c r="Z2783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09" i="34"/>
  <c r="Z2435" i="34"/>
  <c r="Z2796" i="34"/>
  <c r="Z2399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0" i="34"/>
  <c r="Z1734" i="34"/>
  <c r="Z2789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799" i="34"/>
  <c r="Z2815" i="34"/>
  <c r="Z2386" i="34"/>
  <c r="Z2786" i="34"/>
  <c r="Z2397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04" i="34"/>
  <c r="Z2383" i="34"/>
  <c r="Z2795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05" i="34"/>
  <c r="Z2384" i="34"/>
  <c r="Z2792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06" i="34"/>
  <c r="Z2785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1" i="34"/>
  <c r="Z2382" i="34"/>
  <c r="Z2782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0" i="34"/>
  <c r="Z2816" i="34"/>
  <c r="Z1965" i="34"/>
  <c r="Z2791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1" i="34"/>
  <c r="Z2817" i="34"/>
  <c r="Z1749" i="34"/>
  <c r="Z2788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2" i="34"/>
  <c r="Z2818" i="34"/>
  <c r="Z2436" i="34"/>
  <c r="Z2400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07" i="34"/>
  <c r="Z2794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2" i="34"/>
  <c r="Z2438" i="34"/>
  <c r="Z2787" i="34"/>
  <c r="Z2398" i="34"/>
  <c r="Z2342" i="34"/>
  <c r="Z2381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797" i="34"/>
  <c r="Z2813" i="34"/>
  <c r="Z2439" i="34"/>
  <c r="Z2784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243" i="55"/>
  <c r="K271" i="55"/>
  <c r="K132" i="55"/>
  <c r="K121" i="55"/>
  <c r="K163" i="55"/>
  <c r="K187" i="55"/>
  <c r="K236" i="55"/>
  <c r="K176" i="55"/>
  <c r="K172" i="55"/>
  <c r="K206" i="55"/>
  <c r="K205" i="55"/>
  <c r="K63" i="55"/>
  <c r="K27" i="55"/>
  <c r="K272" i="55"/>
  <c r="K157" i="55"/>
  <c r="K218" i="55"/>
  <c r="K317" i="55"/>
  <c r="K298" i="55"/>
  <c r="K28" i="55"/>
  <c r="K62" i="55"/>
  <c r="K324" i="55"/>
  <c r="K215" i="55"/>
  <c r="K142" i="55"/>
  <c r="K24" i="55"/>
  <c r="K119" i="55"/>
  <c r="K23" i="55"/>
  <c r="K146" i="55"/>
  <c r="K31" i="55"/>
  <c r="K216" i="55"/>
  <c r="K40" i="55"/>
  <c r="K326" i="55"/>
  <c r="K50" i="55"/>
  <c r="K280" i="55"/>
  <c r="K341" i="55"/>
  <c r="K346" i="55"/>
  <c r="K338" i="55"/>
  <c r="K278" i="55"/>
  <c r="K200" i="55"/>
  <c r="K76" i="55"/>
  <c r="K328" i="55"/>
  <c r="K330" i="55"/>
  <c r="K128" i="55"/>
  <c r="K73" i="55"/>
  <c r="K173" i="55"/>
  <c r="K74" i="55"/>
  <c r="K122" i="55"/>
  <c r="K175" i="55"/>
  <c r="K127" i="55"/>
  <c r="K340" i="55"/>
  <c r="K149" i="55"/>
  <c r="K57" i="55"/>
  <c r="K71" i="55"/>
  <c r="K85" i="55"/>
  <c r="K114" i="55"/>
  <c r="K98" i="55"/>
  <c r="K318" i="55"/>
  <c r="K350" i="55"/>
  <c r="K117" i="55"/>
  <c r="K164" i="55"/>
  <c r="K131" i="55"/>
  <c r="K336" i="55"/>
  <c r="K137" i="55"/>
  <c r="K183" i="55"/>
  <c r="K198" i="55"/>
  <c r="K109" i="55"/>
  <c r="K130" i="55"/>
  <c r="K347" i="55"/>
  <c r="K344" i="55"/>
  <c r="K353" i="55"/>
  <c r="K60" i="55"/>
  <c r="K314" i="55"/>
  <c r="K201" i="55"/>
  <c r="K91" i="55"/>
  <c r="K309" i="55"/>
  <c r="K283" i="55"/>
  <c r="K329" i="55"/>
  <c r="K158" i="55"/>
  <c r="K162" i="55"/>
  <c r="K123" i="55"/>
  <c r="K86" i="55"/>
  <c r="K199" i="55"/>
  <c r="K275" i="55"/>
  <c r="K54" i="55"/>
  <c r="K124" i="55"/>
  <c r="K58" i="55"/>
  <c r="K105" i="55"/>
  <c r="K154" i="55"/>
  <c r="K87" i="55"/>
  <c r="K342" i="55"/>
  <c r="K136" i="55"/>
  <c r="K70" i="55"/>
  <c r="K319" i="55"/>
  <c r="K133" i="55"/>
  <c r="K104" i="55"/>
  <c r="K185" i="55"/>
  <c r="K81" i="55"/>
  <c r="K44" i="55"/>
  <c r="K334" i="55"/>
  <c r="K345" i="55"/>
  <c r="K168" i="55"/>
  <c r="K190" i="55"/>
  <c r="K51" i="55"/>
  <c r="K116" i="55"/>
  <c r="K321" i="55"/>
  <c r="K33" i="55"/>
  <c r="K45" i="55"/>
  <c r="K80" i="55"/>
  <c r="K26" i="55"/>
  <c r="K101" i="55"/>
  <c r="K84" i="55"/>
  <c r="K125" i="55"/>
  <c r="K32" i="55"/>
  <c r="K103" i="55"/>
  <c r="K52" i="55"/>
  <c r="K53" i="55"/>
  <c r="K82" i="55"/>
  <c r="K148" i="55"/>
  <c r="K233" i="55"/>
  <c r="K151" i="55"/>
  <c r="K217" i="55"/>
  <c r="K210" i="55"/>
  <c r="K299" i="55"/>
  <c r="K204" i="55"/>
  <c r="K354" i="55"/>
  <c r="K212" i="55"/>
  <c r="K211" i="55"/>
  <c r="K316" i="55"/>
  <c r="K156" i="55"/>
  <c r="K234" i="55"/>
  <c r="K240" i="55"/>
  <c r="K226" i="55"/>
  <c r="K222" i="55"/>
  <c r="K208" i="55"/>
  <c r="K203" i="55"/>
  <c r="K249" i="55"/>
  <c r="K264" i="55"/>
  <c r="K207" i="55"/>
  <c r="K325" i="55"/>
  <c r="K155" i="55"/>
  <c r="K231" i="55"/>
  <c r="K179" i="55"/>
  <c r="K239" i="55"/>
  <c r="K209" i="55"/>
  <c r="K251" i="55"/>
  <c r="K247" i="55"/>
  <c r="K320" i="55"/>
  <c r="K315" i="55"/>
  <c r="K244" i="55"/>
  <c r="K238" i="55"/>
  <c r="K306" i="55"/>
  <c r="K229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P14" i="34" l="1"/>
  <c r="Q14" i="34"/>
  <c r="O14" i="34"/>
  <c r="P2359" i="34"/>
  <c r="O1536" i="34"/>
  <c r="O994" i="34"/>
  <c r="Q1730" i="34"/>
  <c r="Q1336" i="34"/>
  <c r="P1534" i="34"/>
  <c r="O1841" i="34"/>
  <c r="O2359" i="34"/>
  <c r="P2361" i="34"/>
  <c r="P1839" i="34"/>
  <c r="Q1536" i="34"/>
  <c r="O1534" i="34"/>
  <c r="Q1841" i="34"/>
  <c r="Q2359" i="34"/>
  <c r="O2361" i="34"/>
  <c r="O1839" i="34"/>
  <c r="P994" i="34"/>
  <c r="P1730" i="34"/>
  <c r="P1336" i="34"/>
  <c r="Q1534" i="34"/>
  <c r="Q2361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2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2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2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0" i="34"/>
  <c r="Q2670" i="34"/>
  <c r="P1538" i="34"/>
  <c r="O2670" i="34"/>
  <c r="P2668" i="34"/>
  <c r="P2669" i="34"/>
  <c r="Q46" i="34"/>
  <c r="P46" i="34"/>
  <c r="Q2668" i="34"/>
  <c r="Q2669" i="34"/>
  <c r="O2669" i="34"/>
  <c r="O46" i="34"/>
  <c r="O2668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34" i="34"/>
  <c r="Q2430" i="34"/>
  <c r="P2377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1" i="34"/>
  <c r="P2771" i="34"/>
  <c r="O2775" i="34"/>
  <c r="Q2779" i="34"/>
  <c r="P2779" i="34"/>
  <c r="P2577" i="34"/>
  <c r="O2581" i="34"/>
  <c r="P2585" i="34"/>
  <c r="O2589" i="34"/>
  <c r="P2593" i="34"/>
  <c r="O2597" i="34"/>
  <c r="P2601" i="34"/>
  <c r="O2605" i="34"/>
  <c r="P2609" i="34"/>
  <c r="P2620" i="34"/>
  <c r="P2658" i="34"/>
  <c r="O2662" i="34"/>
  <c r="P2666" i="34"/>
  <c r="O2554" i="34"/>
  <c r="P2558" i="34"/>
  <c r="O2562" i="34"/>
  <c r="P2566" i="34"/>
  <c r="O2570" i="34"/>
  <c r="P2574" i="34"/>
  <c r="P2616" i="34"/>
  <c r="P2645" i="34"/>
  <c r="O2649" i="34"/>
  <c r="P2653" i="34"/>
  <c r="O2745" i="34"/>
  <c r="P2634" i="34"/>
  <c r="Q2703" i="34"/>
  <c r="P2703" i="34"/>
  <c r="O2707" i="34"/>
  <c r="Q2711" i="34"/>
  <c r="P2711" i="34"/>
  <c r="O2715" i="34"/>
  <c r="Q2719" i="34"/>
  <c r="P2719" i="34"/>
  <c r="O2723" i="34"/>
  <c r="Q2727" i="34"/>
  <c r="P2727" i="34"/>
  <c r="O2731" i="34"/>
  <c r="Q2735" i="34"/>
  <c r="P2735" i="34"/>
  <c r="O2739" i="34"/>
  <c r="O2442" i="34"/>
  <c r="P2450" i="34"/>
  <c r="P2485" i="34"/>
  <c r="P2822" i="34"/>
  <c r="O2489" i="34"/>
  <c r="P2497" i="34"/>
  <c r="O2501" i="34"/>
  <c r="P2505" i="34"/>
  <c r="O2509" i="34"/>
  <c r="P2513" i="34"/>
  <c r="O2517" i="34"/>
  <c r="P2521" i="34"/>
  <c r="O2525" i="34"/>
  <c r="P2529" i="34"/>
  <c r="O2613" i="34"/>
  <c r="O2623" i="34"/>
  <c r="Q2627" i="34"/>
  <c r="P2627" i="34"/>
  <c r="O2631" i="34"/>
  <c r="O2550" i="34"/>
  <c r="P2546" i="34"/>
  <c r="O2453" i="34"/>
  <c r="P2697" i="34"/>
  <c r="O2693" i="34"/>
  <c r="P2689" i="34"/>
  <c r="O2685" i="34"/>
  <c r="P2681" i="34"/>
  <c r="O2677" i="34"/>
  <c r="P2673" i="34"/>
  <c r="O2641" i="34"/>
  <c r="P2637" i="34"/>
  <c r="O2542" i="34"/>
  <c r="P2538" i="34"/>
  <c r="O2534" i="34"/>
  <c r="P2493" i="34"/>
  <c r="P2484" i="34"/>
  <c r="Q2329" i="34"/>
  <c r="O2325" i="34"/>
  <c r="Q2321" i="34"/>
  <c r="Q2235" i="34"/>
  <c r="Q2227" i="34"/>
  <c r="Q2219" i="34"/>
  <c r="Q2211" i="34"/>
  <c r="Q2046" i="34"/>
  <c r="Q2038" i="34"/>
  <c r="Q2377" i="34"/>
  <c r="Q2311" i="34"/>
  <c r="Q2303" i="34"/>
  <c r="Q2295" i="34"/>
  <c r="Q2090" i="34"/>
  <c r="Q2082" i="34"/>
  <c r="Q2030" i="34"/>
  <c r="Q2022" i="34"/>
  <c r="Q2577" i="34"/>
  <c r="Q2585" i="34"/>
  <c r="Q2593" i="34"/>
  <c r="Q2601" i="34"/>
  <c r="Q2609" i="34"/>
  <c r="Q2620" i="34"/>
  <c r="Q2658" i="34"/>
  <c r="Q2666" i="34"/>
  <c r="Q2558" i="34"/>
  <c r="Q2566" i="34"/>
  <c r="Q2574" i="34"/>
  <c r="Q2616" i="34"/>
  <c r="Q2645" i="34"/>
  <c r="Q2653" i="34"/>
  <c r="Q2634" i="34"/>
  <c r="O2472" i="34"/>
  <c r="O2450" i="34"/>
  <c r="O2485" i="34"/>
  <c r="Q2822" i="34"/>
  <c r="Q2497" i="34"/>
  <c r="Q2505" i="34"/>
  <c r="Q2513" i="34"/>
  <c r="Q2521" i="34"/>
  <c r="Q2529" i="34"/>
  <c r="Q2546" i="34"/>
  <c r="Q2697" i="34"/>
  <c r="Q2689" i="34"/>
  <c r="Q2681" i="34"/>
  <c r="Q2673" i="34"/>
  <c r="Q2637" i="34"/>
  <c r="Q2538" i="34"/>
  <c r="Q2493" i="34"/>
  <c r="Q2484" i="34"/>
  <c r="O2480" i="34"/>
  <c r="Q2476" i="34"/>
  <c r="O2468" i="34"/>
  <c r="Q2464" i="34"/>
  <c r="O2460" i="34"/>
  <c r="Q2769" i="34"/>
  <c r="Q2761" i="34"/>
  <c r="Q2753" i="34"/>
  <c r="Q2099" i="34"/>
  <c r="Q2234" i="34"/>
  <c r="Q2226" i="34"/>
  <c r="Q2218" i="34"/>
  <c r="Q2210" i="34"/>
  <c r="Q2107" i="34"/>
  <c r="O2049" i="34"/>
  <c r="Q2045" i="34"/>
  <c r="O2041" i="34"/>
  <c r="Q2037" i="34"/>
  <c r="Q2433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2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34" i="34"/>
  <c r="O2430" i="34"/>
  <c r="P2430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1" i="34"/>
  <c r="Q2775" i="34"/>
  <c r="P2775" i="34"/>
  <c r="O2779" i="34"/>
  <c r="O2577" i="34"/>
  <c r="P2581" i="34"/>
  <c r="O2585" i="34"/>
  <c r="P2589" i="34"/>
  <c r="O2593" i="34"/>
  <c r="P2597" i="34"/>
  <c r="O2601" i="34"/>
  <c r="P2605" i="34"/>
  <c r="O2609" i="34"/>
  <c r="O2658" i="34"/>
  <c r="P2662" i="34"/>
  <c r="O2666" i="34"/>
  <c r="P2554" i="34"/>
  <c r="O2558" i="34"/>
  <c r="P2562" i="34"/>
  <c r="O2566" i="34"/>
  <c r="P2570" i="34"/>
  <c r="O2574" i="34"/>
  <c r="O2645" i="34"/>
  <c r="P2649" i="34"/>
  <c r="O2653" i="34"/>
  <c r="P2745" i="34"/>
  <c r="O2634" i="34"/>
  <c r="O2703" i="34"/>
  <c r="Q2707" i="34"/>
  <c r="P2707" i="34"/>
  <c r="O2711" i="34"/>
  <c r="Q2715" i="34"/>
  <c r="P2715" i="34"/>
  <c r="O2719" i="34"/>
  <c r="Q2723" i="34"/>
  <c r="P2723" i="34"/>
  <c r="O2727" i="34"/>
  <c r="Q2731" i="34"/>
  <c r="P2731" i="34"/>
  <c r="O2735" i="34"/>
  <c r="Q2739" i="34"/>
  <c r="P2739" i="34"/>
  <c r="P2442" i="34"/>
  <c r="P2472" i="34"/>
  <c r="Q2450" i="34"/>
  <c r="Q2485" i="34"/>
  <c r="O2822" i="34"/>
  <c r="P2489" i="34"/>
  <c r="O2497" i="34"/>
  <c r="P2501" i="34"/>
  <c r="O2505" i="34"/>
  <c r="P2509" i="34"/>
  <c r="O2513" i="34"/>
  <c r="P2517" i="34"/>
  <c r="O2521" i="34"/>
  <c r="P2525" i="34"/>
  <c r="O2529" i="34"/>
  <c r="P2613" i="34"/>
  <c r="Q2623" i="34"/>
  <c r="P2623" i="34"/>
  <c r="O2627" i="34"/>
  <c r="Q2631" i="34"/>
  <c r="P2631" i="34"/>
  <c r="P2550" i="34"/>
  <c r="O2546" i="34"/>
  <c r="P2453" i="34"/>
  <c r="O2697" i="34"/>
  <c r="P2693" i="34"/>
  <c r="O2689" i="34"/>
  <c r="P2685" i="34"/>
  <c r="O2681" i="34"/>
  <c r="P2677" i="34"/>
  <c r="O2673" i="34"/>
  <c r="P2641" i="34"/>
  <c r="O2637" i="34"/>
  <c r="P2542" i="34"/>
  <c r="O2538" i="34"/>
  <c r="P2534" i="34"/>
  <c r="O2493" i="34"/>
  <c r="O2329" i="34"/>
  <c r="Q2325" i="34"/>
  <c r="O2321" i="34"/>
  <c r="Q2231" i="34"/>
  <c r="Q2223" i="34"/>
  <c r="Q2215" i="34"/>
  <c r="Q2050" i="34"/>
  <c r="Q2042" i="34"/>
  <c r="Q2434" i="34"/>
  <c r="O2377" i="34"/>
  <c r="Q2315" i="34"/>
  <c r="Q2307" i="34"/>
  <c r="Q2299" i="34"/>
  <c r="Q2291" i="34"/>
  <c r="Q2094" i="34"/>
  <c r="Q2086" i="34"/>
  <c r="Q2034" i="34"/>
  <c r="Q2026" i="34"/>
  <c r="Q2581" i="34"/>
  <c r="Q2589" i="34"/>
  <c r="Q2597" i="34"/>
  <c r="Q2605" i="34"/>
  <c r="O2620" i="34"/>
  <c r="Q2662" i="34"/>
  <c r="Q2554" i="34"/>
  <c r="Q2562" i="34"/>
  <c r="Q2570" i="34"/>
  <c r="O2616" i="34"/>
  <c r="Q2649" i="34"/>
  <c r="Q2745" i="34"/>
  <c r="Q2442" i="34"/>
  <c r="Q2472" i="34"/>
  <c r="Q2489" i="34"/>
  <c r="Q2501" i="34"/>
  <c r="Q2509" i="34"/>
  <c r="Q2517" i="34"/>
  <c r="Q2525" i="34"/>
  <c r="Q2613" i="34"/>
  <c r="Q2550" i="34"/>
  <c r="Q2453" i="34"/>
  <c r="Q2693" i="34"/>
  <c r="Q2685" i="34"/>
  <c r="Q2677" i="34"/>
  <c r="Q2641" i="34"/>
  <c r="Q2542" i="34"/>
  <c r="Q2534" i="34"/>
  <c r="O2484" i="34"/>
  <c r="Q2480" i="34"/>
  <c r="O2476" i="34"/>
  <c r="Q2468" i="34"/>
  <c r="O2464" i="34"/>
  <c r="Q2460" i="34"/>
  <c r="Q2765" i="34"/>
  <c r="Q2757" i="34"/>
  <c r="Q2749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2" i="34"/>
  <c r="O2776" i="34"/>
  <c r="Q2780" i="34"/>
  <c r="Q2578" i="34"/>
  <c r="Q2586" i="34"/>
  <c r="Q2594" i="34"/>
  <c r="Q2602" i="34"/>
  <c r="Q2610" i="34"/>
  <c r="Q2781" i="34"/>
  <c r="P2480" i="34"/>
  <c r="P2476" i="34"/>
  <c r="P2468" i="34"/>
  <c r="P2464" i="34"/>
  <c r="P2460" i="34"/>
  <c r="Q2447" i="34"/>
  <c r="P2447" i="34"/>
  <c r="P2769" i="34"/>
  <c r="O2761" i="34"/>
  <c r="P2753" i="34"/>
  <c r="O2099" i="34"/>
  <c r="O2230" i="34"/>
  <c r="P2222" i="34"/>
  <c r="O2214" i="34"/>
  <c r="P2111" i="34"/>
  <c r="O2103" i="34"/>
  <c r="O2380" i="34"/>
  <c r="Q2376" i="34"/>
  <c r="P2376" i="34"/>
  <c r="P2318" i="34"/>
  <c r="O2310" i="34"/>
  <c r="P2302" i="34"/>
  <c r="O2294" i="34"/>
  <c r="P2207" i="34"/>
  <c r="O2199" i="34"/>
  <c r="P2191" i="34"/>
  <c r="O2183" i="34"/>
  <c r="O2780" i="34"/>
  <c r="O2582" i="34"/>
  <c r="P2586" i="34"/>
  <c r="P2598" i="34"/>
  <c r="O2602" i="34"/>
  <c r="Q2606" i="34"/>
  <c r="Q2655" i="34"/>
  <c r="P2655" i="34"/>
  <c r="O2659" i="34"/>
  <c r="Q2663" i="34"/>
  <c r="P2663" i="34"/>
  <c r="P2781" i="34"/>
  <c r="Q2646" i="34"/>
  <c r="Q2654" i="34"/>
  <c r="Q2686" i="34"/>
  <c r="Q2704" i="34"/>
  <c r="O2708" i="34"/>
  <c r="Q2712" i="34"/>
  <c r="O2716" i="34"/>
  <c r="Q2720" i="34"/>
  <c r="O2724" i="34"/>
  <c r="Q2728" i="34"/>
  <c r="O2732" i="34"/>
  <c r="Q2736" i="34"/>
  <c r="O2740" i="34"/>
  <c r="Q2473" i="34"/>
  <c r="O2486" i="34"/>
  <c r="O2823" i="34"/>
  <c r="Q2451" i="34"/>
  <c r="P2451" i="34"/>
  <c r="P2498" i="34"/>
  <c r="O2502" i="34"/>
  <c r="P2506" i="34"/>
  <c r="O2510" i="34"/>
  <c r="P2514" i="34"/>
  <c r="O2518" i="34"/>
  <c r="P2522" i="34"/>
  <c r="O2526" i="34"/>
  <c r="P2530" i="34"/>
  <c r="O2614" i="34"/>
  <c r="P2628" i="34"/>
  <c r="O2549" i="34"/>
  <c r="P2545" i="34"/>
  <c r="O2494" i="34"/>
  <c r="P2692" i="34"/>
  <c r="P2684" i="34"/>
  <c r="P2676" i="34"/>
  <c r="P2640" i="34"/>
  <c r="O2541" i="34"/>
  <c r="P2537" i="34"/>
  <c r="O2533" i="34"/>
  <c r="Q2483" i="34"/>
  <c r="P2483" i="34"/>
  <c r="O2479" i="34"/>
  <c r="Q2475" i="34"/>
  <c r="P2475" i="34"/>
  <c r="O2471" i="34"/>
  <c r="Q2467" i="34"/>
  <c r="P2467" i="34"/>
  <c r="O2463" i="34"/>
  <c r="Q2459" i="34"/>
  <c r="P2459" i="34"/>
  <c r="P2446" i="34"/>
  <c r="P2768" i="34"/>
  <c r="P2760" i="34"/>
  <c r="P2752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79" i="34"/>
  <c r="P2375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65" i="34"/>
  <c r="O2757" i="34"/>
  <c r="P2749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33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2" i="34"/>
  <c r="P2776" i="34"/>
  <c r="P2578" i="34"/>
  <c r="P2590" i="34"/>
  <c r="O2594" i="34"/>
  <c r="Q2598" i="34"/>
  <c r="O2606" i="34"/>
  <c r="P2610" i="34"/>
  <c r="O2555" i="34"/>
  <c r="Q2559" i="34"/>
  <c r="P2559" i="34"/>
  <c r="O2563" i="34"/>
  <c r="Q2567" i="34"/>
  <c r="P2567" i="34"/>
  <c r="O2571" i="34"/>
  <c r="Q2575" i="34"/>
  <c r="P2575" i="34"/>
  <c r="P2617" i="34"/>
  <c r="O2646" i="34"/>
  <c r="P2650" i="34"/>
  <c r="O2654" i="34"/>
  <c r="P2746" i="34"/>
  <c r="O2686" i="34"/>
  <c r="P2708" i="34"/>
  <c r="P2716" i="34"/>
  <c r="P2724" i="34"/>
  <c r="P2732" i="34"/>
  <c r="P2740" i="34"/>
  <c r="P2441" i="34"/>
  <c r="O2473" i="34"/>
  <c r="P2455" i="34"/>
  <c r="Q2498" i="34"/>
  <c r="Q2506" i="34"/>
  <c r="Q2514" i="34"/>
  <c r="Q2522" i="34"/>
  <c r="Q2530" i="34"/>
  <c r="O2624" i="34"/>
  <c r="Q2628" i="34"/>
  <c r="O2632" i="34"/>
  <c r="Q2545" i="34"/>
  <c r="O2696" i="34"/>
  <c r="Q2692" i="34"/>
  <c r="O2688" i="34"/>
  <c r="Q2684" i="34"/>
  <c r="O2680" i="34"/>
  <c r="Q2676" i="34"/>
  <c r="O2672" i="34"/>
  <c r="Q2640" i="34"/>
  <c r="O2636" i="34"/>
  <c r="Q2537" i="34"/>
  <c r="O2492" i="34"/>
  <c r="Q2446" i="34"/>
  <c r="Q2768" i="34"/>
  <c r="O2764" i="34"/>
  <c r="Q2760" i="34"/>
  <c r="O2756" i="34"/>
  <c r="Q2752" i="34"/>
  <c r="O2748" i="34"/>
  <c r="Q2327" i="34"/>
  <c r="Q2319" i="34"/>
  <c r="Q2233" i="34"/>
  <c r="O2229" i="34"/>
  <c r="Q2225" i="34"/>
  <c r="O2221" i="34"/>
  <c r="Q2217" i="34"/>
  <c r="O2213" i="34"/>
  <c r="Q2110" i="34"/>
  <c r="Q2102" i="34"/>
  <c r="O2432" i="34"/>
  <c r="Q2375" i="34"/>
  <c r="Q2317" i="34"/>
  <c r="O2313" i="34"/>
  <c r="Q2309" i="34"/>
  <c r="O2305" i="34"/>
  <c r="Q2301" i="34"/>
  <c r="O2297" i="34"/>
  <c r="Q2293" i="34"/>
  <c r="O2289" i="34"/>
  <c r="Q2202" i="34"/>
  <c r="Q2190" i="34"/>
  <c r="Q2777" i="34"/>
  <c r="Q2618" i="34"/>
  <c r="Q2656" i="34"/>
  <c r="O2660" i="34"/>
  <c r="Q2664" i="34"/>
  <c r="O2552" i="34"/>
  <c r="Q2556" i="34"/>
  <c r="O2560" i="34"/>
  <c r="Q2564" i="34"/>
  <c r="O2568" i="34"/>
  <c r="Q2572" i="34"/>
  <c r="O2576" i="34"/>
  <c r="O2447" i="34"/>
  <c r="O2769" i="34"/>
  <c r="P2761" i="34"/>
  <c r="O2753" i="34"/>
  <c r="P2099" i="34"/>
  <c r="P2230" i="34"/>
  <c r="O2222" i="34"/>
  <c r="P2214" i="34"/>
  <c r="O2111" i="34"/>
  <c r="P2103" i="34"/>
  <c r="Q2380" i="34"/>
  <c r="P2380" i="34"/>
  <c r="O2376" i="34"/>
  <c r="O2318" i="34"/>
  <c r="P2310" i="34"/>
  <c r="O2302" i="34"/>
  <c r="P2294" i="34"/>
  <c r="O2207" i="34"/>
  <c r="P2199" i="34"/>
  <c r="O2191" i="34"/>
  <c r="P2183" i="34"/>
  <c r="Q2776" i="34"/>
  <c r="P2780" i="34"/>
  <c r="P2582" i="34"/>
  <c r="O2586" i="34"/>
  <c r="Q2590" i="34"/>
  <c r="O2598" i="34"/>
  <c r="P2602" i="34"/>
  <c r="O2655" i="34"/>
  <c r="Q2659" i="34"/>
  <c r="P2659" i="34"/>
  <c r="O2663" i="34"/>
  <c r="O2781" i="34"/>
  <c r="Q2617" i="34"/>
  <c r="Q2650" i="34"/>
  <c r="Q2746" i="34"/>
  <c r="O2704" i="34"/>
  <c r="Q2708" i="34"/>
  <c r="O2712" i="34"/>
  <c r="Q2716" i="34"/>
  <c r="O2720" i="34"/>
  <c r="Q2724" i="34"/>
  <c r="O2728" i="34"/>
  <c r="Q2732" i="34"/>
  <c r="O2736" i="34"/>
  <c r="Q2740" i="34"/>
  <c r="Q2441" i="34"/>
  <c r="O2455" i="34"/>
  <c r="P2486" i="34"/>
  <c r="Q2823" i="34"/>
  <c r="P2823" i="34"/>
  <c r="O2451" i="34"/>
  <c r="O2498" i="34"/>
  <c r="P2502" i="34"/>
  <c r="O2506" i="34"/>
  <c r="P2510" i="34"/>
  <c r="O2514" i="34"/>
  <c r="P2518" i="34"/>
  <c r="O2522" i="34"/>
  <c r="P2526" i="34"/>
  <c r="O2530" i="34"/>
  <c r="P2614" i="34"/>
  <c r="P2624" i="34"/>
  <c r="P2632" i="34"/>
  <c r="P2549" i="34"/>
  <c r="O2545" i="34"/>
  <c r="P2494" i="34"/>
  <c r="P2696" i="34"/>
  <c r="P2688" i="34"/>
  <c r="P2680" i="34"/>
  <c r="P2672" i="34"/>
  <c r="P2636" i="34"/>
  <c r="P2541" i="34"/>
  <c r="O2537" i="34"/>
  <c r="P2533" i="34"/>
  <c r="P2492" i="34"/>
  <c r="O2483" i="34"/>
  <c r="Q2479" i="34"/>
  <c r="P2479" i="34"/>
  <c r="O2475" i="34"/>
  <c r="Q2471" i="34"/>
  <c r="P2471" i="34"/>
  <c r="O2467" i="34"/>
  <c r="Q2463" i="34"/>
  <c r="P2463" i="34"/>
  <c r="O2459" i="34"/>
  <c r="O2446" i="34"/>
  <c r="P2764" i="34"/>
  <c r="P2756" i="34"/>
  <c r="P2748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2" i="34"/>
  <c r="P2379" i="34"/>
  <c r="O2375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65" i="34"/>
  <c r="P2757" i="34"/>
  <c r="O2749" i="34"/>
  <c r="O2328" i="34"/>
  <c r="Q2324" i="34"/>
  <c r="P2324" i="34"/>
  <c r="O2320" i="34"/>
  <c r="O2234" i="34"/>
  <c r="P2226" i="34"/>
  <c r="O2218" i="34"/>
  <c r="P2210" i="34"/>
  <c r="O2107" i="34"/>
  <c r="P2433" i="34"/>
  <c r="O2314" i="34"/>
  <c r="P2306" i="34"/>
  <c r="O2298" i="34"/>
  <c r="P2290" i="34"/>
  <c r="O2203" i="34"/>
  <c r="P2195" i="34"/>
  <c r="O2187" i="34"/>
  <c r="O2578" i="34"/>
  <c r="Q2582" i="34"/>
  <c r="O2590" i="34"/>
  <c r="P2594" i="34"/>
  <c r="P2606" i="34"/>
  <c r="O2610" i="34"/>
  <c r="Q2555" i="34"/>
  <c r="P2555" i="34"/>
  <c r="O2559" i="34"/>
  <c r="Q2563" i="34"/>
  <c r="P2563" i="34"/>
  <c r="O2567" i="34"/>
  <c r="Q2571" i="34"/>
  <c r="P2571" i="34"/>
  <c r="O2575" i="34"/>
  <c r="O2617" i="34"/>
  <c r="P2646" i="34"/>
  <c r="O2650" i="34"/>
  <c r="P2654" i="34"/>
  <c r="O2746" i="34"/>
  <c r="P2686" i="34"/>
  <c r="P2704" i="34"/>
  <c r="P2712" i="34"/>
  <c r="P2720" i="34"/>
  <c r="P2728" i="34"/>
  <c r="P2736" i="34"/>
  <c r="O2441" i="34"/>
  <c r="P2473" i="34"/>
  <c r="Q2455" i="34"/>
  <c r="Q2486" i="34"/>
  <c r="Q2502" i="34"/>
  <c r="Q2510" i="34"/>
  <c r="Q2518" i="34"/>
  <c r="Q2526" i="34"/>
  <c r="Q2614" i="34"/>
  <c r="Q2624" i="34"/>
  <c r="O2628" i="34"/>
  <c r="Q2632" i="34"/>
  <c r="Q2549" i="34"/>
  <c r="Q2494" i="34"/>
  <c r="Q2696" i="34"/>
  <c r="O2692" i="34"/>
  <c r="Q2688" i="34"/>
  <c r="O2684" i="34"/>
  <c r="Q2680" i="34"/>
  <c r="O2676" i="34"/>
  <c r="Q2672" i="34"/>
  <c r="O2640" i="34"/>
  <c r="Q2636" i="34"/>
  <c r="Q2541" i="34"/>
  <c r="Q2533" i="34"/>
  <c r="Q2492" i="34"/>
  <c r="O2768" i="34"/>
  <c r="Q2764" i="34"/>
  <c r="O2760" i="34"/>
  <c r="Q2756" i="34"/>
  <c r="O2752" i="34"/>
  <c r="Q2748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2" i="34"/>
  <c r="Q2379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73" i="34"/>
  <c r="O2656" i="34"/>
  <c r="Q2660" i="34"/>
  <c r="O2664" i="34"/>
  <c r="Q2552" i="34"/>
  <c r="O2556" i="34"/>
  <c r="Q2560" i="34"/>
  <c r="O2564" i="34"/>
  <c r="Q2568" i="34"/>
  <c r="O2572" i="34"/>
  <c r="Q2576" i="34"/>
  <c r="Q2700" i="34"/>
  <c r="Q2705" i="34"/>
  <c r="Q2713" i="34"/>
  <c r="Q2721" i="34"/>
  <c r="Q2729" i="34"/>
  <c r="Q2737" i="34"/>
  <c r="O2456" i="34"/>
  <c r="O2824" i="34"/>
  <c r="Q2452" i="34"/>
  <c r="Q2625" i="34"/>
  <c r="Q2633" i="34"/>
  <c r="Q2548" i="34"/>
  <c r="O2544" i="34"/>
  <c r="Q2540" i="34"/>
  <c r="O2536" i="34"/>
  <c r="Q2532" i="34"/>
  <c r="Q2478" i="34"/>
  <c r="Q2466" i="34"/>
  <c r="Q2458" i="34"/>
  <c r="Q2326" i="34"/>
  <c r="Q2113" i="34"/>
  <c r="O2109" i="34"/>
  <c r="Q2105" i="34"/>
  <c r="O2101" i="34"/>
  <c r="Q2097" i="34"/>
  <c r="Q2047" i="34"/>
  <c r="Q2039" i="34"/>
  <c r="Q2374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74" i="34"/>
  <c r="Q2454" i="34"/>
  <c r="Q2580" i="34"/>
  <c r="O2584" i="34"/>
  <c r="Q2588" i="34"/>
  <c r="O2592" i="34"/>
  <c r="Q2596" i="34"/>
  <c r="O2600" i="34"/>
  <c r="Q2604" i="34"/>
  <c r="O2608" i="34"/>
  <c r="Q2657" i="34"/>
  <c r="Q2665" i="34"/>
  <c r="Q2557" i="34"/>
  <c r="Q2565" i="34"/>
  <c r="Q2573" i="34"/>
  <c r="O2644" i="34"/>
  <c r="Q2648" i="34"/>
  <c r="O2652" i="34"/>
  <c r="Q2024" i="34"/>
  <c r="P2024" i="34"/>
  <c r="O2020" i="34"/>
  <c r="O2773" i="34"/>
  <c r="O2495" i="34"/>
  <c r="Q2579" i="34"/>
  <c r="P2579" i="34"/>
  <c r="O2583" i="34"/>
  <c r="Q2587" i="34"/>
  <c r="P2587" i="34"/>
  <c r="O2591" i="34"/>
  <c r="Q2595" i="34"/>
  <c r="P2595" i="34"/>
  <c r="O2599" i="34"/>
  <c r="Q2603" i="34"/>
  <c r="P2603" i="34"/>
  <c r="O2607" i="34"/>
  <c r="O2618" i="34"/>
  <c r="O2705" i="34"/>
  <c r="Q2709" i="34"/>
  <c r="O2717" i="34"/>
  <c r="P2721" i="34"/>
  <c r="P2733" i="34"/>
  <c r="O2737" i="34"/>
  <c r="Q2741" i="34"/>
  <c r="Q2474" i="34"/>
  <c r="Q2456" i="34"/>
  <c r="Q2487" i="34"/>
  <c r="P2487" i="34"/>
  <c r="Q2499" i="34"/>
  <c r="P2499" i="34"/>
  <c r="O2503" i="34"/>
  <c r="Q2507" i="34"/>
  <c r="P2507" i="34"/>
  <c r="O2511" i="34"/>
  <c r="Q2515" i="34"/>
  <c r="P2515" i="34"/>
  <c r="O2519" i="34"/>
  <c r="Q2523" i="34"/>
  <c r="P2523" i="34"/>
  <c r="O2527" i="34"/>
  <c r="Q2611" i="34"/>
  <c r="P2611" i="34"/>
  <c r="P2621" i="34"/>
  <c r="O2625" i="34"/>
  <c r="Q2629" i="34"/>
  <c r="P2548" i="34"/>
  <c r="O2699" i="34"/>
  <c r="Q2695" i="34"/>
  <c r="P2695" i="34"/>
  <c r="O2691" i="34"/>
  <c r="Q2687" i="34"/>
  <c r="P2687" i="34"/>
  <c r="O2683" i="34"/>
  <c r="Q2679" i="34"/>
  <c r="P2679" i="34"/>
  <c r="O2675" i="34"/>
  <c r="P2671" i="34"/>
  <c r="O2639" i="34"/>
  <c r="Q2635" i="34"/>
  <c r="P2635" i="34"/>
  <c r="O2540" i="34"/>
  <c r="Q2536" i="34"/>
  <c r="P2532" i="34"/>
  <c r="P2470" i="34"/>
  <c r="O2466" i="34"/>
  <c r="Q2462" i="34"/>
  <c r="O2445" i="34"/>
  <c r="O2767" i="34"/>
  <c r="P2763" i="34"/>
  <c r="Q2755" i="34"/>
  <c r="O2751" i="34"/>
  <c r="P2326" i="34"/>
  <c r="O2378" i="34"/>
  <c r="Q2201" i="34"/>
  <c r="O2189" i="34"/>
  <c r="O2095" i="34"/>
  <c r="P2079" i="34"/>
  <c r="P2774" i="34"/>
  <c r="Q2584" i="34"/>
  <c r="Q2600" i="34"/>
  <c r="O2657" i="34"/>
  <c r="P2569" i="34"/>
  <c r="P2648" i="34"/>
  <c r="O2706" i="34"/>
  <c r="O2714" i="34"/>
  <c r="O2722" i="34"/>
  <c r="O2730" i="34"/>
  <c r="O2738" i="34"/>
  <c r="O2465" i="34"/>
  <c r="P2512" i="34"/>
  <c r="O2622" i="34"/>
  <c r="O2630" i="34"/>
  <c r="Q2547" i="34"/>
  <c r="O2698" i="34"/>
  <c r="P2694" i="34"/>
  <c r="P2682" i="34"/>
  <c r="O2642" i="34"/>
  <c r="Q2539" i="34"/>
  <c r="Q2531" i="34"/>
  <c r="P2490" i="34"/>
  <c r="O2469" i="34"/>
  <c r="P2448" i="34"/>
  <c r="O2754" i="34"/>
  <c r="P2543" i="34"/>
  <c r="O2674" i="34"/>
  <c r="P2642" i="34"/>
  <c r="Q2535" i="34"/>
  <c r="O2477" i="34"/>
  <c r="O2461" i="34"/>
  <c r="O2762" i="34"/>
  <c r="O2777" i="34"/>
  <c r="P2656" i="34"/>
  <c r="P2660" i="34"/>
  <c r="P2664" i="34"/>
  <c r="P2552" i="34"/>
  <c r="P2556" i="34"/>
  <c r="P2560" i="34"/>
  <c r="P2564" i="34"/>
  <c r="P2568" i="34"/>
  <c r="P2572" i="34"/>
  <c r="P2576" i="34"/>
  <c r="Q2643" i="34"/>
  <c r="P2643" i="34"/>
  <c r="O2647" i="34"/>
  <c r="Q2651" i="34"/>
  <c r="P2651" i="34"/>
  <c r="O2743" i="34"/>
  <c r="Q2747" i="34"/>
  <c r="P2747" i="34"/>
  <c r="O2700" i="34"/>
  <c r="O2709" i="34"/>
  <c r="P2713" i="34"/>
  <c r="P2725" i="34"/>
  <c r="O2729" i="34"/>
  <c r="Q2733" i="34"/>
  <c r="O2741" i="34"/>
  <c r="O2443" i="34"/>
  <c r="O2474" i="34"/>
  <c r="O2452" i="34"/>
  <c r="Q2621" i="34"/>
  <c r="O2629" i="34"/>
  <c r="P2633" i="34"/>
  <c r="P2544" i="34"/>
  <c r="Q2491" i="34"/>
  <c r="P2491" i="34"/>
  <c r="P2482" i="34"/>
  <c r="O2478" i="34"/>
  <c r="Q2470" i="34"/>
  <c r="O2462" i="34"/>
  <c r="P2458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78" i="34"/>
  <c r="O2454" i="34"/>
  <c r="P2592" i="34"/>
  <c r="P2608" i="34"/>
  <c r="O2661" i="34"/>
  <c r="P2665" i="34"/>
  <c r="P2561" i="34"/>
  <c r="O2565" i="34"/>
  <c r="Q2569" i="34"/>
  <c r="Q2615" i="34"/>
  <c r="P2615" i="34"/>
  <c r="P2652" i="34"/>
  <c r="O2744" i="34"/>
  <c r="Q2701" i="34"/>
  <c r="Q2710" i="34"/>
  <c r="Q2718" i="34"/>
  <c r="Q2726" i="34"/>
  <c r="Q2734" i="34"/>
  <c r="Q2742" i="34"/>
  <c r="P2449" i="34"/>
  <c r="P2457" i="34"/>
  <c r="Q2667" i="34"/>
  <c r="O2488" i="34"/>
  <c r="Q2496" i="34"/>
  <c r="O2500" i="34"/>
  <c r="Q2504" i="34"/>
  <c r="O2508" i="34"/>
  <c r="Q2512" i="34"/>
  <c r="O2516" i="34"/>
  <c r="Q2520" i="34"/>
  <c r="O2524" i="34"/>
  <c r="Q2528" i="34"/>
  <c r="O2612" i="34"/>
  <c r="Q2626" i="34"/>
  <c r="Q2694" i="34"/>
  <c r="Q2682" i="34"/>
  <c r="Q2674" i="34"/>
  <c r="Q2638" i="34"/>
  <c r="Q2490" i="34"/>
  <c r="Q2477" i="34"/>
  <c r="Q2461" i="34"/>
  <c r="Q2448" i="34"/>
  <c r="O2444" i="34"/>
  <c r="P2690" i="34"/>
  <c r="O2539" i="34"/>
  <c r="O2490" i="34"/>
  <c r="P2770" i="34"/>
  <c r="O2750" i="34"/>
  <c r="P2028" i="34"/>
  <c r="O2024" i="34"/>
  <c r="Q2020" i="34"/>
  <c r="P2020" i="34"/>
  <c r="P2773" i="34"/>
  <c r="Q2495" i="34"/>
  <c r="P2495" i="34"/>
  <c r="O2579" i="34"/>
  <c r="Q2583" i="34"/>
  <c r="P2583" i="34"/>
  <c r="O2587" i="34"/>
  <c r="Q2591" i="34"/>
  <c r="P2591" i="34"/>
  <c r="O2595" i="34"/>
  <c r="Q2599" i="34"/>
  <c r="P2599" i="34"/>
  <c r="O2603" i="34"/>
  <c r="Q2607" i="34"/>
  <c r="P2607" i="34"/>
  <c r="P2618" i="34"/>
  <c r="P2705" i="34"/>
  <c r="P2717" i="34"/>
  <c r="O2721" i="34"/>
  <c r="Q2725" i="34"/>
  <c r="O2733" i="34"/>
  <c r="P2737" i="34"/>
  <c r="O2487" i="34"/>
  <c r="P2824" i="34"/>
  <c r="O2499" i="34"/>
  <c r="Q2503" i="34"/>
  <c r="P2503" i="34"/>
  <c r="O2507" i="34"/>
  <c r="Q2511" i="34"/>
  <c r="P2511" i="34"/>
  <c r="O2515" i="34"/>
  <c r="Q2519" i="34"/>
  <c r="P2519" i="34"/>
  <c r="O2523" i="34"/>
  <c r="Q2527" i="34"/>
  <c r="P2527" i="34"/>
  <c r="O2611" i="34"/>
  <c r="O2621" i="34"/>
  <c r="P2625" i="34"/>
  <c r="O2548" i="34"/>
  <c r="Q2544" i="34"/>
  <c r="Q2699" i="34"/>
  <c r="P2699" i="34"/>
  <c r="O2695" i="34"/>
  <c r="Q2691" i="34"/>
  <c r="P2691" i="34"/>
  <c r="O2687" i="34"/>
  <c r="Q2683" i="34"/>
  <c r="P2683" i="34"/>
  <c r="O2679" i="34"/>
  <c r="Q2675" i="34"/>
  <c r="P2675" i="34"/>
  <c r="O2671" i="34"/>
  <c r="Q2639" i="34"/>
  <c r="P2639" i="34"/>
  <c r="O2635" i="34"/>
  <c r="P2540" i="34"/>
  <c r="O2532" i="34"/>
  <c r="Q2482" i="34"/>
  <c r="O2470" i="34"/>
  <c r="P2466" i="34"/>
  <c r="P2445" i="34"/>
  <c r="Q2767" i="34"/>
  <c r="P2767" i="34"/>
  <c r="O2763" i="34"/>
  <c r="Q2759" i="34"/>
  <c r="P2759" i="34"/>
  <c r="O2755" i="34"/>
  <c r="Q2751" i="34"/>
  <c r="P2751" i="34"/>
  <c r="P2019" i="34"/>
  <c r="O2326" i="34"/>
  <c r="Q2322" i="34"/>
  <c r="P2101" i="34"/>
  <c r="P2047" i="34"/>
  <c r="P2035" i="34"/>
  <c r="Q2431" i="34"/>
  <c r="P2431" i="34"/>
  <c r="P2378" i="34"/>
  <c r="O2374" i="34"/>
  <c r="Q2209" i="34"/>
  <c r="P2205" i="34"/>
  <c r="O2197" i="34"/>
  <c r="Q2193" i="34"/>
  <c r="P2189" i="34"/>
  <c r="P2095" i="34"/>
  <c r="O2091" i="34"/>
  <c r="Q2087" i="34"/>
  <c r="O2079" i="34"/>
  <c r="P2031" i="34"/>
  <c r="P2766" i="34"/>
  <c r="O2774" i="34"/>
  <c r="Q2778" i="34"/>
  <c r="P2580" i="34"/>
  <c r="O2588" i="34"/>
  <c r="Q2592" i="34"/>
  <c r="P2596" i="34"/>
  <c r="O2604" i="34"/>
  <c r="Q2608" i="34"/>
  <c r="Q2619" i="34"/>
  <c r="P2619" i="34"/>
  <c r="P2657" i="34"/>
  <c r="P2553" i="34"/>
  <c r="O2557" i="34"/>
  <c r="Q2561" i="34"/>
  <c r="O2569" i="34"/>
  <c r="P2573" i="34"/>
  <c r="O2648" i="34"/>
  <c r="Q2652" i="34"/>
  <c r="P2744" i="34"/>
  <c r="P2758" i="34"/>
  <c r="O2701" i="34"/>
  <c r="P2706" i="34"/>
  <c r="O2710" i="34"/>
  <c r="P2714" i="34"/>
  <c r="O2718" i="34"/>
  <c r="P2722" i="34"/>
  <c r="O2726" i="34"/>
  <c r="P2730" i="34"/>
  <c r="O2734" i="34"/>
  <c r="P2738" i="34"/>
  <c r="O2742" i="34"/>
  <c r="P2465" i="34"/>
  <c r="O2449" i="34"/>
  <c r="Q2457" i="34"/>
  <c r="P2488" i="34"/>
  <c r="P2500" i="34"/>
  <c r="P2508" i="34"/>
  <c r="P2516" i="34"/>
  <c r="P2524" i="34"/>
  <c r="P2612" i="34"/>
  <c r="P2622" i="34"/>
  <c r="O2626" i="34"/>
  <c r="P2630" i="34"/>
  <c r="Q2551" i="34"/>
  <c r="P2551" i="34"/>
  <c r="O2547" i="34"/>
  <c r="Q2543" i="34"/>
  <c r="O2694" i="34"/>
  <c r="O2682" i="34"/>
  <c r="O2531" i="34"/>
  <c r="P2469" i="34"/>
  <c r="Q2028" i="34"/>
  <c r="P2777" i="34"/>
  <c r="O2643" i="34"/>
  <c r="Q2647" i="34"/>
  <c r="P2647" i="34"/>
  <c r="O2651" i="34"/>
  <c r="Q2743" i="34"/>
  <c r="P2743" i="34"/>
  <c r="O2747" i="34"/>
  <c r="P2700" i="34"/>
  <c r="P2709" i="34"/>
  <c r="O2713" i="34"/>
  <c r="Q2717" i="34"/>
  <c r="O2725" i="34"/>
  <c r="P2729" i="34"/>
  <c r="P2741" i="34"/>
  <c r="Q2443" i="34"/>
  <c r="P2443" i="34"/>
  <c r="P2474" i="34"/>
  <c r="P2456" i="34"/>
  <c r="Q2824" i="34"/>
  <c r="P2452" i="34"/>
  <c r="P2629" i="34"/>
  <c r="O2633" i="34"/>
  <c r="P2536" i="34"/>
  <c r="O2491" i="34"/>
  <c r="O2482" i="34"/>
  <c r="P2478" i="34"/>
  <c r="P2462" i="34"/>
  <c r="O2458" i="34"/>
  <c r="Q2445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78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66" i="34"/>
  <c r="O2778" i="34"/>
  <c r="P2454" i="34"/>
  <c r="P2584" i="34"/>
  <c r="P2600" i="34"/>
  <c r="P2661" i="34"/>
  <c r="O2665" i="34"/>
  <c r="Q2553" i="34"/>
  <c r="O2561" i="34"/>
  <c r="P2565" i="34"/>
  <c r="O2615" i="34"/>
  <c r="P2644" i="34"/>
  <c r="Q2744" i="34"/>
  <c r="Q2758" i="34"/>
  <c r="Q2706" i="34"/>
  <c r="Q2714" i="34"/>
  <c r="Q2722" i="34"/>
  <c r="Q2730" i="34"/>
  <c r="Q2738" i="34"/>
  <c r="Q2465" i="34"/>
  <c r="Q2449" i="34"/>
  <c r="O2457" i="34"/>
  <c r="P2667" i="34"/>
  <c r="Q2488" i="34"/>
  <c r="O2496" i="34"/>
  <c r="Q2500" i="34"/>
  <c r="O2504" i="34"/>
  <c r="Q2508" i="34"/>
  <c r="O2512" i="34"/>
  <c r="Q2516" i="34"/>
  <c r="O2520" i="34"/>
  <c r="Q2524" i="34"/>
  <c r="O2528" i="34"/>
  <c r="Q2612" i="34"/>
  <c r="Q2622" i="34"/>
  <c r="Q2630" i="34"/>
  <c r="Q2698" i="34"/>
  <c r="Q2690" i="34"/>
  <c r="Q2678" i="34"/>
  <c r="Q2642" i="34"/>
  <c r="Q2481" i="34"/>
  <c r="Q2469" i="34"/>
  <c r="O2448" i="34"/>
  <c r="Q2444" i="34"/>
  <c r="Q2770" i="34"/>
  <c r="Q2754" i="34"/>
  <c r="Q2671" i="34"/>
  <c r="Q2763" i="34"/>
  <c r="O2759" i="34"/>
  <c r="P2755" i="34"/>
  <c r="O2019" i="34"/>
  <c r="P2109" i="34"/>
  <c r="O2047" i="34"/>
  <c r="Q2043" i="34"/>
  <c r="O2035" i="34"/>
  <c r="O2431" i="34"/>
  <c r="P2374" i="34"/>
  <c r="O2205" i="34"/>
  <c r="P2197" i="34"/>
  <c r="Q2185" i="34"/>
  <c r="P2091" i="34"/>
  <c r="O2031" i="34"/>
  <c r="Q2027" i="34"/>
  <c r="O2766" i="34"/>
  <c r="O2580" i="34"/>
  <c r="P2588" i="34"/>
  <c r="O2596" i="34"/>
  <c r="P2604" i="34"/>
  <c r="O2619" i="34"/>
  <c r="Q2661" i="34"/>
  <c r="O2553" i="34"/>
  <c r="P2557" i="34"/>
  <c r="O2573" i="34"/>
  <c r="Q2644" i="34"/>
  <c r="O2758" i="34"/>
  <c r="P2701" i="34"/>
  <c r="P2710" i="34"/>
  <c r="P2718" i="34"/>
  <c r="P2726" i="34"/>
  <c r="P2734" i="34"/>
  <c r="P2742" i="34"/>
  <c r="O2667" i="34"/>
  <c r="P2496" i="34"/>
  <c r="P2504" i="34"/>
  <c r="P2520" i="34"/>
  <c r="P2528" i="34"/>
  <c r="P2626" i="34"/>
  <c r="O2551" i="34"/>
  <c r="P2547" i="34"/>
  <c r="O2543" i="34"/>
  <c r="O2690" i="34"/>
  <c r="O2678" i="34"/>
  <c r="P2674" i="34"/>
  <c r="P2638" i="34"/>
  <c r="P2539" i="34"/>
  <c r="O2535" i="34"/>
  <c r="P2531" i="34"/>
  <c r="O2481" i="34"/>
  <c r="P2477" i="34"/>
  <c r="P2461" i="34"/>
  <c r="O2770" i="34"/>
  <c r="P2762" i="34"/>
  <c r="P2750" i="34"/>
  <c r="Q2762" i="34"/>
  <c r="Q2750" i="34"/>
  <c r="P2698" i="34"/>
  <c r="P2678" i="34"/>
  <c r="O2638" i="34"/>
  <c r="P2535" i="34"/>
  <c r="P2481" i="34"/>
  <c r="P2444" i="34"/>
  <c r="P2754" i="34"/>
  <c r="O1860" i="34"/>
  <c r="P1892" i="34"/>
  <c r="O1900" i="34"/>
  <c r="P1924" i="34"/>
  <c r="P2409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09" i="34"/>
  <c r="O1858" i="34"/>
  <c r="Q1898" i="34"/>
  <c r="Q1896" i="34"/>
  <c r="O2820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0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09" i="34"/>
  <c r="Q1858" i="34"/>
  <c r="O1898" i="34"/>
  <c r="Q2820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6" i="34"/>
  <c r="P2370" i="34"/>
  <c r="P2423" i="34"/>
  <c r="O2427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2" i="34"/>
  <c r="Q2388" i="34"/>
  <c r="P2388" i="34"/>
  <c r="P2392" i="34"/>
  <c r="O2405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7" i="34"/>
  <c r="O2424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0" i="34"/>
  <c r="Q2423" i="34"/>
  <c r="P2427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2" i="34"/>
  <c r="O2392" i="34"/>
  <c r="O2396" i="34"/>
  <c r="P2405" i="34"/>
  <c r="O2412" i="34"/>
  <c r="Q2416" i="34"/>
  <c r="P2416" i="34"/>
  <c r="O2420" i="34"/>
  <c r="P2003" i="34"/>
  <c r="O2007" i="34"/>
  <c r="O2011" i="34"/>
  <c r="P2015" i="34"/>
  <c r="Q2060" i="34"/>
  <c r="P2060" i="34"/>
  <c r="O2064" i="34"/>
  <c r="Q2068" i="34"/>
  <c r="P2068" i="34"/>
  <c r="P1731" i="34"/>
  <c r="Q2408" i="34"/>
  <c r="P2408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6" i="34"/>
  <c r="O2370" i="34"/>
  <c r="Q2427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2" i="34"/>
  <c r="O2388" i="34"/>
  <c r="Q2392" i="34"/>
  <c r="Q2405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1" i="34"/>
  <c r="O2428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6" i="34"/>
  <c r="O2423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6" i="34"/>
  <c r="P2396" i="34"/>
  <c r="Q2412" i="34"/>
  <c r="P2412" i="34"/>
  <c r="O2416" i="34"/>
  <c r="Q2420" i="34"/>
  <c r="P2420" i="34"/>
  <c r="O2003" i="34"/>
  <c r="P2007" i="34"/>
  <c r="P2011" i="34"/>
  <c r="O2015" i="34"/>
  <c r="O2060" i="34"/>
  <c r="Q2064" i="34"/>
  <c r="P2064" i="34"/>
  <c r="O2068" i="34"/>
  <c r="O1731" i="34"/>
  <c r="O2408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7" i="34"/>
  <c r="Q2424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3" i="34"/>
  <c r="P2393" i="34"/>
  <c r="P2402" i="34"/>
  <c r="O2406" i="34"/>
  <c r="P2417" i="34"/>
  <c r="O2004" i="34"/>
  <c r="P2004" i="34"/>
  <c r="Q2008" i="34"/>
  <c r="Q2012" i="34"/>
  <c r="P2012" i="34"/>
  <c r="O2016" i="34"/>
  <c r="P2061" i="34"/>
  <c r="P2069" i="34"/>
  <c r="P1732" i="34"/>
  <c r="O2410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25" i="34"/>
  <c r="O2429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0" i="34"/>
  <c r="Q2403" i="34"/>
  <c r="Q2414" i="34"/>
  <c r="Q2422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69" i="34"/>
  <c r="Q2373" i="34"/>
  <c r="Q2426" i="34"/>
  <c r="O1971" i="34"/>
  <c r="O1983" i="34"/>
  <c r="O1991" i="34"/>
  <c r="O1999" i="34"/>
  <c r="Q2152" i="34"/>
  <c r="P2160" i="34"/>
  <c r="O2172" i="34"/>
  <c r="Q2268" i="34"/>
  <c r="P2276" i="34"/>
  <c r="P2371" i="34"/>
  <c r="Q2428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89" i="34"/>
  <c r="Q2393" i="34"/>
  <c r="Q2402" i="34"/>
  <c r="O2413" i="34"/>
  <c r="Q2417" i="34"/>
  <c r="O2421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68" i="34"/>
  <c r="P2368" i="34"/>
  <c r="O2372" i="34"/>
  <c r="P2425" i="34"/>
  <c r="Q2429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8" i="34"/>
  <c r="O2364" i="34"/>
  <c r="O2390" i="34"/>
  <c r="P2394" i="34"/>
  <c r="O2403" i="34"/>
  <c r="P2407" i="34"/>
  <c r="O2414" i="34"/>
  <c r="P2418" i="34"/>
  <c r="O2422" i="34"/>
  <c r="O2005" i="34"/>
  <c r="P2009" i="34"/>
  <c r="P2017" i="34"/>
  <c r="P2062" i="34"/>
  <c r="O2066" i="34"/>
  <c r="P2070" i="34"/>
  <c r="P1959" i="34"/>
  <c r="O2819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7" i="34"/>
  <c r="P2424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3" i="34"/>
  <c r="P2389" i="34"/>
  <c r="O2402" i="34"/>
  <c r="P2406" i="34"/>
  <c r="P2413" i="34"/>
  <c r="P2421" i="34"/>
  <c r="Q2004" i="34"/>
  <c r="O2008" i="34"/>
  <c r="P2008" i="34"/>
  <c r="O2012" i="34"/>
  <c r="Q2016" i="34"/>
  <c r="P2016" i="34"/>
  <c r="P2065" i="34"/>
  <c r="O1732" i="34"/>
  <c r="P2410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25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8" i="34"/>
  <c r="Q2394" i="34"/>
  <c r="Q2407" i="34"/>
  <c r="Q2418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69" i="34"/>
  <c r="O2373" i="34"/>
  <c r="O1975" i="34"/>
  <c r="O1987" i="34"/>
  <c r="O1995" i="34"/>
  <c r="O2156" i="34"/>
  <c r="Q2168" i="34"/>
  <c r="P2260" i="34"/>
  <c r="O2272" i="34"/>
  <c r="Q2284" i="34"/>
  <c r="O2371" i="34"/>
  <c r="P2428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3" i="34"/>
  <c r="Q2389" i="34"/>
  <c r="O2393" i="34"/>
  <c r="Q2406" i="34"/>
  <c r="Q2413" i="34"/>
  <c r="O2417" i="34"/>
  <c r="Q2421" i="34"/>
  <c r="O2061" i="34"/>
  <c r="Q2065" i="34"/>
  <c r="O2069" i="34"/>
  <c r="Q2410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68" i="34"/>
  <c r="Q2372" i="34"/>
  <c r="P2372" i="34"/>
  <c r="P2429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8" i="34"/>
  <c r="Q2364" i="34"/>
  <c r="P2364" i="34"/>
  <c r="P2390" i="34"/>
  <c r="O2394" i="34"/>
  <c r="P2403" i="34"/>
  <c r="O2407" i="34"/>
  <c r="P2414" i="34"/>
  <c r="O2418" i="34"/>
  <c r="P2422" i="34"/>
  <c r="P2005" i="34"/>
  <c r="O2009" i="34"/>
  <c r="P2013" i="34"/>
  <c r="O2062" i="34"/>
  <c r="P2066" i="34"/>
  <c r="O2070" i="34"/>
  <c r="Q2819" i="34"/>
  <c r="P2819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3" i="34"/>
  <c r="P2426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0" i="34"/>
  <c r="Q2395" i="34"/>
  <c r="Q2821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69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5" i="34"/>
  <c r="P2391" i="34"/>
  <c r="O2395" i="34"/>
  <c r="O2404" i="34"/>
  <c r="O2411" i="34"/>
  <c r="P2415" i="34"/>
  <c r="O2419" i="34"/>
  <c r="O2002" i="34"/>
  <c r="Q2006" i="34"/>
  <c r="P2006" i="34"/>
  <c r="P2010" i="34"/>
  <c r="O2014" i="34"/>
  <c r="P2018" i="34"/>
  <c r="O2063" i="34"/>
  <c r="P2067" i="34"/>
  <c r="O2071" i="34"/>
  <c r="P1961" i="34"/>
  <c r="O2821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0" i="34"/>
  <c r="Q2365" i="34"/>
  <c r="Q2391" i="34"/>
  <c r="Q2415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0" i="34"/>
  <c r="O2391" i="34"/>
  <c r="P2395" i="34"/>
  <c r="Q2404" i="34"/>
  <c r="P2404" i="34"/>
  <c r="P2411" i="34"/>
  <c r="O2415" i="34"/>
  <c r="P2419" i="34"/>
  <c r="Q2002" i="34"/>
  <c r="P2002" i="34"/>
  <c r="O2006" i="34"/>
  <c r="O2010" i="34"/>
  <c r="P2014" i="34"/>
  <c r="O2018" i="34"/>
  <c r="P2063" i="34"/>
  <c r="O2067" i="34"/>
  <c r="P2071" i="34"/>
  <c r="O1961" i="34"/>
  <c r="P2821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26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5" i="34"/>
  <c r="Q2411" i="34"/>
  <c r="Q2419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798" i="34"/>
  <c r="P2802" i="34"/>
  <c r="O2806" i="34"/>
  <c r="P2810" i="34"/>
  <c r="O2814" i="34"/>
  <c r="P2818" i="34"/>
  <c r="P1734" i="34"/>
  <c r="P2436" i="34"/>
  <c r="Q2440" i="34"/>
  <c r="Q2789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6" i="34"/>
  <c r="Q2782" i="34"/>
  <c r="Q2790" i="34"/>
  <c r="O2397" i="34"/>
  <c r="Q2401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0" i="34"/>
  <c r="O2804" i="34"/>
  <c r="Q2808" i="34"/>
  <c r="O2812" i="34"/>
  <c r="Q2816" i="34"/>
  <c r="Q2387" i="34"/>
  <c r="Q2398" i="34"/>
  <c r="Q2802" i="34"/>
  <c r="Q2810" i="34"/>
  <c r="Q2818" i="34"/>
  <c r="Q1734" i="34"/>
  <c r="O2385" i="34"/>
  <c r="Q2436" i="34"/>
  <c r="P2785" i="34"/>
  <c r="O2789" i="34"/>
  <c r="P2793" i="34"/>
  <c r="O2355" i="34"/>
  <c r="O2400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799" i="34"/>
  <c r="Q2803" i="34"/>
  <c r="P2803" i="34"/>
  <c r="O2807" i="34"/>
  <c r="Q2811" i="34"/>
  <c r="P2811" i="34"/>
  <c r="O2815" i="34"/>
  <c r="Q1733" i="34"/>
  <c r="P1733" i="34"/>
  <c r="P2382" i="34"/>
  <c r="O2386" i="34"/>
  <c r="P2437" i="34"/>
  <c r="O2782" i="34"/>
  <c r="P2786" i="34"/>
  <c r="O2790" i="34"/>
  <c r="P2794" i="34"/>
  <c r="P2397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798" i="34"/>
  <c r="O2802" i="34"/>
  <c r="P2806" i="34"/>
  <c r="O2810" i="34"/>
  <c r="P2814" i="34"/>
  <c r="O2818" i="34"/>
  <c r="P2385" i="34"/>
  <c r="P2440" i="34"/>
  <c r="Q2785" i="34"/>
  <c r="Q2793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2" i="34"/>
  <c r="Q2437" i="34"/>
  <c r="Q2786" i="34"/>
  <c r="Q2794" i="34"/>
  <c r="Q2397" i="34"/>
  <c r="O2401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0" i="34"/>
  <c r="Q2804" i="34"/>
  <c r="O2808" i="34"/>
  <c r="Q2812" i="34"/>
  <c r="O2816" i="34"/>
  <c r="O1965" i="34"/>
  <c r="Q2383" i="34"/>
  <c r="Q2438" i="34"/>
  <c r="Q2798" i="34"/>
  <c r="Q2806" i="34"/>
  <c r="Q2814" i="34"/>
  <c r="O1734" i="34"/>
  <c r="Q2385" i="34"/>
  <c r="O2436" i="34"/>
  <c r="O2440" i="34"/>
  <c r="O2785" i="34"/>
  <c r="P2789" i="34"/>
  <c r="O2793" i="34"/>
  <c r="P2355" i="34"/>
  <c r="Q2400" i="34"/>
  <c r="P2400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799" i="34"/>
  <c r="P2799" i="34"/>
  <c r="O2803" i="34"/>
  <c r="Q2807" i="34"/>
  <c r="P2807" i="34"/>
  <c r="O2811" i="34"/>
  <c r="Q2815" i="34"/>
  <c r="P2815" i="34"/>
  <c r="O1733" i="34"/>
  <c r="O2382" i="34"/>
  <c r="P2386" i="34"/>
  <c r="O2437" i="34"/>
  <c r="P2782" i="34"/>
  <c r="O2786" i="34"/>
  <c r="P2790" i="34"/>
  <c r="O2794" i="34"/>
  <c r="P2401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3" i="34"/>
  <c r="P2438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797" i="34"/>
  <c r="O2801" i="34"/>
  <c r="P2805" i="34"/>
  <c r="O2809" i="34"/>
  <c r="P2813" i="34"/>
  <c r="O2817" i="34"/>
  <c r="O1749" i="34"/>
  <c r="Q2384" i="34"/>
  <c r="P2384" i="34"/>
  <c r="O2435" i="34"/>
  <c r="P2439" i="34"/>
  <c r="P2788" i="34"/>
  <c r="P2796" i="34"/>
  <c r="P2399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7" i="34"/>
  <c r="O2783" i="34"/>
  <c r="Q2787" i="34"/>
  <c r="P2787" i="34"/>
  <c r="O2791" i="34"/>
  <c r="Q2795" i="34"/>
  <c r="P2795" i="34"/>
  <c r="P2398" i="34"/>
  <c r="Q2334" i="34"/>
  <c r="Q2342" i="34"/>
  <c r="O2381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797" i="34"/>
  <c r="Q2805" i="34"/>
  <c r="Q2813" i="34"/>
  <c r="O2784" i="34"/>
  <c r="Q2788" i="34"/>
  <c r="O2792" i="34"/>
  <c r="Q2796" i="34"/>
  <c r="Q2399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3" i="34"/>
  <c r="O2438" i="34"/>
  <c r="P2330" i="34"/>
  <c r="O2334" i="34"/>
  <c r="P2338" i="34"/>
  <c r="O2342" i="34"/>
  <c r="P2346" i="34"/>
  <c r="P2381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797" i="34"/>
  <c r="P2801" i="34"/>
  <c r="O2805" i="34"/>
  <c r="P2809" i="34"/>
  <c r="O2813" i="34"/>
  <c r="P2817" i="34"/>
  <c r="Q1749" i="34"/>
  <c r="P1749" i="34"/>
  <c r="O2384" i="34"/>
  <c r="Q2435" i="34"/>
  <c r="P2435" i="34"/>
  <c r="O2439" i="34"/>
  <c r="P2784" i="34"/>
  <c r="P2792" i="34"/>
  <c r="O2399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0" i="34"/>
  <c r="P2804" i="34"/>
  <c r="P2808" i="34"/>
  <c r="P2812" i="34"/>
  <c r="P2816" i="34"/>
  <c r="P1965" i="34"/>
  <c r="P2387" i="34"/>
  <c r="Q2783" i="34"/>
  <c r="P2783" i="34"/>
  <c r="O2787" i="34"/>
  <c r="Q2791" i="34"/>
  <c r="P2791" i="34"/>
  <c r="O2795" i="34"/>
  <c r="O2398" i="34"/>
  <c r="Q2330" i="34"/>
  <c r="Q2338" i="34"/>
  <c r="Q2346" i="34"/>
  <c r="Q2381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1" i="34"/>
  <c r="Q2809" i="34"/>
  <c r="Q2817" i="34"/>
  <c r="Q2784" i="34"/>
  <c r="O2788" i="34"/>
  <c r="Q2792" i="34"/>
  <c r="O2796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39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B26" i="34"/>
  <c r="B74" i="34"/>
  <c r="B75" i="34"/>
  <c r="B79" i="34"/>
  <c r="B80" i="34"/>
  <c r="B70" i="34"/>
  <c r="B71" i="34"/>
  <c r="B72" i="34"/>
  <c r="A26" i="34" l="1"/>
  <c r="A25" i="34"/>
  <c r="Z41" i="34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Z65" i="34"/>
  <c r="O65" i="34"/>
  <c r="W65" i="34"/>
  <c r="P65" i="34"/>
  <c r="Q65" i="34"/>
  <c r="U65" i="34"/>
  <c r="A65" i="34"/>
  <c r="P130" i="34"/>
  <c r="Z130" i="34"/>
  <c r="O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Z116" i="34"/>
  <c r="O116" i="34"/>
  <c r="W116" i="34"/>
  <c r="P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W115" i="34"/>
  <c r="P115" i="34"/>
  <c r="Q115" i="34"/>
  <c r="U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W129" i="34"/>
  <c r="P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S104" i="34" l="1"/>
  <c r="S105" i="34"/>
  <c r="T104" i="34"/>
  <c r="T105" i="34"/>
  <c r="R104" i="34"/>
  <c r="R105" i="34"/>
  <c r="R46" i="34"/>
  <c r="S46" i="34"/>
  <c r="T46" i="34"/>
  <c r="S69" i="34"/>
  <c r="S126" i="34"/>
  <c r="T62" i="34"/>
  <c r="T69" i="34"/>
  <c r="T126" i="34"/>
  <c r="R66" i="34"/>
  <c r="R69" i="34"/>
  <c r="R62" i="34"/>
  <c r="S66" i="34"/>
  <c r="R126" i="34"/>
  <c r="S62" i="34"/>
  <c r="T66" i="34"/>
  <c r="R109" i="34"/>
  <c r="T112" i="34"/>
  <c r="R117" i="34"/>
  <c r="S109" i="34"/>
  <c r="R112" i="34"/>
  <c r="T109" i="34"/>
  <c r="S117" i="34"/>
  <c r="S112" i="34"/>
  <c r="T117" i="34"/>
  <c r="S106" i="34"/>
  <c r="S111" i="34"/>
  <c r="R119" i="34"/>
  <c r="R107" i="34"/>
  <c r="S113" i="34"/>
  <c r="T120" i="34"/>
  <c r="S108" i="34"/>
  <c r="T114" i="34"/>
  <c r="R121" i="34"/>
  <c r="S110" i="34"/>
  <c r="S118" i="34"/>
  <c r="T122" i="34"/>
  <c r="T106" i="34"/>
  <c r="T111" i="34"/>
  <c r="S123" i="34"/>
  <c r="S107" i="34"/>
  <c r="T113" i="34"/>
  <c r="R124" i="34"/>
  <c r="T108" i="34"/>
  <c r="R114" i="34"/>
  <c r="S125" i="34"/>
  <c r="T110" i="34"/>
  <c r="T118" i="34"/>
  <c r="R106" i="34"/>
  <c r="S119" i="34"/>
  <c r="T123" i="34"/>
  <c r="T107" i="34"/>
  <c r="R120" i="34"/>
  <c r="S124" i="34"/>
  <c r="R108" i="34"/>
  <c r="S121" i="34"/>
  <c r="T125" i="34"/>
  <c r="R110" i="34"/>
  <c r="R122" i="34"/>
  <c r="R111" i="34"/>
  <c r="T119" i="34"/>
  <c r="R123" i="34"/>
  <c r="R113" i="34"/>
  <c r="S120" i="34"/>
  <c r="T124" i="34"/>
  <c r="S114" i="34"/>
  <c r="T121" i="34"/>
  <c r="R125" i="34"/>
  <c r="R118" i="34"/>
  <c r="S122" i="34"/>
  <c r="T61" i="34"/>
  <c r="S89" i="34"/>
  <c r="T60" i="34"/>
  <c r="R61" i="34"/>
  <c r="T89" i="34"/>
  <c r="S61" i="34"/>
  <c r="R60" i="34"/>
  <c r="R89" i="34"/>
  <c r="S60" i="34"/>
  <c r="R99" i="34"/>
  <c r="T100" i="34"/>
  <c r="S99" i="34"/>
  <c r="R100" i="34"/>
  <c r="T99" i="34"/>
  <c r="S100" i="34"/>
  <c r="R101" i="34"/>
  <c r="S101" i="34"/>
  <c r="T101" i="34"/>
  <c r="R52" i="34"/>
  <c r="R53" i="34"/>
  <c r="S52" i="34"/>
  <c r="S53" i="34"/>
  <c r="T52" i="34"/>
  <c r="T53" i="34"/>
  <c r="R128" i="34"/>
  <c r="T138" i="34"/>
  <c r="R127" i="34"/>
  <c r="S140" i="34"/>
  <c r="T136" i="34"/>
  <c r="T139" i="34"/>
  <c r="S128" i="34"/>
  <c r="R138" i="34"/>
  <c r="R137" i="34"/>
  <c r="T140" i="34"/>
  <c r="R136" i="34"/>
  <c r="R135" i="34"/>
  <c r="T128" i="34"/>
  <c r="S127" i="34"/>
  <c r="S137" i="34"/>
  <c r="R140" i="34"/>
  <c r="R139" i="34"/>
  <c r="S135" i="34"/>
  <c r="S138" i="34"/>
  <c r="T127" i="34"/>
  <c r="T137" i="34"/>
  <c r="S136" i="34"/>
  <c r="S139" i="34"/>
  <c r="T135" i="34"/>
  <c r="T59" i="34"/>
  <c r="S64" i="34"/>
  <c r="R73" i="34"/>
  <c r="S102" i="34"/>
  <c r="S83" i="34"/>
  <c r="R90" i="34"/>
  <c r="S132" i="34"/>
  <c r="T96" i="34"/>
  <c r="T70" i="34"/>
  <c r="T80" i="34"/>
  <c r="S26" i="34"/>
  <c r="R51" i="34"/>
  <c r="S47" i="34"/>
  <c r="T63" i="34"/>
  <c r="T77" i="34"/>
  <c r="T103" i="34"/>
  <c r="S88" i="34"/>
  <c r="T84" i="34"/>
  <c r="T131" i="34"/>
  <c r="R72" i="34"/>
  <c r="S79" i="34"/>
  <c r="S25" i="34"/>
  <c r="T50" i="34"/>
  <c r="T57" i="34"/>
  <c r="S68" i="34"/>
  <c r="T76" i="34"/>
  <c r="S92" i="34"/>
  <c r="S87" i="34"/>
  <c r="R134" i="34"/>
  <c r="S94" i="34"/>
  <c r="S74" i="34"/>
  <c r="R71" i="34"/>
  <c r="T49" i="34"/>
  <c r="S54" i="34"/>
  <c r="T56" i="34"/>
  <c r="S142" i="34"/>
  <c r="T44" i="34"/>
  <c r="T91" i="34"/>
  <c r="R133" i="34"/>
  <c r="S97" i="34"/>
  <c r="R59" i="34"/>
  <c r="T64" i="34"/>
  <c r="R141" i="34"/>
  <c r="T102" i="34"/>
  <c r="T83" i="34"/>
  <c r="R85" i="34"/>
  <c r="T132" i="34"/>
  <c r="R96" i="34"/>
  <c r="R48" i="34"/>
  <c r="R80" i="34"/>
  <c r="T26" i="34"/>
  <c r="S51" i="34"/>
  <c r="R58" i="34"/>
  <c r="R63" i="34"/>
  <c r="R77" i="34"/>
  <c r="R93" i="34"/>
  <c r="T88" i="34"/>
  <c r="R84" i="34"/>
  <c r="R95" i="34"/>
  <c r="S72" i="34"/>
  <c r="T79" i="34"/>
  <c r="T25" i="34"/>
  <c r="T55" i="34"/>
  <c r="R57" i="34"/>
  <c r="T68" i="34"/>
  <c r="S82" i="34"/>
  <c r="T92" i="34"/>
  <c r="T87" i="34"/>
  <c r="S98" i="34"/>
  <c r="T94" i="34"/>
  <c r="T74" i="34"/>
  <c r="S75" i="34"/>
  <c r="R49" i="34"/>
  <c r="T54" i="34"/>
  <c r="S67" i="34"/>
  <c r="T142" i="34"/>
  <c r="R44" i="34"/>
  <c r="S86" i="34"/>
  <c r="S133" i="34"/>
  <c r="T97" i="34"/>
  <c r="S59" i="34"/>
  <c r="S73" i="34"/>
  <c r="S141" i="34"/>
  <c r="R102" i="34"/>
  <c r="S90" i="34"/>
  <c r="S85" i="34"/>
  <c r="R132" i="34"/>
  <c r="R70" i="34"/>
  <c r="S48" i="34"/>
  <c r="S80" i="34"/>
  <c r="R26" i="34"/>
  <c r="T47" i="34"/>
  <c r="S58" i="34"/>
  <c r="S63" i="34"/>
  <c r="R103" i="34"/>
  <c r="S93" i="34"/>
  <c r="R88" i="34"/>
  <c r="R131" i="34"/>
  <c r="S95" i="34"/>
  <c r="T72" i="34"/>
  <c r="R50" i="34"/>
  <c r="R55" i="34"/>
  <c r="S57" i="34"/>
  <c r="R76" i="34"/>
  <c r="T82" i="34"/>
  <c r="R92" i="34"/>
  <c r="S134" i="34"/>
  <c r="T98" i="34"/>
  <c r="R94" i="34"/>
  <c r="S71" i="34"/>
  <c r="T75" i="34"/>
  <c r="S49" i="34"/>
  <c r="R56" i="34"/>
  <c r="T67" i="34"/>
  <c r="R142" i="34"/>
  <c r="R91" i="34"/>
  <c r="T86" i="34"/>
  <c r="T133" i="34"/>
  <c r="R64" i="34"/>
  <c r="T73" i="34"/>
  <c r="T141" i="34"/>
  <c r="R83" i="34"/>
  <c r="T90" i="34"/>
  <c r="T85" i="34"/>
  <c r="S96" i="34"/>
  <c r="S70" i="34"/>
  <c r="T48" i="34"/>
  <c r="T51" i="34"/>
  <c r="R47" i="34"/>
  <c r="T58" i="34"/>
  <c r="S77" i="34"/>
  <c r="S103" i="34"/>
  <c r="T93" i="34"/>
  <c r="S84" i="34"/>
  <c r="S131" i="34"/>
  <c r="T95" i="34"/>
  <c r="R79" i="34"/>
  <c r="R25" i="34"/>
  <c r="S50" i="34"/>
  <c r="S55" i="34"/>
  <c r="R68" i="34"/>
  <c r="S76" i="34"/>
  <c r="R82" i="34"/>
  <c r="R87" i="34"/>
  <c r="T134" i="34"/>
  <c r="R98" i="34"/>
  <c r="R74" i="34"/>
  <c r="T71" i="34"/>
  <c r="R75" i="34"/>
  <c r="R54" i="34"/>
  <c r="S56" i="34"/>
  <c r="R67" i="34"/>
  <c r="S44" i="34"/>
  <c r="S91" i="34"/>
  <c r="R86" i="34"/>
  <c r="R97" i="34"/>
  <c r="T65" i="34"/>
  <c r="T116" i="34"/>
  <c r="T129" i="34"/>
  <c r="S65" i="34"/>
  <c r="T130" i="34"/>
  <c r="S130" i="34"/>
  <c r="S116" i="34"/>
  <c r="R115" i="34"/>
  <c r="S129" i="34"/>
  <c r="R129" i="34"/>
  <c r="R65" i="34"/>
  <c r="R130" i="34"/>
  <c r="R116" i="34"/>
  <c r="T115" i="34"/>
  <c r="S115" i="34"/>
  <c r="D13" i="15"/>
  <c r="C13" i="15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25" i="34" l="1"/>
  <c r="B2826" i="34"/>
  <c r="B2827" i="34"/>
  <c r="B2828" i="34"/>
  <c r="B2829" i="34"/>
  <c r="B2830" i="34"/>
  <c r="O2828" i="34" l="1"/>
  <c r="Q2828" i="34"/>
  <c r="U2828" i="34"/>
  <c r="W2828" i="34"/>
  <c r="P2828" i="34"/>
  <c r="Z2828" i="34"/>
  <c r="Q2827" i="34"/>
  <c r="U2827" i="34"/>
  <c r="O2827" i="34"/>
  <c r="W2827" i="34"/>
  <c r="P2827" i="34"/>
  <c r="A2827" i="34"/>
  <c r="Z2827" i="34"/>
  <c r="P2826" i="34"/>
  <c r="W2826" i="34"/>
  <c r="Q2826" i="34"/>
  <c r="U2826" i="34"/>
  <c r="A2826" i="34"/>
  <c r="O2826" i="34"/>
  <c r="Z2826" i="34"/>
  <c r="Q2829" i="34"/>
  <c r="U2829" i="34"/>
  <c r="P2829" i="34"/>
  <c r="W2829" i="34"/>
  <c r="O2829" i="34"/>
  <c r="Z2829" i="34"/>
  <c r="O2825" i="34"/>
  <c r="P2825" i="34"/>
  <c r="Q2825" i="34"/>
  <c r="U2825" i="34"/>
  <c r="W2825" i="34"/>
  <c r="A2825" i="34"/>
  <c r="Z2825" i="34"/>
  <c r="A2828" i="34"/>
  <c r="P2830" i="34"/>
  <c r="Q2830" i="34"/>
  <c r="U2830" i="34"/>
  <c r="Z2830" i="34"/>
  <c r="O2830" i="34"/>
  <c r="A2829" i="34"/>
  <c r="A2830" i="34"/>
  <c r="I6" i="43"/>
  <c r="G290" i="55" l="1" a="1"/>
  <c r="G290" i="55" s="1"/>
  <c r="I294" i="55" a="1"/>
  <c r="I294" i="55" s="1"/>
  <c r="I108" i="55" a="1"/>
  <c r="I108" i="55" s="1"/>
  <c r="I193" i="55" a="1"/>
  <c r="I193" i="55" s="1"/>
  <c r="I248" i="55" a="1"/>
  <c r="I248" i="55" s="1"/>
  <c r="I97" i="55" a="1"/>
  <c r="I97" i="55" s="1"/>
  <c r="I69" i="55" a="1"/>
  <c r="I69" i="55" s="1"/>
  <c r="I56" i="55" a="1"/>
  <c r="I56" i="55" s="1"/>
  <c r="I140" i="55" a="1"/>
  <c r="I140" i="55" s="1"/>
  <c r="I170" i="55" a="1"/>
  <c r="I170" i="55" s="1"/>
  <c r="I37" i="55" a="1"/>
  <c r="I37" i="55" s="1"/>
  <c r="I227" i="55" a="1"/>
  <c r="I227" i="55" s="1"/>
  <c r="I35" i="55" a="1"/>
  <c r="I35" i="55" s="1"/>
  <c r="I235" i="55" a="1"/>
  <c r="I235" i="55" s="1"/>
  <c r="I68" i="55" a="1"/>
  <c r="I68" i="55" s="1"/>
  <c r="I59" i="55" a="1"/>
  <c r="I59" i="55" s="1"/>
  <c r="I290" i="55" a="1"/>
  <c r="I290" i="55" s="1"/>
  <c r="G332" i="55" a="1"/>
  <c r="G332" i="55" s="1"/>
  <c r="G30" i="55" a="1"/>
  <c r="G30" i="55" s="1"/>
  <c r="G184" i="55" a="1"/>
  <c r="G184" i="55" s="1"/>
  <c r="G214" i="55" a="1"/>
  <c r="G214" i="55" s="1"/>
  <c r="G224" i="55" a="1"/>
  <c r="G224" i="55" s="1"/>
  <c r="G196" i="55" a="1"/>
  <c r="G196" i="55" s="1"/>
  <c r="G88" i="55" a="1"/>
  <c r="G88" i="55" s="1"/>
  <c r="G129" i="55" a="1"/>
  <c r="G129" i="55" s="1"/>
  <c r="G72" i="55" a="1"/>
  <c r="G72" i="55" s="1"/>
  <c r="G42" i="55" a="1"/>
  <c r="G42" i="55" s="1"/>
  <c r="G43" i="55" a="1"/>
  <c r="G43" i="55" s="1"/>
  <c r="G177" i="55" a="1"/>
  <c r="G177" i="55" s="1"/>
  <c r="G166" i="55" a="1"/>
  <c r="G166" i="55" s="1"/>
  <c r="I153" i="55" a="1"/>
  <c r="I153" i="55" s="1"/>
  <c r="I308" i="55" a="1"/>
  <c r="I308" i="55" s="1"/>
  <c r="I192" i="55" a="1"/>
  <c r="I192" i="55" s="1"/>
  <c r="I242" i="55" a="1"/>
  <c r="I242" i="55" s="1"/>
  <c r="I225" i="55" a="1"/>
  <c r="I225" i="55" s="1"/>
  <c r="I191" i="55" a="1"/>
  <c r="I191" i="55" s="1"/>
  <c r="I48" i="55" a="1"/>
  <c r="I48" i="55" s="1"/>
  <c r="I95" i="55" a="1"/>
  <c r="I95" i="55" s="1"/>
  <c r="I39" i="55" a="1"/>
  <c r="I39" i="55" s="1"/>
  <c r="I36" i="55" a="1"/>
  <c r="I36" i="55" s="1"/>
  <c r="I237" i="55" a="1"/>
  <c r="I237" i="55" s="1"/>
  <c r="I139" i="55" a="1"/>
  <c r="I139" i="55" s="1"/>
  <c r="I259" i="55" a="1"/>
  <c r="I259" i="55" s="1"/>
  <c r="G292" i="55" a="1"/>
  <c r="G292" i="55" s="1"/>
  <c r="G258" i="55" a="1"/>
  <c r="G258" i="55" s="1"/>
  <c r="G250" i="55" a="1"/>
  <c r="G250" i="55" s="1"/>
  <c r="G253" i="55" a="1"/>
  <c r="G253" i="55" s="1"/>
  <c r="G252" i="55" a="1"/>
  <c r="G252" i="55" s="1"/>
  <c r="G304" i="55" a="1"/>
  <c r="G304" i="55" s="1"/>
  <c r="I296" i="55" a="1"/>
  <c r="I296" i="55" s="1"/>
  <c r="I332" i="55" a="1"/>
  <c r="I332" i="55" s="1"/>
  <c r="I30" i="55" a="1"/>
  <c r="I30" i="55" s="1"/>
  <c r="I184" i="55" a="1"/>
  <c r="I184" i="55" s="1"/>
  <c r="I214" i="55" a="1"/>
  <c r="I214" i="55" s="1"/>
  <c r="I224" i="55" a="1"/>
  <c r="I224" i="55" s="1"/>
  <c r="I196" i="55" a="1"/>
  <c r="I196" i="55" s="1"/>
  <c r="I88" i="55" a="1"/>
  <c r="I88" i="55" s="1"/>
  <c r="I129" i="55" a="1"/>
  <c r="I129" i="55" s="1"/>
  <c r="I72" i="55" a="1"/>
  <c r="I72" i="55" s="1"/>
  <c r="I42" i="55" a="1"/>
  <c r="I42" i="55" s="1"/>
  <c r="I43" i="55" a="1"/>
  <c r="I43" i="55" s="1"/>
  <c r="I177" i="55" a="1"/>
  <c r="I177" i="55" s="1"/>
  <c r="G296" i="55" a="1"/>
  <c r="G296" i="55" s="1"/>
  <c r="I292" i="55" a="1"/>
  <c r="I292" i="55" s="1"/>
  <c r="I258" i="55" a="1"/>
  <c r="I258" i="55" s="1"/>
  <c r="I250" i="55" a="1"/>
  <c r="I250" i="55" s="1"/>
  <c r="I253" i="55" a="1"/>
  <c r="I253" i="55" s="1"/>
  <c r="I252" i="55" a="1"/>
  <c r="I252" i="55" s="1"/>
  <c r="I181" i="55" a="1"/>
  <c r="I181" i="55" s="1"/>
  <c r="I107" i="55" a="1"/>
  <c r="I107" i="55" s="1"/>
  <c r="I257" i="55" a="1"/>
  <c r="I257" i="55" s="1"/>
  <c r="I178" i="55" a="1"/>
  <c r="I178" i="55" s="1"/>
  <c r="I38" i="55" a="1"/>
  <c r="I38" i="55" s="1"/>
  <c r="I254" i="55" a="1"/>
  <c r="I254" i="55" s="1"/>
  <c r="I34" i="55" a="1"/>
  <c r="I34" i="55" s="1"/>
  <c r="I106" i="55" a="1"/>
  <c r="I106" i="55" s="1"/>
  <c r="I230" i="55" a="1"/>
  <c r="I230" i="55" s="1"/>
  <c r="G259" i="55" a="1"/>
  <c r="G259" i="55" s="1"/>
  <c r="G308" i="55" a="1"/>
  <c r="G308" i="55" s="1"/>
  <c r="G192" i="55" a="1"/>
  <c r="G192" i="55" s="1"/>
  <c r="G242" i="55" a="1"/>
  <c r="G242" i="55" s="1"/>
  <c r="G294" i="55" a="1"/>
  <c r="G294" i="55" s="1"/>
  <c r="G97" i="55" a="1"/>
  <c r="G97" i="55" s="1"/>
  <c r="G56" i="55" a="1"/>
  <c r="G56" i="55" s="1"/>
  <c r="K56" i="55" s="1"/>
  <c r="G95" i="55" a="1"/>
  <c r="G95" i="55" s="1"/>
  <c r="G38" i="55" a="1"/>
  <c r="G38" i="55" s="1"/>
  <c r="G227" i="55" a="1"/>
  <c r="G227" i="55" s="1"/>
  <c r="G106" i="55" a="1"/>
  <c r="G106" i="55" s="1"/>
  <c r="K106" i="55" s="1"/>
  <c r="G59" i="55" a="1"/>
  <c r="G59" i="55" s="1"/>
  <c r="I165" i="55" a="1"/>
  <c r="I165" i="55" s="1"/>
  <c r="I77" i="55" a="1"/>
  <c r="I77" i="55" s="1"/>
  <c r="I152" i="55" a="1"/>
  <c r="I152" i="55" s="1"/>
  <c r="I102" i="55" a="1"/>
  <c r="I102" i="55" s="1"/>
  <c r="I160" i="55" a="1"/>
  <c r="I160" i="55" s="1"/>
  <c r="I228" i="55" a="1"/>
  <c r="I228" i="55" s="1"/>
  <c r="G153" i="55" a="1"/>
  <c r="G153" i="55" s="1"/>
  <c r="G220" i="55" a="1"/>
  <c r="G220" i="55" s="1"/>
  <c r="G96" i="55" a="1"/>
  <c r="G96" i="55" s="1"/>
  <c r="G221" i="55" a="1"/>
  <c r="G221" i="55" s="1"/>
  <c r="G55" i="55" a="1"/>
  <c r="G55" i="55" s="1"/>
  <c r="G195" i="55" a="1"/>
  <c r="G195" i="55" s="1"/>
  <c r="G141" i="55" a="1"/>
  <c r="G141" i="55" s="1"/>
  <c r="G241" i="55" a="1"/>
  <c r="G241" i="55" s="1"/>
  <c r="G256" i="55" a="1"/>
  <c r="G256" i="55" s="1"/>
  <c r="I14" i="55" a="1"/>
  <c r="I14" i="55" s="1"/>
  <c r="G267" i="55" a="1"/>
  <c r="G267" i="55" s="1"/>
  <c r="G289" i="55" a="1"/>
  <c r="G289" i="55" s="1"/>
  <c r="G194" i="55" a="1"/>
  <c r="G194" i="55" s="1"/>
  <c r="I300" i="55" a="1"/>
  <c r="I300" i="55" s="1"/>
  <c r="I29" i="55" a="1"/>
  <c r="I29" i="55" s="1"/>
  <c r="I281" i="55" a="1"/>
  <c r="I281" i="55" s="1"/>
  <c r="I282" i="55" a="1"/>
  <c r="I282" i="55" s="1"/>
  <c r="G145" i="55" a="1"/>
  <c r="G145" i="55" s="1"/>
  <c r="G269" i="55" a="1"/>
  <c r="G269" i="55" s="1"/>
  <c r="G303" i="55" a="1"/>
  <c r="G303" i="55" s="1"/>
  <c r="I145" i="55" a="1"/>
  <c r="I145" i="55" s="1"/>
  <c r="I269" i="55" a="1"/>
  <c r="I269" i="55" s="1"/>
  <c r="I303" i="55" a="1"/>
  <c r="I303" i="55" s="1"/>
  <c r="I286" i="55" a="1"/>
  <c r="I286" i="55" s="1"/>
  <c r="G108" i="55" a="1"/>
  <c r="G108" i="55" s="1"/>
  <c r="K108" i="55" s="1"/>
  <c r="G225" i="55" a="1"/>
  <c r="G225" i="55" s="1"/>
  <c r="G69" i="55" a="1"/>
  <c r="G69" i="55" s="1"/>
  <c r="K69" i="55" s="1"/>
  <c r="G48" i="55" a="1"/>
  <c r="G48" i="55" s="1"/>
  <c r="K48" i="55" s="1"/>
  <c r="G178" i="55" a="1"/>
  <c r="G178" i="55" s="1"/>
  <c r="G37" i="55" a="1"/>
  <c r="G37" i="55" s="1"/>
  <c r="K37" i="55" s="1"/>
  <c r="G237" i="55" a="1"/>
  <c r="G237" i="55" s="1"/>
  <c r="G235" i="55" a="1"/>
  <c r="G235" i="55" s="1"/>
  <c r="K235" i="55" s="1"/>
  <c r="G68" i="55" a="1"/>
  <c r="G68" i="55" s="1"/>
  <c r="K68" i="55" s="1"/>
  <c r="I143" i="55" a="1"/>
  <c r="I143" i="55" s="1"/>
  <c r="I220" i="55" a="1"/>
  <c r="I220" i="55" s="1"/>
  <c r="I96" i="55" a="1"/>
  <c r="I96" i="55" s="1"/>
  <c r="I221" i="55" a="1"/>
  <c r="I221" i="55" s="1"/>
  <c r="I55" i="55" a="1"/>
  <c r="I55" i="55" s="1"/>
  <c r="I195" i="55" a="1"/>
  <c r="I195" i="55" s="1"/>
  <c r="I141" i="55" a="1"/>
  <c r="I141" i="55" s="1"/>
  <c r="I241" i="55" a="1"/>
  <c r="I241" i="55" s="1"/>
  <c r="I256" i="55" a="1"/>
  <c r="I256" i="55" s="1"/>
  <c r="G159" i="55" a="1"/>
  <c r="G159" i="55" s="1"/>
  <c r="G246" i="55" a="1"/>
  <c r="G246" i="55" s="1"/>
  <c r="G180" i="55" a="1"/>
  <c r="G180" i="55" s="1"/>
  <c r="G245" i="55" a="1"/>
  <c r="G245" i="55" s="1"/>
  <c r="G134" i="55" a="1"/>
  <c r="G134" i="55" s="1"/>
  <c r="G213" i="55" a="1"/>
  <c r="G213" i="55" s="1"/>
  <c r="G182" i="55" a="1"/>
  <c r="G182" i="55" s="1"/>
  <c r="G255" i="55" a="1"/>
  <c r="G255" i="55" s="1"/>
  <c r="G291" i="55" a="1"/>
  <c r="G291" i="55" s="1"/>
  <c r="G79" i="55" a="1"/>
  <c r="G79" i="55" s="1"/>
  <c r="G266" i="55" a="1"/>
  <c r="G266" i="55" s="1"/>
  <c r="G285" i="55" a="1"/>
  <c r="G285" i="55" s="1"/>
  <c r="G288" i="55" a="1"/>
  <c r="G288" i="55" s="1"/>
  <c r="I135" i="55" a="1"/>
  <c r="I135" i="55" s="1"/>
  <c r="I260" i="55" a="1"/>
  <c r="I260" i="55" s="1"/>
  <c r="I263" i="55" a="1"/>
  <c r="I263" i="55" s="1"/>
  <c r="I284" i="55" a="1"/>
  <c r="I284" i="55" s="1"/>
  <c r="G293" i="55" a="1"/>
  <c r="G293" i="55" s="1"/>
  <c r="G265" i="55" a="1"/>
  <c r="G265" i="55" s="1"/>
  <c r="G287" i="55" a="1"/>
  <c r="G287" i="55" s="1"/>
  <c r="I293" i="55" a="1"/>
  <c r="I293" i="55" s="1"/>
  <c r="I265" i="55" a="1"/>
  <c r="I265" i="55" s="1"/>
  <c r="I287" i="55" a="1"/>
  <c r="I287" i="55" s="1"/>
  <c r="I47" i="55" a="1"/>
  <c r="I47" i="55" s="1"/>
  <c r="I166" i="55" a="1"/>
  <c r="I166" i="55" s="1"/>
  <c r="G193" i="55" a="1"/>
  <c r="G193" i="55" s="1"/>
  <c r="G181" i="55" a="1"/>
  <c r="G181" i="55" s="1"/>
  <c r="G257" i="55" a="1"/>
  <c r="G257" i="55" s="1"/>
  <c r="G170" i="55" a="1"/>
  <c r="G170" i="55" s="1"/>
  <c r="K170" i="55" s="1"/>
  <c r="G36" i="55" a="1"/>
  <c r="G36" i="55" s="1"/>
  <c r="G34" i="55" a="1"/>
  <c r="G34" i="55" s="1"/>
  <c r="K34" i="55" s="1"/>
  <c r="G139" i="55" a="1"/>
  <c r="G139" i="55" s="1"/>
  <c r="K139" i="55" s="1"/>
  <c r="I159" i="55" a="1"/>
  <c r="I159" i="55" s="1"/>
  <c r="I246" i="55" a="1"/>
  <c r="I246" i="55" s="1"/>
  <c r="I180" i="55" a="1"/>
  <c r="I180" i="55" s="1"/>
  <c r="I245" i="55" a="1"/>
  <c r="I245" i="55" s="1"/>
  <c r="I134" i="55" a="1"/>
  <c r="I134" i="55" s="1"/>
  <c r="I213" i="55" a="1"/>
  <c r="I213" i="55" s="1"/>
  <c r="I182" i="55" a="1"/>
  <c r="I182" i="55" s="1"/>
  <c r="I255" i="55" a="1"/>
  <c r="I255" i="55" s="1"/>
  <c r="I304" i="55" a="1"/>
  <c r="I304" i="55" s="1"/>
  <c r="G99" i="55" a="1"/>
  <c r="G99" i="55" s="1"/>
  <c r="G223" i="55" a="1"/>
  <c r="G223" i="55" s="1"/>
  <c r="G66" i="55" a="1"/>
  <c r="G66" i="55" s="1"/>
  <c r="G219" i="55" a="1"/>
  <c r="G219" i="55" s="1"/>
  <c r="G232" i="55" a="1"/>
  <c r="G232" i="55" s="1"/>
  <c r="G300" i="55" a="1"/>
  <c r="G300" i="55" s="1"/>
  <c r="K300" i="55" s="1"/>
  <c r="G29" i="55" a="1"/>
  <c r="G29" i="55" s="1"/>
  <c r="K29" i="55" s="1"/>
  <c r="G281" i="55" a="1"/>
  <c r="G281" i="55" s="1"/>
  <c r="G282" i="55" a="1"/>
  <c r="G282" i="55" s="1"/>
  <c r="I267" i="55" a="1"/>
  <c r="I267" i="55" s="1"/>
  <c r="I289" i="55" a="1"/>
  <c r="I289" i="55" s="1"/>
  <c r="G301" i="55" a="1"/>
  <c r="G301" i="55" s="1"/>
  <c r="G25" i="55" a="1"/>
  <c r="G25" i="55" s="1"/>
  <c r="G261" i="55" a="1"/>
  <c r="G261" i="55" s="1"/>
  <c r="I301" i="55" a="1"/>
  <c r="I301" i="55" s="1"/>
  <c r="I25" i="55" a="1"/>
  <c r="I25" i="55" s="1"/>
  <c r="I261" i="55" a="1"/>
  <c r="I261" i="55" s="1"/>
  <c r="G248" i="55" a="1"/>
  <c r="G248" i="55" s="1"/>
  <c r="G191" i="55" a="1"/>
  <c r="G191" i="55" s="1"/>
  <c r="G107" i="55" a="1"/>
  <c r="G107" i="55" s="1"/>
  <c r="K107" i="55" s="1"/>
  <c r="G140" i="55" a="1"/>
  <c r="G140" i="55" s="1"/>
  <c r="K140" i="55" s="1"/>
  <c r="G39" i="55" a="1"/>
  <c r="G39" i="55" s="1"/>
  <c r="K39" i="55" s="1"/>
  <c r="G254" i="55" a="1"/>
  <c r="G254" i="55" s="1"/>
  <c r="G35" i="55" a="1"/>
  <c r="G35" i="55" s="1"/>
  <c r="K35" i="55" s="1"/>
  <c r="G230" i="55" a="1"/>
  <c r="G230" i="55" s="1"/>
  <c r="I99" i="55" a="1"/>
  <c r="I99" i="55" s="1"/>
  <c r="I223" i="55" a="1"/>
  <c r="I223" i="55" s="1"/>
  <c r="I66" i="55" a="1"/>
  <c r="I66" i="55" s="1"/>
  <c r="I219" i="55" a="1"/>
  <c r="I219" i="55" s="1"/>
  <c r="I232" i="55" a="1"/>
  <c r="I232" i="55" s="1"/>
  <c r="G143" i="55" a="1"/>
  <c r="G143" i="55" s="1"/>
  <c r="K143" i="55" s="1"/>
  <c r="G165" i="55" a="1"/>
  <c r="G165" i="55" s="1"/>
  <c r="G77" i="55" a="1"/>
  <c r="G77" i="55" s="1"/>
  <c r="K77" i="55" s="1"/>
  <c r="G152" i="55" a="1"/>
  <c r="G152" i="55" s="1"/>
  <c r="G102" i="55" a="1"/>
  <c r="G102" i="55" s="1"/>
  <c r="K102" i="55" s="1"/>
  <c r="G160" i="55" a="1"/>
  <c r="G160" i="55" s="1"/>
  <c r="G228" i="55" a="1"/>
  <c r="G228" i="55" s="1"/>
  <c r="G14" i="55" a="1"/>
  <c r="G14" i="55" s="1"/>
  <c r="K14" i="55" s="1"/>
  <c r="G135" i="55" a="1"/>
  <c r="G135" i="55" s="1"/>
  <c r="G260" i="55" a="1"/>
  <c r="G260" i="55" s="1"/>
  <c r="G263" i="55" a="1"/>
  <c r="G263" i="55" s="1"/>
  <c r="G284" i="55" a="1"/>
  <c r="G284" i="55" s="1"/>
  <c r="I194" i="55" a="1"/>
  <c r="I194" i="55" s="1"/>
  <c r="I291" i="55" a="1"/>
  <c r="I291" i="55" s="1"/>
  <c r="I79" i="55" a="1"/>
  <c r="I79" i="55" s="1"/>
  <c r="I266" i="55" a="1"/>
  <c r="I266" i="55" s="1"/>
  <c r="I285" i="55" a="1"/>
  <c r="I285" i="55" s="1"/>
  <c r="G286" i="55" a="1"/>
  <c r="G286" i="55" s="1"/>
  <c r="G302" i="55" a="1"/>
  <c r="G302" i="55" s="1"/>
  <c r="G268" i="55" a="1"/>
  <c r="G268" i="55" s="1"/>
  <c r="G262" i="55" a="1"/>
  <c r="G262" i="55" s="1"/>
  <c r="G47" i="55" a="1"/>
  <c r="G47" i="55" s="1"/>
  <c r="I302" i="55" a="1"/>
  <c r="I302" i="55" s="1"/>
  <c r="I268" i="55" a="1"/>
  <c r="I268" i="55" s="1"/>
  <c r="I262" i="55" a="1"/>
  <c r="I262" i="55" s="1"/>
  <c r="I288" i="55" a="1"/>
  <c r="I288" i="55" s="1"/>
  <c r="A15" i="12"/>
  <c r="K260" i="55" l="1"/>
  <c r="K135" i="55"/>
  <c r="K191" i="55"/>
  <c r="K282" i="55"/>
  <c r="K36" i="55"/>
  <c r="A44" i="43"/>
  <c r="C44" i="43"/>
  <c r="E44" i="43"/>
  <c r="G44" i="43"/>
  <c r="D44" i="43"/>
  <c r="B44" i="43"/>
  <c r="F44" i="43"/>
  <c r="K38" i="55"/>
  <c r="K59" i="55"/>
  <c r="K95" i="55"/>
  <c r="K97" i="55"/>
  <c r="K47" i="55"/>
  <c r="K25" i="55"/>
  <c r="K79" i="55"/>
  <c r="K55" i="55"/>
  <c r="K43" i="55"/>
  <c r="K88" i="55"/>
  <c r="K99" i="55"/>
  <c r="K134" i="55"/>
  <c r="K42" i="55"/>
  <c r="K30" i="55"/>
  <c r="K141" i="55"/>
  <c r="K96" i="55"/>
  <c r="K72" i="55"/>
  <c r="K66" i="55"/>
  <c r="K145" i="55"/>
  <c r="K129" i="55"/>
  <c r="K153" i="55"/>
  <c r="K281" i="55"/>
  <c r="K225" i="55"/>
  <c r="K286" i="55"/>
  <c r="K254" i="55"/>
  <c r="K248" i="55"/>
  <c r="K228" i="55"/>
  <c r="K152" i="55"/>
  <c r="K230" i="55"/>
  <c r="K181" i="55"/>
  <c r="K193" i="55"/>
  <c r="K237" i="55"/>
  <c r="K284" i="55"/>
  <c r="K192" i="55"/>
  <c r="K242" i="55"/>
  <c r="K308" i="55"/>
  <c r="K178" i="55"/>
  <c r="K259" i="55"/>
  <c r="K257" i="55"/>
  <c r="K160" i="55"/>
  <c r="K165" i="55"/>
  <c r="K294" i="55"/>
  <c r="K296" i="55"/>
  <c r="K263" i="55"/>
  <c r="K227" i="55"/>
  <c r="K268" i="55"/>
  <c r="K232" i="55"/>
  <c r="K265" i="55"/>
  <c r="K291" i="55"/>
  <c r="K159" i="55"/>
  <c r="K289" i="55"/>
  <c r="K256" i="55"/>
  <c r="K250" i="55"/>
  <c r="K196" i="55"/>
  <c r="K184" i="55"/>
  <c r="K262" i="55"/>
  <c r="K301" i="55"/>
  <c r="K219" i="55"/>
  <c r="K285" i="55"/>
  <c r="K255" i="55"/>
  <c r="K245" i="55"/>
  <c r="K267" i="55"/>
  <c r="K241" i="55"/>
  <c r="K221" i="55"/>
  <c r="K304" i="55"/>
  <c r="K258" i="55"/>
  <c r="K224" i="55"/>
  <c r="K290" i="55"/>
  <c r="K223" i="55"/>
  <c r="K293" i="55"/>
  <c r="K266" i="55"/>
  <c r="K182" i="55"/>
  <c r="K180" i="55"/>
  <c r="K303" i="55"/>
  <c r="K252" i="55"/>
  <c r="K292" i="55"/>
  <c r="K177" i="55"/>
  <c r="K214" i="55"/>
  <c r="K332" i="55"/>
  <c r="K302" i="55"/>
  <c r="K261" i="55"/>
  <c r="K287" i="55"/>
  <c r="K288" i="55"/>
  <c r="K213" i="55"/>
  <c r="K246" i="55"/>
  <c r="K269" i="55"/>
  <c r="K194" i="55"/>
  <c r="K195" i="55"/>
  <c r="K220" i="55"/>
  <c r="K253" i="55"/>
  <c r="K166" i="55"/>
  <c r="A12" i="43"/>
  <c r="G50" i="43" s="1"/>
  <c r="F357" i="55"/>
  <c r="F22" i="55"/>
  <c r="A16" i="55"/>
  <c r="B15" i="55"/>
  <c r="A15" i="55" s="1"/>
  <c r="B13" i="55"/>
  <c r="B12" i="55"/>
  <c r="E16" i="55"/>
  <c r="F17" i="55"/>
  <c r="A7" i="60"/>
  <c r="A8" i="60" s="1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L18" i="77" l="1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D62" i="15" s="1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357" i="55"/>
  <c r="F356" i="55"/>
  <c r="E357" i="55" s="1"/>
  <c r="E356" i="55"/>
  <c r="A356" i="55"/>
  <c r="I307" i="55" a="1"/>
  <c r="I307" i="55" s="1"/>
  <c r="G307" i="55" a="1"/>
  <c r="G307" i="55" s="1"/>
  <c r="I305" i="55" a="1"/>
  <c r="I305" i="55" s="1"/>
  <c r="G305" i="55" a="1"/>
  <c r="G305" i="55" s="1"/>
  <c r="I297" i="55" a="1"/>
  <c r="I297" i="55" s="1"/>
  <c r="G297" i="55" a="1"/>
  <c r="G297" i="55" s="1"/>
  <c r="I295" i="55" a="1"/>
  <c r="I295" i="55" s="1"/>
  <c r="G295" i="55" a="1"/>
  <c r="G295" i="55" s="1"/>
  <c r="E22" i="55"/>
  <c r="I18" i="55" a="1"/>
  <c r="I18" i="55" s="1"/>
  <c r="G18" i="55" a="1"/>
  <c r="G18" i="55" s="1"/>
  <c r="G21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3" i="34" l="1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2" i="34"/>
  <c r="V2366" i="34"/>
  <c r="V2370" i="34"/>
  <c r="V2374" i="34"/>
  <c r="V2378" i="34"/>
  <c r="V2382" i="34"/>
  <c r="V2386" i="34"/>
  <c r="V2390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0" i="34"/>
  <c r="V2444" i="34"/>
  <c r="V2448" i="34"/>
  <c r="V2449" i="34"/>
  <c r="V2450" i="34"/>
  <c r="V2454" i="34"/>
  <c r="V2455" i="34"/>
  <c r="V2459" i="34"/>
  <c r="V2463" i="34"/>
  <c r="V2467" i="34"/>
  <c r="V2471" i="34"/>
  <c r="V2475" i="34"/>
  <c r="V2479" i="34"/>
  <c r="V2483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8" i="34"/>
  <c r="V2359" i="34"/>
  <c r="V2360" i="34"/>
  <c r="V2361" i="34"/>
  <c r="V2365" i="34"/>
  <c r="V2369" i="34"/>
  <c r="V2373" i="34"/>
  <c r="V2377" i="34"/>
  <c r="V2381" i="34"/>
  <c r="V2385" i="34"/>
  <c r="V2389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3" i="34"/>
  <c r="V2447" i="34"/>
  <c r="V2453" i="34"/>
  <c r="V2458" i="34"/>
  <c r="V2462" i="34"/>
  <c r="V2466" i="34"/>
  <c r="V2470" i="34"/>
  <c r="V2474" i="34"/>
  <c r="V2478" i="34"/>
  <c r="V2482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4" i="34"/>
  <c r="V2368" i="34"/>
  <c r="V2372" i="34"/>
  <c r="V2376" i="34"/>
  <c r="V2380" i="34"/>
  <c r="V2384" i="34"/>
  <c r="V2388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2" i="34"/>
  <c r="V2446" i="34"/>
  <c r="V2452" i="34"/>
  <c r="V2457" i="34"/>
  <c r="V2461" i="34"/>
  <c r="V2465" i="34"/>
  <c r="V2469" i="34"/>
  <c r="V2473" i="34"/>
  <c r="V2477" i="34"/>
  <c r="V2481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3" i="34"/>
  <c r="V2367" i="34"/>
  <c r="V2371" i="34"/>
  <c r="V2375" i="34"/>
  <c r="V2379" i="34"/>
  <c r="V2383" i="34"/>
  <c r="V2387" i="34"/>
  <c r="V2391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1" i="34"/>
  <c r="V2445" i="34"/>
  <c r="V2451" i="34"/>
  <c r="V2456" i="34"/>
  <c r="V2460" i="34"/>
  <c r="V2464" i="34"/>
  <c r="V2468" i="34"/>
  <c r="V2472" i="34"/>
  <c r="V2476" i="34"/>
  <c r="V2480" i="34"/>
  <c r="V2484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35" i="34"/>
  <c r="V2639" i="34"/>
  <c r="V2643" i="34"/>
  <c r="V2647" i="34"/>
  <c r="V2651" i="34"/>
  <c r="V2655" i="34"/>
  <c r="V2659" i="34"/>
  <c r="V2663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631" i="34"/>
  <c r="V2634" i="34"/>
  <c r="V2638" i="34"/>
  <c r="V2642" i="34"/>
  <c r="V2646" i="34"/>
  <c r="V2650" i="34"/>
  <c r="V2654" i="34"/>
  <c r="V2658" i="34"/>
  <c r="V2662" i="34"/>
  <c r="V2666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630" i="34"/>
  <c r="V2633" i="34"/>
  <c r="V2637" i="34"/>
  <c r="V2641" i="34"/>
  <c r="V2645" i="34"/>
  <c r="V2649" i="34"/>
  <c r="V2653" i="34"/>
  <c r="V2657" i="34"/>
  <c r="V2661" i="34"/>
  <c r="V2665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27" i="34"/>
  <c r="V2828" i="34"/>
  <c r="V2829" i="34"/>
  <c r="V2629" i="34"/>
  <c r="V2636" i="34"/>
  <c r="V2640" i="34"/>
  <c r="V2644" i="34"/>
  <c r="V2648" i="34"/>
  <c r="V2652" i="34"/>
  <c r="V2656" i="34"/>
  <c r="V2660" i="34"/>
  <c r="V2664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30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21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56" i="55"/>
  <c r="V10" i="34"/>
  <c r="A30" i="47" s="1"/>
  <c r="K295" i="55"/>
  <c r="K297" i="55"/>
  <c r="K30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07" i="55"/>
  <c r="G356" i="55"/>
  <c r="G16" i="55"/>
  <c r="K12" i="55"/>
  <c r="K18" i="55"/>
  <c r="I13" i="61"/>
  <c r="I14" i="61" s="1"/>
  <c r="C13" i="61"/>
  <c r="C14" i="61" s="1"/>
  <c r="D30" i="47" l="1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21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56" i="55"/>
  <c r="J17" i="57"/>
  <c r="H23" i="57"/>
  <c r="H16" i="57"/>
  <c r="H18" i="57"/>
  <c r="B13" i="61"/>
  <c r="G3" i="47" l="1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55" i="42"/>
  <c r="I56" i="42"/>
  <c r="M357" i="60"/>
  <c r="H27" i="56"/>
  <c r="I16" i="71"/>
  <c r="J16" i="71"/>
  <c r="J16" i="14"/>
  <c r="G46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J26" i="71"/>
  <c r="I16" i="47"/>
  <c r="H16" i="47"/>
  <c r="I26" i="71" l="1"/>
  <c r="J27" i="7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23" i="55" l="1"/>
  <c r="B24" i="55" l="1"/>
  <c r="A23" i="55"/>
  <c r="A24" i="55" l="1"/>
  <c r="B25" i="55"/>
  <c r="B26" i="55" l="1"/>
  <c r="B27" i="55" s="1"/>
  <c r="B28" i="55" s="1"/>
  <c r="A25" i="55"/>
  <c r="A28" i="55" l="1"/>
  <c r="A27" i="55"/>
  <c r="B29" i="55"/>
  <c r="A26" i="55"/>
  <c r="B30" i="55" l="1"/>
  <c r="A29" i="55"/>
  <c r="A30" i="55" l="1"/>
  <c r="B31" i="55"/>
  <c r="B32" i="55" l="1"/>
  <c r="B33" i="55" s="1"/>
  <c r="A33" i="55" s="1"/>
  <c r="A31" i="55"/>
  <c r="A32" i="55" l="1"/>
  <c r="B34" i="55"/>
  <c r="B35" i="55" l="1"/>
  <c r="A34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35" i="55" l="1"/>
  <c r="B36" i="55"/>
  <c r="M196" i="60"/>
  <c r="B37" i="55" l="1"/>
  <c r="A37" i="55" s="1"/>
  <c r="A36" i="55"/>
  <c r="B38" i="55" l="1"/>
  <c r="A38" i="55" l="1"/>
  <c r="B39" i="55"/>
  <c r="A39" i="55" l="1"/>
  <c r="B40" i="55"/>
  <c r="A40" i="55" l="1"/>
  <c r="B41" i="55" l="1"/>
  <c r="B42" i="55" l="1"/>
  <c r="A41" i="55"/>
  <c r="B43" i="55" l="1"/>
  <c r="A43" i="55" s="1"/>
  <c r="A42" i="55"/>
  <c r="B44" i="55" l="1"/>
  <c r="B45" i="55" s="1"/>
  <c r="A45" i="55" l="1"/>
  <c r="B46" i="55"/>
  <c r="A44" i="55"/>
  <c r="B47" i="55" l="1"/>
  <c r="A46" i="55"/>
  <c r="A47" i="55" l="1"/>
  <c r="B48" i="55"/>
  <c r="A48" i="55" l="1"/>
  <c r="B49" i="55"/>
  <c r="B50" i="55" l="1"/>
  <c r="A49" i="55"/>
  <c r="A50" i="55" l="1"/>
  <c r="B51" i="55"/>
  <c r="B52" i="55" l="1"/>
  <c r="A51" i="55"/>
  <c r="B53" i="55" l="1"/>
  <c r="B54" i="55" s="1"/>
  <c r="A52" i="55"/>
  <c r="A54" i="55" l="1"/>
  <c r="B55" i="55"/>
  <c r="A53" i="55"/>
  <c r="A55" i="55" l="1"/>
  <c r="B56" i="55"/>
  <c r="B57" i="55" l="1"/>
  <c r="A56" i="55"/>
  <c r="B58" i="55" l="1"/>
  <c r="A57" i="55"/>
  <c r="B59" i="55" l="1"/>
  <c r="A58" i="55"/>
  <c r="A59" i="55" l="1"/>
  <c r="B60" i="55"/>
  <c r="B61" i="55" l="1"/>
  <c r="A60" i="55"/>
  <c r="B62" i="55" l="1"/>
  <c r="A61" i="55"/>
  <c r="B63" i="55" l="1"/>
  <c r="A62" i="55"/>
  <c r="A63" i="55" l="1"/>
  <c r="B64" i="55"/>
  <c r="B65" i="55" l="1"/>
  <c r="A64" i="55"/>
  <c r="B66" i="55" l="1"/>
  <c r="A65" i="55"/>
  <c r="A66" i="55" l="1"/>
  <c r="B67" i="55"/>
  <c r="A67" i="55" l="1"/>
  <c r="B68" i="55"/>
  <c r="B69" i="55" s="1"/>
  <c r="A69" i="55" l="1"/>
  <c r="B70" i="55"/>
  <c r="A68" i="55"/>
  <c r="A70" i="55" l="1"/>
  <c r="B71" i="55"/>
  <c r="B72" i="55" l="1"/>
  <c r="A71" i="55"/>
  <c r="B73" i="55" l="1"/>
  <c r="B74" i="55" s="1"/>
  <c r="A72" i="55"/>
  <c r="F42" i="57"/>
  <c r="A74" i="55" l="1"/>
  <c r="B75" i="55"/>
  <c r="A73" i="55"/>
  <c r="J42" i="57"/>
  <c r="J74" i="57" s="1"/>
  <c r="H42" i="57"/>
  <c r="I24" i="73" l="1"/>
  <c r="H24" i="73"/>
  <c r="H10" i="73"/>
  <c r="I10" i="73"/>
  <c r="A75" i="55"/>
  <c r="B76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76" i="55"/>
  <c r="B77" i="55"/>
  <c r="B78" i="55" l="1"/>
  <c r="A77" i="55"/>
  <c r="A78" i="55" l="1"/>
  <c r="B79" i="55"/>
  <c r="A79" i="55" l="1"/>
  <c r="B80" i="55"/>
  <c r="A80" i="55" l="1"/>
  <c r="B81" i="55"/>
  <c r="B82" i="55" l="1"/>
  <c r="A81" i="55"/>
  <c r="A82" i="55" l="1"/>
  <c r="B83" i="55"/>
  <c r="B84" i="55" s="1"/>
  <c r="B85" i="55" l="1"/>
  <c r="A84" i="55"/>
  <c r="A83" i="55"/>
  <c r="A85" i="55" l="1"/>
  <c r="B86" i="55"/>
  <c r="A86" i="55" l="1"/>
  <c r="B87" i="55"/>
  <c r="B88" i="55" l="1"/>
  <c r="A87" i="55"/>
  <c r="B89" i="55" l="1"/>
  <c r="A88" i="55"/>
  <c r="A89" i="55" l="1"/>
  <c r="B90" i="55"/>
  <c r="B91" i="55" l="1"/>
  <c r="A90" i="55"/>
  <c r="B92" i="55" l="1"/>
  <c r="A91" i="55"/>
  <c r="A92" i="55" l="1"/>
  <c r="B93" i="55"/>
  <c r="A93" i="55" l="1"/>
  <c r="B94" i="55"/>
  <c r="B95" i="55" l="1"/>
  <c r="A94" i="55"/>
  <c r="B96" i="55" l="1"/>
  <c r="A95" i="55"/>
  <c r="A96" i="55" l="1"/>
  <c r="B97" i="55"/>
  <c r="A97" i="55" l="1"/>
  <c r="B98" i="55"/>
  <c r="B99" i="55" s="1"/>
  <c r="A99" i="55" l="1"/>
  <c r="B100" i="55"/>
  <c r="A98" i="55"/>
  <c r="A100" i="55" l="1"/>
  <c r="B101" i="55"/>
  <c r="B102" i="55" l="1"/>
  <c r="A101" i="55"/>
  <c r="B103" i="55" l="1"/>
  <c r="A102" i="55"/>
  <c r="B104" i="55" l="1"/>
  <c r="A103" i="55"/>
  <c r="A104" i="55" l="1"/>
  <c r="B105" i="55"/>
  <c r="B106" i="55" l="1"/>
  <c r="A105" i="55"/>
  <c r="B107" i="55" l="1"/>
  <c r="A106" i="55"/>
  <c r="A107" i="55" l="1"/>
  <c r="B108" i="55"/>
  <c r="A108" i="55" l="1"/>
  <c r="B109" i="55"/>
  <c r="B110" i="55" l="1"/>
  <c r="A109" i="55"/>
  <c r="A110" i="55" l="1"/>
  <c r="B111" i="55"/>
  <c r="B112" i="55" l="1"/>
  <c r="A111" i="55"/>
  <c r="B113" i="55" l="1"/>
  <c r="A112" i="55"/>
  <c r="B114" i="55" l="1"/>
  <c r="A113" i="55"/>
  <c r="A114" i="55" l="1"/>
  <c r="B115" i="55"/>
  <c r="B116" i="55" l="1"/>
  <c r="A115" i="55"/>
  <c r="A116" i="55" l="1"/>
  <c r="B117" i="55"/>
  <c r="B118" i="55" l="1"/>
  <c r="A117" i="55"/>
  <c r="A118" i="55" l="1"/>
  <c r="B119" i="55"/>
  <c r="A119" i="55" l="1"/>
  <c r="B120" i="55"/>
  <c r="B121" i="55" l="1"/>
  <c r="A120" i="55"/>
  <c r="A121" i="55" l="1"/>
  <c r="B122" i="55"/>
  <c r="A122" i="55" l="1"/>
  <c r="B123" i="55"/>
  <c r="A123" i="55" l="1"/>
  <c r="B124" i="55"/>
  <c r="A124" i="55" l="1"/>
  <c r="B125" i="55"/>
  <c r="A125" i="55" l="1"/>
  <c r="B126" i="55"/>
  <c r="A126" i="55" l="1"/>
  <c r="B127" i="55"/>
  <c r="B128" i="55" s="1"/>
  <c r="A128" i="55" l="1"/>
  <c r="B129" i="55"/>
  <c r="B130" i="55" s="1"/>
  <c r="A127" i="55"/>
  <c r="B131" i="55" l="1"/>
  <c r="A130" i="55"/>
  <c r="A129" i="55"/>
  <c r="A131" i="55" l="1"/>
  <c r="B132" i="55"/>
  <c r="A132" i="55" l="1"/>
  <c r="B133" i="55"/>
  <c r="A133" i="55" l="1"/>
  <c r="B134" i="55"/>
  <c r="A134" i="55" l="1"/>
  <c r="B135" i="55"/>
  <c r="B136" i="55" l="1"/>
  <c r="A135" i="55"/>
  <c r="B137" i="55" l="1"/>
  <c r="A136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A143" i="55" l="1"/>
  <c r="B144" i="55"/>
  <c r="B145" i="55" l="1"/>
  <c r="A144" i="55"/>
  <c r="A145" i="55" l="1"/>
  <c r="B146" i="55"/>
  <c r="A146" i="55" l="1"/>
  <c r="B147" i="55"/>
  <c r="B148" i="55" s="1"/>
  <c r="A148" i="55" l="1"/>
  <c r="B149" i="55"/>
  <c r="A147" i="55"/>
  <c r="A149" i="55" l="1"/>
  <c r="B150" i="55"/>
  <c r="A150" i="55" l="1"/>
  <c r="B151" i="55"/>
  <c r="B152" i="55" l="1"/>
  <c r="A151" i="55"/>
  <c r="A152" i="55" l="1"/>
  <c r="B153" i="55"/>
  <c r="A153" i="55" l="1"/>
  <c r="B154" i="55"/>
  <c r="A154" i="55" l="1"/>
  <c r="B155" i="55"/>
  <c r="A155" i="55" l="1"/>
  <c r="B156" i="55"/>
  <c r="B157" i="55" l="1"/>
  <c r="A156" i="55"/>
  <c r="B158" i="55" l="1"/>
  <c r="A157" i="55"/>
  <c r="B159" i="55" l="1"/>
  <c r="A158" i="55"/>
  <c r="B160" i="55" l="1"/>
  <c r="B161" i="55" s="1"/>
  <c r="A159" i="55"/>
  <c r="A161" i="55" l="1"/>
  <c r="B162" i="55"/>
  <c r="A160" i="55"/>
  <c r="B163" i="55" l="1"/>
  <c r="A162" i="55"/>
  <c r="A163" i="55" l="1"/>
  <c r="B164" i="55"/>
  <c r="A164" i="55" l="1"/>
  <c r="B165" i="55"/>
  <c r="A165" i="55" l="1"/>
  <c r="B166" i="55"/>
  <c r="B167" i="55" l="1"/>
  <c r="A166" i="55"/>
  <c r="A167" i="55" l="1"/>
  <c r="B168" i="55"/>
  <c r="B169" i="55" s="1"/>
  <c r="A169" i="55" l="1"/>
  <c r="B170" i="55"/>
  <c r="A168" i="55"/>
  <c r="A170" i="55" l="1"/>
  <c r="B171" i="55"/>
  <c r="B172" i="55" s="1"/>
  <c r="A172" i="55" l="1"/>
  <c r="B173" i="55"/>
  <c r="A171" i="55"/>
  <c r="A173" i="55" l="1"/>
  <c r="B174" i="55"/>
  <c r="B175" i="55" l="1"/>
  <c r="A174" i="55"/>
  <c r="B176" i="55" l="1"/>
  <c r="A175" i="55"/>
  <c r="B177" i="55" l="1"/>
  <c r="A176" i="55"/>
  <c r="B178" i="55" l="1"/>
  <c r="A177" i="55"/>
  <c r="A178" i="55" l="1"/>
  <c r="B179" i="55"/>
  <c r="A179" i="55" l="1"/>
  <c r="B180" i="55"/>
  <c r="B181" i="55" l="1"/>
  <c r="A180" i="55"/>
  <c r="B182" i="55" l="1"/>
  <c r="A181" i="55"/>
  <c r="B183" i="55" l="1"/>
  <c r="A182" i="55"/>
  <c r="A183" i="55" l="1"/>
  <c r="B184" i="55"/>
  <c r="A184" i="55" l="1"/>
  <c r="B185" i="55"/>
  <c r="B186" i="55" l="1"/>
  <c r="A185" i="55"/>
  <c r="A186" i="55" l="1"/>
  <c r="B187" i="55"/>
  <c r="B188" i="55" s="1"/>
  <c r="A188" i="55" l="1"/>
  <c r="B189" i="55"/>
  <c r="A187" i="55"/>
  <c r="A189" i="55" l="1"/>
  <c r="B190" i="55"/>
  <c r="A190" i="55" l="1"/>
  <c r="B191" i="55"/>
  <c r="A191" i="55" l="1"/>
  <c r="B192" i="55"/>
  <c r="B193" i="55" l="1"/>
  <c r="A192" i="55"/>
  <c r="A193" i="55" l="1"/>
  <c r="B194" i="55"/>
  <c r="A194" i="55" l="1"/>
  <c r="B195" i="55"/>
  <c r="B196" i="55" l="1"/>
  <c r="A195" i="55"/>
  <c r="A196" i="55" l="1"/>
  <c r="B197" i="55"/>
  <c r="B198" i="55" l="1"/>
  <c r="A197" i="55"/>
  <c r="B199" i="55" l="1"/>
  <c r="A198" i="55"/>
  <c r="A199" i="55" l="1"/>
  <c r="B200" i="55"/>
  <c r="A200" i="55" l="1"/>
  <c r="B201" i="55"/>
  <c r="B202" i="55" l="1"/>
  <c r="A201" i="55"/>
  <c r="B203" i="55" l="1"/>
  <c r="A202" i="55"/>
  <c r="B204" i="55" l="1"/>
  <c r="A203" i="55"/>
  <c r="A204" i="55" l="1"/>
  <c r="B205" i="55"/>
  <c r="B206" i="55" l="1"/>
  <c r="A205" i="55"/>
  <c r="A206" i="55" l="1"/>
  <c r="B207" i="55"/>
  <c r="A207" i="55" l="1"/>
  <c r="B208" i="55"/>
  <c r="B209" i="55" l="1"/>
  <c r="A208" i="55"/>
  <c r="B210" i="55" l="1"/>
  <c r="A209" i="55"/>
  <c r="A210" i="55" l="1"/>
  <c r="B211" i="55"/>
  <c r="A211" i="55" l="1"/>
  <c r="B212" i="55"/>
  <c r="A212" i="55" l="1"/>
  <c r="B213" i="55"/>
  <c r="B214" i="55" l="1"/>
  <c r="A213" i="55"/>
  <c r="A214" i="55" l="1"/>
  <c r="B215" i="55"/>
  <c r="A215" i="55" l="1"/>
  <c r="B216" i="55"/>
  <c r="A216" i="55" l="1"/>
  <c r="B217" i="55"/>
  <c r="A217" i="55" l="1"/>
  <c r="B218" i="55"/>
  <c r="B219" i="55" l="1"/>
  <c r="A218" i="55"/>
  <c r="A219" i="55" l="1"/>
  <c r="B220" i="55"/>
  <c r="B221" i="55" l="1"/>
  <c r="A220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A228" i="55" l="1"/>
  <c r="B229" i="55"/>
  <c r="B230" i="55" l="1"/>
  <c r="A229" i="55"/>
  <c r="A230" i="55" l="1"/>
  <c r="B231" i="55"/>
  <c r="B232" i="55" l="1"/>
  <c r="A231" i="55"/>
  <c r="A232" i="55" l="1"/>
  <c r="B233" i="55"/>
  <c r="A233" i="55" l="1"/>
  <c r="B234" i="55"/>
  <c r="B235" i="55" l="1"/>
  <c r="A234" i="55"/>
  <c r="A235" i="55" l="1"/>
  <c r="B236" i="55"/>
  <c r="B237" i="55" l="1"/>
  <c r="A236" i="55"/>
  <c r="A237" i="55" l="1"/>
  <c r="B238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B245" i="55" l="1"/>
  <c r="A244" i="55"/>
  <c r="A245" i="55" l="1"/>
  <c r="B246" i="55"/>
  <c r="A246" i="55" l="1"/>
  <c r="B247" i="55"/>
  <c r="B248" i="55" l="1"/>
  <c r="A247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l="1"/>
  <c r="A256" i="55"/>
  <c r="A257" i="55" l="1"/>
  <c r="B258" i="55"/>
  <c r="A258" i="55" l="1"/>
  <c r="B259" i="55"/>
  <c r="B260" i="55" l="1"/>
  <c r="A259" i="55"/>
  <c r="A260" i="55" l="1"/>
  <c r="B261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A269" i="55" l="1"/>
  <c r="B270" i="55"/>
  <c r="B271" i="55" l="1"/>
  <c r="A270" i="55"/>
  <c r="A271" i="55" l="1"/>
  <c r="B272" i="55"/>
  <c r="A272" i="55" l="1"/>
  <c r="B273" i="55"/>
  <c r="A273" i="55" l="1"/>
  <c r="B274" i="55"/>
  <c r="B275" i="55" l="1"/>
  <c r="A274" i="55"/>
  <c r="A275" i="55" l="1"/>
  <c r="B276" i="55"/>
  <c r="A276" i="55" l="1"/>
  <c r="B277" i="55"/>
  <c r="A277" i="55" l="1"/>
  <c r="B278" i="55"/>
  <c r="A278" i="55" l="1"/>
  <c r="B279" i="55"/>
  <c r="B280" i="55" l="1"/>
  <c r="A279" i="55"/>
  <c r="A280" i="55" l="1"/>
  <c r="B281" i="55"/>
  <c r="A281" i="55" l="1"/>
  <c r="B282" i="55"/>
  <c r="A282" i="55" l="1"/>
  <c r="B283" i="55"/>
  <c r="B284" i="55" l="1"/>
  <c r="A283" i="55"/>
  <c r="A284" i="55" l="1"/>
  <c r="B285" i="55"/>
  <c r="B286" i="55" l="1"/>
  <c r="A285" i="55"/>
  <c r="B287" i="55" l="1"/>
  <c r="A286" i="55"/>
  <c r="B288" i="55" l="1"/>
  <c r="A287" i="55"/>
  <c r="A288" i="55" l="1"/>
  <c r="B289" i="55"/>
  <c r="B290" i="55" l="1"/>
  <c r="A289" i="55"/>
  <c r="B291" i="55" l="1"/>
  <c r="A290" i="55"/>
  <c r="B292" i="55" l="1"/>
  <c r="A291" i="55"/>
  <c r="A292" i="55" l="1"/>
  <c r="B293" i="55"/>
  <c r="A293" i="55" l="1"/>
  <c r="B294" i="55"/>
  <c r="B295" i="55" l="1"/>
  <c r="A294" i="55"/>
  <c r="A295" i="55" l="1"/>
  <c r="B296" i="55"/>
  <c r="B297" i="55" l="1"/>
  <c r="A296" i="55"/>
  <c r="A297" i="55" l="1"/>
  <c r="B298" i="55"/>
  <c r="A298" i="55" l="1"/>
  <c r="B299" i="55"/>
  <c r="A299" i="55" l="1"/>
  <c r="B300" i="55"/>
  <c r="B301" i="55" l="1"/>
  <c r="A300" i="55"/>
  <c r="A301" i="55" l="1"/>
  <c r="B302" i="55"/>
  <c r="A302" i="55" l="1"/>
  <c r="B303" i="55"/>
  <c r="A303" i="55" l="1"/>
  <c r="B304" i="55"/>
  <c r="A304" i="55" l="1"/>
  <c r="B305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A318" i="55" l="1"/>
  <c r="B319" i="55"/>
  <c r="B320" i="55" l="1"/>
  <c r="A319" i="55"/>
  <c r="A320" i="55" l="1"/>
  <c r="B321" i="55"/>
  <c r="A321" i="55" l="1"/>
  <c r="B322" i="55"/>
  <c r="A322" i="55" l="1"/>
  <c r="B323" i="55"/>
  <c r="A323" i="55" l="1"/>
  <c r="B324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A331" i="55" l="1"/>
  <c r="B332" i="55"/>
  <c r="A332" i="55" l="1"/>
  <c r="B333" i="55"/>
  <c r="B334" i="55" l="1"/>
  <c r="A333" i="55"/>
  <c r="B335" i="55" l="1"/>
  <c r="A334" i="55"/>
  <c r="A335" i="55" l="1"/>
  <c r="B336" i="55"/>
  <c r="B337" i="55" l="1"/>
  <c r="A336" i="55"/>
  <c r="A337" i="55" l="1"/>
  <c r="B338" i="55"/>
  <c r="A338" i="55" l="1"/>
  <c r="B339" i="55"/>
  <c r="B340" i="55" s="1"/>
  <c r="A340" i="55" l="1"/>
  <c r="B341" i="55"/>
  <c r="A339" i="55"/>
  <c r="A341" i="55" l="1"/>
  <c r="B342" i="55"/>
  <c r="A342" i="55" l="1"/>
  <c r="B343" i="55"/>
  <c r="B344" i="55" l="1"/>
  <c r="A343" i="55"/>
  <c r="A344" i="55" l="1"/>
  <c r="B345" i="55"/>
  <c r="B346" i="55" l="1"/>
  <c r="A345" i="55"/>
  <c r="B347" i="55" l="1"/>
  <c r="A346" i="55"/>
  <c r="A347" i="55" l="1"/>
  <c r="B348" i="55"/>
  <c r="B349" i="55" s="1"/>
  <c r="B350" i="55" l="1"/>
  <c r="A349" i="55"/>
  <c r="A348" i="55"/>
  <c r="B351" i="55" l="1"/>
  <c r="A350" i="55"/>
  <c r="A351" i="55" l="1"/>
  <c r="B352" i="55"/>
  <c r="B353" i="55" l="1"/>
  <c r="A352" i="55"/>
  <c r="B354" i="55" l="1"/>
  <c r="A354" i="55" s="1"/>
  <c r="A353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840" i="34" l="1"/>
  <c r="J242" i="55" a="1"/>
  <c r="J242" i="55" s="1"/>
  <c r="J47" i="55" a="1"/>
  <c r="J47" i="55" s="1"/>
  <c r="J220" i="55" a="1"/>
  <c r="J220" i="55" s="1"/>
  <c r="J290" i="55" a="1"/>
  <c r="J290" i="55" s="1"/>
  <c r="J182" i="55" a="1"/>
  <c r="J182" i="55" s="1"/>
  <c r="J209" i="55" a="1"/>
  <c r="J209" i="55" s="1"/>
  <c r="J282" i="55" a="1"/>
  <c r="J282" i="55" s="1"/>
  <c r="J176" i="55" a="1"/>
  <c r="J176" i="55" s="1"/>
  <c r="J107" i="55" a="1"/>
  <c r="J107" i="55" s="1"/>
  <c r="J271" i="55" a="1"/>
  <c r="J271" i="55" s="1"/>
  <c r="J249" i="55" a="1"/>
  <c r="J249" i="55" s="1"/>
  <c r="J258" i="55" a="1"/>
  <c r="J258" i="55" s="1"/>
  <c r="J281" i="55" a="1"/>
  <c r="J281" i="55" s="1"/>
  <c r="F58" i="15" a="1"/>
  <c r="F58" i="15" s="1"/>
  <c r="J253" i="55" a="1"/>
  <c r="J253" i="55" s="1"/>
  <c r="J56" i="55" a="1"/>
  <c r="J56" i="55" s="1"/>
  <c r="J34" i="55" a="1"/>
  <c r="J34" i="55" s="1"/>
  <c r="J262" i="55" a="1"/>
  <c r="J262" i="55" s="1"/>
  <c r="J130" i="55" a="1"/>
  <c r="J130" i="55" s="1"/>
  <c r="J164" i="55" a="1"/>
  <c r="J164" i="55" s="1"/>
  <c r="J105" i="55" a="1"/>
  <c r="J105" i="55" s="1"/>
  <c r="J319" i="55" a="1"/>
  <c r="J319" i="55" s="1"/>
  <c r="J50" i="55" a="1"/>
  <c r="J50" i="55" s="1"/>
  <c r="J218" i="55" a="1"/>
  <c r="J218" i="55" s="1"/>
  <c r="J52" i="55" a="1"/>
  <c r="J52" i="55" s="1"/>
  <c r="J324" i="55" a="1"/>
  <c r="J324" i="55" s="1"/>
  <c r="J217" i="55" a="1"/>
  <c r="J217" i="55" s="1"/>
  <c r="J181" i="55" a="1"/>
  <c r="J181" i="55" s="1"/>
  <c r="J296" i="55" a="1"/>
  <c r="J296" i="55" s="1"/>
  <c r="D13" i="39"/>
  <c r="J156" i="55" a="1"/>
  <c r="J156" i="55" s="1"/>
  <c r="J317" i="55" a="1"/>
  <c r="J317" i="55" s="1"/>
  <c r="J288" i="55" a="1"/>
  <c r="J288" i="55" s="1"/>
  <c r="J59" i="55" a="1"/>
  <c r="J59" i="55" s="1"/>
  <c r="J191" i="55" a="1"/>
  <c r="J191" i="55" s="1"/>
  <c r="J35" i="55" a="1"/>
  <c r="J35" i="55" s="1"/>
  <c r="J39" i="55" a="1"/>
  <c r="J39" i="55" s="1"/>
  <c r="J178" i="55" a="1"/>
  <c r="J178" i="55" s="1"/>
  <c r="J315" i="55" a="1"/>
  <c r="J315" i="55" s="1"/>
  <c r="J68" i="55" a="1"/>
  <c r="J68" i="55" s="1"/>
  <c r="J103" i="55" a="1"/>
  <c r="J103" i="55" s="1"/>
  <c r="J153" i="55" a="1"/>
  <c r="J153" i="55" s="1"/>
  <c r="J238" i="55" a="1"/>
  <c r="J238" i="55" s="1"/>
  <c r="J301" i="55" a="1"/>
  <c r="J301" i="55" s="1"/>
  <c r="J214" i="55" a="1"/>
  <c r="J214" i="55" s="1"/>
  <c r="J231" i="55" a="1"/>
  <c r="J231" i="55" s="1"/>
  <c r="F59" i="15" a="1"/>
  <c r="F59" i="15" s="1"/>
  <c r="F61" i="15" a="1"/>
  <c r="F61" i="15" s="1"/>
  <c r="J261" i="55" a="1"/>
  <c r="J261" i="55" s="1"/>
  <c r="J307" i="55" a="1"/>
  <c r="J307" i="55" s="1"/>
  <c r="J139" i="55" a="1"/>
  <c r="J139" i="55" s="1"/>
  <c r="J45" i="55" a="1"/>
  <c r="J45" i="55" s="1"/>
  <c r="J94" i="55" a="1"/>
  <c r="J94" i="55" s="1"/>
  <c r="J133" i="55" a="1"/>
  <c r="J133" i="55" s="1"/>
  <c r="J86" i="55" a="1"/>
  <c r="J86" i="55" s="1"/>
  <c r="J87" i="55" a="1"/>
  <c r="J87" i="55" s="1"/>
  <c r="J326" i="55" a="1"/>
  <c r="J326" i="55" s="1"/>
  <c r="J84" i="55" a="1"/>
  <c r="J84" i="55" s="1"/>
  <c r="J13" i="55" a="1"/>
  <c r="J13" i="55" s="1"/>
  <c r="J291" i="55" a="1"/>
  <c r="J291" i="55" s="1"/>
  <c r="J160" i="55" a="1"/>
  <c r="J160" i="55" s="1"/>
  <c r="J289" i="55" a="1"/>
  <c r="J289" i="55" s="1"/>
  <c r="F56" i="15" a="1"/>
  <c r="F56" i="15" s="1"/>
  <c r="J195" i="55" a="1"/>
  <c r="J195" i="55" s="1"/>
  <c r="J297" i="55" a="1"/>
  <c r="J297" i="55" s="1"/>
  <c r="J287" i="55" a="1"/>
  <c r="J287" i="55" s="1"/>
  <c r="J36" i="55" a="1"/>
  <c r="J36" i="55" s="1"/>
  <c r="J334" i="55" a="1"/>
  <c r="J334" i="55" s="1"/>
  <c r="J99" i="55" a="1"/>
  <c r="J99" i="55" s="1"/>
  <c r="J95" i="55" a="1"/>
  <c r="J95" i="55" s="1"/>
  <c r="J57" i="55" a="1"/>
  <c r="J57" i="55" s="1"/>
  <c r="J147" i="55" a="1"/>
  <c r="J147" i="55" s="1"/>
  <c r="J92" i="55" a="1"/>
  <c r="J92" i="55" s="1"/>
  <c r="J44" i="55" a="1"/>
  <c r="J44" i="55" s="1"/>
  <c r="J341" i="55" a="1"/>
  <c r="J341" i="55" s="1"/>
  <c r="J333" i="55" a="1"/>
  <c r="J333" i="55" s="1"/>
  <c r="J275" i="55" a="1"/>
  <c r="J275" i="55" s="1"/>
  <c r="J146" i="55" a="1"/>
  <c r="J146" i="55" s="1"/>
  <c r="J339" i="55" a="1"/>
  <c r="J339" i="55" s="1"/>
  <c r="J338" i="55" a="1"/>
  <c r="J338" i="55" s="1"/>
  <c r="J75" i="55" a="1"/>
  <c r="J75" i="55" s="1"/>
  <c r="J200" i="55" a="1"/>
  <c r="J200" i="55" s="1"/>
  <c r="J255" i="55" a="1"/>
  <c r="J255" i="55" s="1"/>
  <c r="J48" i="55" a="1"/>
  <c r="J48" i="55" s="1"/>
  <c r="J137" i="55" a="1"/>
  <c r="J137" i="55" s="1"/>
  <c r="J246" i="55" a="1"/>
  <c r="J246" i="55" s="1"/>
  <c r="J299" i="55" a="1"/>
  <c r="J299" i="55" s="1"/>
  <c r="J203" i="55" a="1"/>
  <c r="J203" i="55" s="1"/>
  <c r="J293" i="55" a="1"/>
  <c r="J293" i="55" s="1"/>
  <c r="J224" i="55" a="1"/>
  <c r="J224" i="55" s="1"/>
  <c r="J295" i="55" a="1"/>
  <c r="J295" i="55" s="1"/>
  <c r="J165" i="55" a="1"/>
  <c r="J165" i="55" s="1"/>
  <c r="J243" i="55" a="1"/>
  <c r="J243" i="55" s="1"/>
  <c r="J327" i="55" a="1"/>
  <c r="J327" i="55" s="1"/>
  <c r="J14" i="55" a="1"/>
  <c r="J14" i="55" s="1"/>
  <c r="J321" i="55" a="1"/>
  <c r="J321" i="55" s="1"/>
  <c r="J177" i="55" a="1"/>
  <c r="J177" i="55" s="1"/>
  <c r="J115" i="55" a="1"/>
  <c r="J115" i="55" s="1"/>
  <c r="J342" i="55" a="1"/>
  <c r="J342" i="55" s="1"/>
  <c r="J330" i="55" a="1"/>
  <c r="J330" i="55" s="1"/>
  <c r="J65" i="55" a="1"/>
  <c r="J65" i="55" s="1"/>
  <c r="J142" i="55" a="1"/>
  <c r="J142" i="55" s="1"/>
  <c r="J196" i="55" a="1"/>
  <c r="J196" i="55" s="1"/>
  <c r="J89" i="55" a="1"/>
  <c r="J89" i="55" s="1"/>
  <c r="J58" i="55" a="1"/>
  <c r="J58" i="55" s="1"/>
  <c r="J314" i="55" a="1"/>
  <c r="J314" i="55" s="1"/>
  <c r="J185" i="55" a="1"/>
  <c r="J185" i="55" s="1"/>
  <c r="J313" i="55" a="1"/>
  <c r="J313" i="55" s="1"/>
  <c r="J155" i="55" a="1"/>
  <c r="J155" i="55" s="1"/>
  <c r="J239" i="55" a="1"/>
  <c r="J239" i="55" s="1"/>
  <c r="J285" i="55" a="1"/>
  <c r="J285" i="55" s="1"/>
  <c r="J265" i="55" a="1"/>
  <c r="J265" i="55" s="1"/>
  <c r="J322" i="55" a="1"/>
  <c r="J322" i="55" s="1"/>
  <c r="J241" i="55" a="1"/>
  <c r="J241" i="55" s="1"/>
  <c r="J294" i="55" a="1"/>
  <c r="J294" i="55" s="1"/>
  <c r="J348" i="55" a="1"/>
  <c r="J348" i="55" s="1"/>
  <c r="J126" i="55" a="1"/>
  <c r="J126" i="55" s="1"/>
  <c r="J310" i="55" a="1"/>
  <c r="J310" i="55" s="1"/>
  <c r="J186" i="55" a="1"/>
  <c r="J186" i="55" s="1"/>
  <c r="J120" i="55" a="1"/>
  <c r="J120" i="55" s="1"/>
  <c r="J318" i="55" a="1"/>
  <c r="J318" i="55" s="1"/>
  <c r="J71" i="55" a="1"/>
  <c r="J71" i="55" s="1"/>
  <c r="J344" i="55" a="1"/>
  <c r="J344" i="55" s="1"/>
  <c r="J329" i="55" a="1"/>
  <c r="J329" i="55" s="1"/>
  <c r="J46" i="55" a="1"/>
  <c r="J46" i="55" s="1"/>
  <c r="J41" i="55" a="1"/>
  <c r="J41" i="55" s="1"/>
  <c r="J123" i="55" a="1"/>
  <c r="J123" i="55" s="1"/>
  <c r="J309" i="55" a="1"/>
  <c r="J309" i="55" s="1"/>
  <c r="J230" i="55" a="1"/>
  <c r="J230" i="55" s="1"/>
  <c r="J24" i="55" a="1"/>
  <c r="J24" i="55" s="1"/>
  <c r="J97" i="55" a="1"/>
  <c r="J97" i="55" s="1"/>
  <c r="J269" i="55" a="1"/>
  <c r="J269" i="55" s="1"/>
  <c r="J171" i="55" a="1"/>
  <c r="J171" i="55" s="1"/>
  <c r="J193" i="55" a="1"/>
  <c r="J193" i="55" s="1"/>
  <c r="J250" i="55" a="1"/>
  <c r="J250" i="55" s="1"/>
  <c r="J325" i="55" a="1"/>
  <c r="J325" i="55" s="1"/>
  <c r="J305" i="55" a="1"/>
  <c r="J305" i="55" s="1"/>
  <c r="J140" i="55" a="1"/>
  <c r="J140" i="55" s="1"/>
  <c r="J237" i="55" a="1"/>
  <c r="J237" i="55" s="1"/>
  <c r="J114" i="55" a="1"/>
  <c r="J114" i="55" s="1"/>
  <c r="J207" i="55" a="1"/>
  <c r="J207" i="55" s="1"/>
  <c r="J135" i="55" a="1"/>
  <c r="J135" i="55" s="1"/>
  <c r="J96" i="55" a="1"/>
  <c r="J96" i="55" s="1"/>
  <c r="J206" i="55" a="1"/>
  <c r="J206" i="55" s="1"/>
  <c r="J74" i="55" a="1"/>
  <c r="J74" i="55" s="1"/>
  <c r="J163" i="55" a="1"/>
  <c r="J163" i="55" s="1"/>
  <c r="J110" i="55" a="1"/>
  <c r="J110" i="55" s="1"/>
  <c r="J158" i="55" a="1"/>
  <c r="J158" i="55" s="1"/>
  <c r="J343" i="55" a="1"/>
  <c r="J343" i="55" s="1"/>
  <c r="J100" i="55" a="1"/>
  <c r="J100" i="55" s="1"/>
  <c r="J49" i="55" a="1"/>
  <c r="J49" i="55" s="1"/>
  <c r="J188" i="55" a="1"/>
  <c r="J188" i="55" s="1"/>
  <c r="J187" i="55" a="1"/>
  <c r="J187" i="55" s="1"/>
  <c r="J190" i="55" a="1"/>
  <c r="J190" i="55" s="1"/>
  <c r="J150" i="55" a="1"/>
  <c r="J150" i="55" s="1"/>
  <c r="J276" i="55" a="1"/>
  <c r="J276" i="55" s="1"/>
  <c r="J345" i="55" a="1"/>
  <c r="J345" i="55" s="1"/>
  <c r="J312" i="55" a="1"/>
  <c r="J312" i="55" s="1"/>
  <c r="J277" i="55" a="1"/>
  <c r="J277" i="55" s="1"/>
  <c r="J274" i="55" a="1"/>
  <c r="J274" i="55" s="1"/>
  <c r="J263" i="55" a="1"/>
  <c r="J263" i="55" s="1"/>
  <c r="J90" i="55" a="1"/>
  <c r="J90" i="55" s="1"/>
  <c r="J128" i="55" a="1"/>
  <c r="J128" i="55" s="1"/>
  <c r="J232" i="55" a="1"/>
  <c r="J232" i="55" s="1"/>
  <c r="J131" i="55" a="1"/>
  <c r="J131" i="55" s="1"/>
  <c r="J54" i="55" a="1"/>
  <c r="J54" i="55" s="1"/>
  <c r="J197" i="55" a="1"/>
  <c r="J197" i="55" s="1"/>
  <c r="J199" i="55" a="1"/>
  <c r="J199" i="55" s="1"/>
  <c r="J198" i="55" a="1"/>
  <c r="J198" i="55" s="1"/>
  <c r="J245" i="55" a="1"/>
  <c r="J245" i="55" s="1"/>
  <c r="J229" i="55" a="1"/>
  <c r="J229" i="55" s="1"/>
  <c r="J83" i="55" a="1"/>
  <c r="J83" i="55" s="1"/>
  <c r="J259" i="55" a="1"/>
  <c r="J259" i="55" s="1"/>
  <c r="J30" i="55" a="1"/>
  <c r="J30" i="55" s="1"/>
  <c r="J183" i="55" a="1"/>
  <c r="J183" i="55" s="1"/>
  <c r="J353" i="55" a="1"/>
  <c r="J353" i="55" s="1"/>
  <c r="J236" i="55" a="1"/>
  <c r="J236" i="55" s="1"/>
  <c r="J66" i="55" a="1"/>
  <c r="J66" i="55" s="1"/>
  <c r="J122" i="55" a="1"/>
  <c r="J122" i="55" s="1"/>
  <c r="J273" i="55" a="1"/>
  <c r="J273" i="55" s="1"/>
  <c r="J215" i="55" a="1"/>
  <c r="J215" i="55" s="1"/>
  <c r="J154" i="55" a="1"/>
  <c r="J154" i="55" s="1"/>
  <c r="J118" i="55" a="1"/>
  <c r="J118" i="55" s="1"/>
  <c r="J189" i="55" a="1"/>
  <c r="J189" i="55" s="1"/>
  <c r="J113" i="55" a="1"/>
  <c r="J113" i="55" s="1"/>
  <c r="J78" i="55" a="1"/>
  <c r="J78" i="55" s="1"/>
  <c r="J61" i="55" a="1"/>
  <c r="J61" i="55" s="1"/>
  <c r="J161" i="55" a="1"/>
  <c r="J161" i="55" s="1"/>
  <c r="J81" i="55" a="1"/>
  <c r="J81" i="55" s="1"/>
  <c r="J73" i="55" a="1"/>
  <c r="J73" i="55" s="1"/>
  <c r="J172" i="55" a="1"/>
  <c r="J172" i="55" s="1"/>
  <c r="J336" i="55" a="1"/>
  <c r="J336" i="55" s="1"/>
  <c r="J328" i="55" a="1"/>
  <c r="J328" i="55" s="1"/>
  <c r="J213" i="55" a="1"/>
  <c r="J213" i="55" s="1"/>
  <c r="J98" i="55" a="1"/>
  <c r="J98" i="55" s="1"/>
  <c r="J283" i="55" a="1"/>
  <c r="J283" i="55" s="1"/>
  <c r="J124" i="55" a="1"/>
  <c r="J124" i="55" s="1"/>
  <c r="J117" i="55" a="1"/>
  <c r="J117" i="55" s="1"/>
  <c r="J136" i="55" a="1"/>
  <c r="J136" i="55" s="1"/>
  <c r="J286" i="55" a="1"/>
  <c r="J286" i="55" s="1"/>
  <c r="J268" i="55" a="1"/>
  <c r="J268" i="55" s="1"/>
  <c r="J272" i="55" a="1"/>
  <c r="J272" i="55" s="1"/>
  <c r="J223" i="55" a="1"/>
  <c r="J223" i="55" s="1"/>
  <c r="J280" i="55" a="1"/>
  <c r="J280" i="55" s="1"/>
  <c r="J350" i="55" a="1"/>
  <c r="J350" i="55" s="1"/>
  <c r="J70" i="55" a="1"/>
  <c r="J70" i="55" s="1"/>
  <c r="J247" i="55" a="1"/>
  <c r="J247" i="55" s="1"/>
  <c r="J278" i="55" a="1"/>
  <c r="J278" i="55" s="1"/>
  <c r="J270" i="55" a="1"/>
  <c r="J270" i="55" s="1"/>
  <c r="J152" i="55" a="1"/>
  <c r="J152" i="55" s="1"/>
  <c r="J346" i="55" a="1"/>
  <c r="J346" i="55" s="1"/>
  <c r="J175" i="55" a="1"/>
  <c r="J175" i="55" s="1"/>
  <c r="J335" i="55" a="1"/>
  <c r="J335" i="55" s="1"/>
  <c r="J149" i="55" a="1"/>
  <c r="J149" i="55" s="1"/>
  <c r="J201" i="55" a="1"/>
  <c r="J201" i="55" s="1"/>
  <c r="J169" i="55" a="1"/>
  <c r="J169" i="55" s="1"/>
  <c r="J279" i="55" a="1"/>
  <c r="J279" i="55" s="1"/>
  <c r="J179" i="55" a="1"/>
  <c r="J179" i="55" s="1"/>
  <c r="J111" i="55" a="1"/>
  <c r="J111" i="55" s="1"/>
  <c r="J202" i="55" a="1"/>
  <c r="J202" i="55" s="1"/>
  <c r="J116" i="55" a="1"/>
  <c r="J116" i="55" s="1"/>
  <c r="J173" i="55" a="1"/>
  <c r="J173" i="55" s="1"/>
  <c r="J349" i="55" a="1"/>
  <c r="J349" i="55" s="1"/>
  <c r="J51" i="55" a="1"/>
  <c r="J51" i="55" s="1"/>
  <c r="J347" i="55" a="1"/>
  <c r="J347" i="55" s="1"/>
  <c r="J210" i="55" a="1"/>
  <c r="J210" i="55" s="1"/>
  <c r="J104" i="55" a="1"/>
  <c r="J104" i="55" s="1"/>
  <c r="J62" i="55" a="1"/>
  <c r="J62" i="55" s="1"/>
  <c r="J26" i="55" a="1"/>
  <c r="J26" i="55" s="1"/>
  <c r="J204" i="55" a="1"/>
  <c r="J204" i="55" s="1"/>
  <c r="J167" i="55" a="1"/>
  <c r="J167" i="55" s="1"/>
  <c r="J138" i="55" a="1"/>
  <c r="J138" i="55" s="1"/>
  <c r="J102" i="55" a="1"/>
  <c r="J102" i="55" s="1"/>
  <c r="J157" i="55" a="1"/>
  <c r="J157" i="55" s="1"/>
  <c r="J233" i="55" a="1"/>
  <c r="J233" i="55" s="1"/>
  <c r="J85" i="55" a="1"/>
  <c r="J85" i="55" s="1"/>
  <c r="J162" i="55" a="1"/>
  <c r="J162" i="55" s="1"/>
  <c r="J168" i="55" a="1"/>
  <c r="J168" i="55" s="1"/>
  <c r="J127" i="55" a="1"/>
  <c r="J127" i="55" s="1"/>
  <c r="J331" i="55" a="1"/>
  <c r="J331" i="55" s="1"/>
  <c r="J60" i="55" a="1"/>
  <c r="J60" i="55" s="1"/>
  <c r="J174" i="55" a="1"/>
  <c r="J174" i="55" s="1"/>
  <c r="J256" i="55" a="1"/>
  <c r="J256" i="55" s="1"/>
  <c r="J93" i="55" a="1"/>
  <c r="J93" i="55" s="1"/>
  <c r="J351" i="55" a="1"/>
  <c r="J351" i="55" s="1"/>
  <c r="J298" i="55" a="1"/>
  <c r="J298" i="55" s="1"/>
  <c r="J144" i="55" a="1"/>
  <c r="J144" i="55" s="1"/>
  <c r="J352" i="55" a="1"/>
  <c r="J352" i="55" s="1"/>
  <c r="J76" i="55" a="1"/>
  <c r="J76" i="55" s="1"/>
  <c r="J337" i="55" a="1"/>
  <c r="J337" i="55" s="1"/>
  <c r="J64" i="55" a="1"/>
  <c r="J64" i="55" s="1"/>
  <c r="J38" i="55" a="1"/>
  <c r="J38" i="55" s="1"/>
  <c r="J143" i="55" a="1"/>
  <c r="J143" i="55" s="1"/>
  <c r="J106" i="55" a="1"/>
  <c r="J106" i="55" s="1"/>
  <c r="J180" i="55" a="1"/>
  <c r="J180" i="55" s="1"/>
  <c r="J159" i="55" a="1"/>
  <c r="J159" i="55" s="1"/>
  <c r="J112" i="55" a="1"/>
  <c r="J112" i="55" s="1"/>
  <c r="J311" i="55" a="1"/>
  <c r="J311" i="55" s="1"/>
  <c r="J53" i="55" a="1"/>
  <c r="J53" i="55" s="1"/>
  <c r="J31" i="55" a="1"/>
  <c r="J31" i="55" s="1"/>
  <c r="J72" i="55" a="1"/>
  <c r="J72" i="55" s="1"/>
  <c r="J91" i="55" a="1"/>
  <c r="J91" i="55" s="1"/>
  <c r="F14" i="12" a="1"/>
  <c r="F14" i="12" s="1"/>
  <c r="H296" i="55" a="1"/>
  <c r="H296" i="55" s="1"/>
  <c r="L296" i="55" s="1"/>
  <c r="H37" i="55" a="1"/>
  <c r="H37" i="55" s="1"/>
  <c r="H181" i="55" a="1"/>
  <c r="H181" i="55" s="1"/>
  <c r="L181" i="55" s="1"/>
  <c r="H235" i="55" a="1"/>
  <c r="H235" i="55" s="1"/>
  <c r="E58" i="15" a="1"/>
  <c r="E58" i="15" s="1"/>
  <c r="I58" i="15" s="1"/>
  <c r="H317" i="55" a="1"/>
  <c r="H317" i="55" s="1"/>
  <c r="L317" i="55" s="1"/>
  <c r="F7" i="70" a="1"/>
  <c r="F7" i="70" s="1"/>
  <c r="H42" i="55" a="1"/>
  <c r="H42" i="55" s="1"/>
  <c r="H166" i="55" a="1"/>
  <c r="H166" i="55" s="1"/>
  <c r="J109" i="55" a="1"/>
  <c r="J109" i="55" s="1"/>
  <c r="J320" i="55" a="1"/>
  <c r="J320" i="55" s="1"/>
  <c r="H308" i="55" a="1"/>
  <c r="H308" i="55" s="1"/>
  <c r="E59" i="15" a="1"/>
  <c r="E59" i="15" s="1"/>
  <c r="I59" i="15" s="1"/>
  <c r="H33" i="55" a="1"/>
  <c r="H33" i="55" s="1"/>
  <c r="J251" i="55" a="1"/>
  <c r="J251" i="55" s="1"/>
  <c r="J340" i="55" a="1"/>
  <c r="J340" i="55" s="1"/>
  <c r="H284" i="55" a="1"/>
  <c r="H284" i="55" s="1"/>
  <c r="F51" i="15" a="1"/>
  <c r="F51" i="15" s="1"/>
  <c r="F52" i="15" s="1"/>
  <c r="E55" i="15" a="1"/>
  <c r="E55" i="15" s="1"/>
  <c r="H211" i="55" a="1"/>
  <c r="H211" i="55" s="1"/>
  <c r="H225" i="55" a="1"/>
  <c r="H225" i="55" s="1"/>
  <c r="H79" i="55" a="1"/>
  <c r="H79" i="55" s="1"/>
  <c r="H192" i="55" a="1"/>
  <c r="H192" i="55" s="1"/>
  <c r="H184" i="55" a="1"/>
  <c r="H184" i="55" s="1"/>
  <c r="H134" i="55" a="1"/>
  <c r="H134" i="55" s="1"/>
  <c r="H288" i="55" a="1"/>
  <c r="H288" i="55" s="1"/>
  <c r="L288" i="55" s="1"/>
  <c r="H266" i="55" a="1"/>
  <c r="H266" i="55" s="1"/>
  <c r="H156" i="55" a="1"/>
  <c r="H156" i="55" s="1"/>
  <c r="L156" i="55" s="1"/>
  <c r="H209" i="55" a="1"/>
  <c r="H209" i="55" s="1"/>
  <c r="L209" i="55" s="1"/>
  <c r="H315" i="55" a="1"/>
  <c r="H315" i="55" s="1"/>
  <c r="L315" i="55" s="1"/>
  <c r="E57" i="15" a="1"/>
  <c r="E57" i="15" s="1"/>
  <c r="H267" i="55" a="1"/>
  <c r="H267" i="55" s="1"/>
  <c r="H222" i="55" a="1"/>
  <c r="H222" i="55" s="1"/>
  <c r="H194" i="55" a="1"/>
  <c r="H194" i="55" s="1"/>
  <c r="H141" i="55" a="1"/>
  <c r="H141" i="55" s="1"/>
  <c r="H108" i="55" a="1"/>
  <c r="H108" i="55" s="1"/>
  <c r="H40" i="55" a="1"/>
  <c r="H40" i="55" s="1"/>
  <c r="H148" i="55" a="1"/>
  <c r="H148" i="55" s="1"/>
  <c r="H55" i="55" a="1"/>
  <c r="H55" i="55" s="1"/>
  <c r="H63" i="55" a="1"/>
  <c r="H63" i="55" s="1"/>
  <c r="H151" i="55" a="1"/>
  <c r="H151" i="55" s="1"/>
  <c r="H306" i="55" a="1"/>
  <c r="H306" i="55" s="1"/>
  <c r="H205" i="55" a="1"/>
  <c r="H205" i="55" s="1"/>
  <c r="H332" i="55" a="1"/>
  <c r="H332" i="55" s="1"/>
  <c r="H80" i="55" a="1"/>
  <c r="H80" i="55" s="1"/>
  <c r="H323" i="55" a="1"/>
  <c r="H323" i="55" s="1"/>
  <c r="H171" i="55" a="1"/>
  <c r="H171" i="55" s="1"/>
  <c r="L171" i="55" s="1"/>
  <c r="H193" i="55" a="1"/>
  <c r="H193" i="55" s="1"/>
  <c r="L193" i="55" s="1"/>
  <c r="H203" i="55" a="1"/>
  <c r="H203" i="55" s="1"/>
  <c r="L203" i="55" s="1"/>
  <c r="H250" i="55" a="1"/>
  <c r="H250" i="55" s="1"/>
  <c r="L250" i="55" s="1"/>
  <c r="H293" i="55" a="1"/>
  <c r="H293" i="55" s="1"/>
  <c r="L293" i="55" s="1"/>
  <c r="H325" i="55" a="1"/>
  <c r="H325" i="55" s="1"/>
  <c r="L325" i="55" s="1"/>
  <c r="H219" i="55" a="1"/>
  <c r="H219" i="55" s="1"/>
  <c r="H354" i="55" a="1"/>
  <c r="H354" i="55" s="1"/>
  <c r="H242" i="55" a="1"/>
  <c r="H242" i="55" s="1"/>
  <c r="L242" i="55" s="1"/>
  <c r="H47" i="55" a="1"/>
  <c r="H47" i="55" s="1"/>
  <c r="L47" i="55" s="1"/>
  <c r="H220" i="55" a="1"/>
  <c r="H220" i="55" s="1"/>
  <c r="L220" i="55" s="1"/>
  <c r="H290" i="55" a="1"/>
  <c r="H290" i="55" s="1"/>
  <c r="L290" i="55" s="1"/>
  <c r="H182" i="55" a="1"/>
  <c r="H182" i="55" s="1"/>
  <c r="L182" i="55" s="1"/>
  <c r="H24" i="55" a="1"/>
  <c r="H24" i="55" s="1"/>
  <c r="L24" i="55" s="1"/>
  <c r="H155" i="55" a="1"/>
  <c r="H155" i="55" s="1"/>
  <c r="L155" i="55" s="1"/>
  <c r="H84" i="55" a="1"/>
  <c r="H84" i="55" s="1"/>
  <c r="L84" i="55" s="1"/>
  <c r="H298" i="55" a="1"/>
  <c r="H298" i="55" s="1"/>
  <c r="H213" i="55" a="1"/>
  <c r="H213" i="55" s="1"/>
  <c r="L213" i="55" s="1"/>
  <c r="H138" i="55" a="1"/>
  <c r="H138" i="55" s="1"/>
  <c r="L138" i="55" s="1"/>
  <c r="H260" i="55" a="1"/>
  <c r="H260" i="55" s="1"/>
  <c r="H59" i="55" a="1"/>
  <c r="H59" i="55" s="1"/>
  <c r="L59" i="55" s="1"/>
  <c r="H35" i="55" a="1"/>
  <c r="H35" i="55" s="1"/>
  <c r="L35" i="55" s="1"/>
  <c r="H121" i="55" a="1"/>
  <c r="H121" i="55" s="1"/>
  <c r="H170" i="55" a="1"/>
  <c r="H170" i="55" s="1"/>
  <c r="H214" i="55" a="1"/>
  <c r="H214" i="55" s="1"/>
  <c r="L214" i="55" s="1"/>
  <c r="H258" i="55" a="1"/>
  <c r="H258" i="55" s="1"/>
  <c r="L258" i="55" s="1"/>
  <c r="H301" i="55" a="1"/>
  <c r="H301" i="55" s="1"/>
  <c r="L301" i="55" s="1"/>
  <c r="H324" i="55" a="1"/>
  <c r="H324" i="55" s="1"/>
  <c r="L324" i="55" s="1"/>
  <c r="H254" i="55" a="1"/>
  <c r="H254" i="55" s="1"/>
  <c r="H69" i="55" a="1"/>
  <c r="H69" i="55" s="1"/>
  <c r="H52" i="55" a="1"/>
  <c r="H52" i="55" s="1"/>
  <c r="L52" i="55" s="1"/>
  <c r="H218" i="55" a="1"/>
  <c r="H218" i="55" s="1"/>
  <c r="L218" i="55" s="1"/>
  <c r="H253" i="55" a="1"/>
  <c r="H253" i="55" s="1"/>
  <c r="L253" i="55" s="1"/>
  <c r="H56" i="55" a="1"/>
  <c r="H56" i="55" s="1"/>
  <c r="L56" i="55" s="1"/>
  <c r="H34" i="55" a="1"/>
  <c r="H34" i="55" s="1"/>
  <c r="L34" i="55" s="1"/>
  <c r="H139" i="55" a="1"/>
  <c r="H139" i="55" s="1"/>
  <c r="L139" i="55" s="1"/>
  <c r="H195" i="55" a="1"/>
  <c r="H195" i="55" s="1"/>
  <c r="L195" i="55" s="1"/>
  <c r="H287" i="55" a="1"/>
  <c r="H287" i="55" s="1"/>
  <c r="L287" i="55" s="1"/>
  <c r="H244" i="55" a="1"/>
  <c r="H244" i="55" s="1"/>
  <c r="H82" i="55" a="1"/>
  <c r="H82" i="55" s="1"/>
  <c r="H292" i="55" a="1"/>
  <c r="H292" i="55" s="1"/>
  <c r="H88" i="55" a="1"/>
  <c r="H88" i="55" s="1"/>
  <c r="H304" i="55" a="1"/>
  <c r="H304" i="55" s="1"/>
  <c r="H334" i="55" a="1"/>
  <c r="H334" i="55" s="1"/>
  <c r="L334" i="55" s="1"/>
  <c r="H96" i="55" a="1"/>
  <c r="H96" i="55" s="1"/>
  <c r="L96" i="55" s="1"/>
  <c r="H206" i="55" a="1"/>
  <c r="H206" i="55" s="1"/>
  <c r="L206" i="55" s="1"/>
  <c r="H255" i="55" a="1"/>
  <c r="H255" i="55" s="1"/>
  <c r="L255" i="55" s="1"/>
  <c r="H48" i="55" a="1"/>
  <c r="H48" i="55" s="1"/>
  <c r="L48" i="55" s="1"/>
  <c r="H256" i="55" a="1"/>
  <c r="H256" i="55" s="1"/>
  <c r="H172" i="55" a="1"/>
  <c r="H172" i="55" s="1"/>
  <c r="L172" i="55" s="1"/>
  <c r="H62" i="55" a="1"/>
  <c r="H62" i="55" s="1"/>
  <c r="L62" i="55" s="1"/>
  <c r="H83" i="55" a="1"/>
  <c r="H83" i="55" s="1"/>
  <c r="L83" i="55" s="1"/>
  <c r="H259" i="55" a="1"/>
  <c r="H259" i="55" s="1"/>
  <c r="L259" i="55" s="1"/>
  <c r="H26" i="55" a="1"/>
  <c r="H26" i="55" s="1"/>
  <c r="L26" i="55" s="1"/>
  <c r="H30" i="55" a="1"/>
  <c r="H30" i="55" s="1"/>
  <c r="L30" i="55" s="1"/>
  <c r="H204" i="55" a="1"/>
  <c r="H204" i="55" s="1"/>
  <c r="L204" i="55" s="1"/>
  <c r="H236" i="55" a="1"/>
  <c r="H236" i="55" s="1"/>
  <c r="L236" i="55" s="1"/>
  <c r="H102" i="55" a="1"/>
  <c r="H102" i="55" s="1"/>
  <c r="L102" i="55" s="1"/>
  <c r="H251" i="55" a="1"/>
  <c r="H251" i="55" s="1"/>
  <c r="H31" i="55" a="1"/>
  <c r="H31" i="55" s="1"/>
  <c r="L31" i="55" s="1"/>
  <c r="H191" i="55" a="1"/>
  <c r="H191" i="55" s="1"/>
  <c r="L191" i="55" s="1"/>
  <c r="F17" i="70" a="1"/>
  <c r="F17" i="70" s="1"/>
  <c r="H281" i="55" a="1"/>
  <c r="H281" i="55" s="1"/>
  <c r="L281" i="55" s="1"/>
  <c r="H50" i="55" a="1"/>
  <c r="H50" i="55" s="1"/>
  <c r="L50" i="55" s="1"/>
  <c r="H228" i="55" a="1"/>
  <c r="H228" i="55" s="1"/>
  <c r="H221" i="55" a="1"/>
  <c r="H221" i="55" s="1"/>
  <c r="H208" i="55" a="1"/>
  <c r="H208" i="55" s="1"/>
  <c r="H252" i="55" a="1"/>
  <c r="H252" i="55" s="1"/>
  <c r="H234" i="55" a="1"/>
  <c r="H234" i="55" s="1"/>
  <c r="H316" i="55" a="1"/>
  <c r="H316" i="55" s="1"/>
  <c r="H25" i="55" a="1"/>
  <c r="H25" i="55" s="1"/>
  <c r="H248" i="55" a="1"/>
  <c r="H248" i="55" s="1"/>
  <c r="H302" i="55" a="1"/>
  <c r="H302" i="55" s="1"/>
  <c r="H227" i="55" a="1"/>
  <c r="H227" i="55" s="1"/>
  <c r="H125" i="55" a="1"/>
  <c r="H125" i="55" s="1"/>
  <c r="H132" i="55" a="1"/>
  <c r="H132" i="55" s="1"/>
  <c r="H32" i="55" a="1"/>
  <c r="H32" i="55" s="1"/>
  <c r="H27" i="55" a="1"/>
  <c r="H27" i="55" s="1"/>
  <c r="H239" i="55" a="1"/>
  <c r="H239" i="55" s="1"/>
  <c r="L239" i="55" s="1"/>
  <c r="H291" i="55" a="1"/>
  <c r="H291" i="55" s="1"/>
  <c r="L291" i="55" s="1"/>
  <c r="H285" i="55" a="1"/>
  <c r="H285" i="55" s="1"/>
  <c r="L285" i="55" s="1"/>
  <c r="H160" i="55" a="1"/>
  <c r="H160" i="55" s="1"/>
  <c r="L160" i="55" s="1"/>
  <c r="H265" i="55" a="1"/>
  <c r="H265" i="55" s="1"/>
  <c r="L265" i="55" s="1"/>
  <c r="H289" i="55" a="1"/>
  <c r="H289" i="55" s="1"/>
  <c r="L289" i="55" s="1"/>
  <c r="H322" i="55" a="1"/>
  <c r="H322" i="55" s="1"/>
  <c r="L322" i="55" s="1"/>
  <c r="E56" i="15" a="1"/>
  <c r="E56" i="15" s="1"/>
  <c r="I56" i="15" s="1"/>
  <c r="H295" i="55" a="1"/>
  <c r="H295" i="55" s="1"/>
  <c r="L295" i="55" s="1"/>
  <c r="H264" i="55" a="1"/>
  <c r="H264" i="55" s="1"/>
  <c r="H39" i="55" a="1"/>
  <c r="H39" i="55" s="1"/>
  <c r="L39" i="55" s="1"/>
  <c r="H178" i="55" a="1"/>
  <c r="H178" i="55" s="1"/>
  <c r="L178" i="55" s="1"/>
  <c r="H216" i="55" a="1"/>
  <c r="H216" i="55" s="1"/>
  <c r="H43" i="55" a="1"/>
  <c r="H43" i="55" s="1"/>
  <c r="H77" i="55" a="1"/>
  <c r="H77" i="55" s="1"/>
  <c r="H212" i="55" a="1"/>
  <c r="H212" i="55" s="1"/>
  <c r="H217" i="55" a="1"/>
  <c r="H217" i="55" s="1"/>
  <c r="L217" i="55" s="1"/>
  <c r="H29" i="55" a="1"/>
  <c r="H29" i="55" s="1"/>
  <c r="H249" i="55" a="1"/>
  <c r="H249" i="55" s="1"/>
  <c r="L249" i="55" s="1"/>
  <c r="H271" i="55" a="1"/>
  <c r="H271" i="55" s="1"/>
  <c r="L271" i="55" s="1"/>
  <c r="H153" i="55" a="1"/>
  <c r="H153" i="55" s="1"/>
  <c r="L153" i="55" s="1"/>
  <c r="H107" i="55" a="1"/>
  <c r="H107" i="55" s="1"/>
  <c r="L107" i="55" s="1"/>
  <c r="H103" i="55" a="1"/>
  <c r="H103" i="55" s="1"/>
  <c r="L103" i="55" s="1"/>
  <c r="H240" i="55" a="1"/>
  <c r="H240" i="55" s="1"/>
  <c r="H261" i="55" a="1"/>
  <c r="H261" i="55" s="1"/>
  <c r="L261" i="55" s="1"/>
  <c r="H307" i="55" a="1"/>
  <c r="H307" i="55" s="1"/>
  <c r="L307" i="55" s="1"/>
  <c r="H262" i="55" a="1"/>
  <c r="H262" i="55" s="1"/>
  <c r="L262" i="55" s="1"/>
  <c r="H224" i="55" a="1"/>
  <c r="H224" i="55" s="1"/>
  <c r="L224" i="55" s="1"/>
  <c r="H146" i="55" a="1"/>
  <c r="H146" i="55" s="1"/>
  <c r="L146" i="55" s="1"/>
  <c r="H38" i="55" a="1"/>
  <c r="H38" i="55" s="1"/>
  <c r="L38" i="55" s="1"/>
  <c r="H145" i="55" a="1"/>
  <c r="H145" i="55" s="1"/>
  <c r="H119" i="55" a="1"/>
  <c r="H119" i="55" s="1"/>
  <c r="H101" i="55" a="1"/>
  <c r="H101" i="55" s="1"/>
  <c r="H129" i="55" a="1"/>
  <c r="H129" i="55" s="1"/>
  <c r="H94" i="55" a="1"/>
  <c r="H94" i="55" s="1"/>
  <c r="L94" i="55" s="1"/>
  <c r="H269" i="55" a="1"/>
  <c r="H269" i="55" s="1"/>
  <c r="L269" i="55" s="1"/>
  <c r="H321" i="55" a="1"/>
  <c r="H321" i="55" s="1"/>
  <c r="L321" i="55" s="1"/>
  <c r="H177" i="55" a="1"/>
  <c r="H177" i="55" s="1"/>
  <c r="L177" i="55" s="1"/>
  <c r="H230" i="55" a="1"/>
  <c r="H230" i="55" s="1"/>
  <c r="L230" i="55" s="1"/>
  <c r="H233" i="55" a="1"/>
  <c r="H233" i="55" s="1"/>
  <c r="L233" i="55" s="1"/>
  <c r="H263" i="55" a="1"/>
  <c r="H263" i="55" s="1"/>
  <c r="L263" i="55" s="1"/>
  <c r="H179" i="55" a="1"/>
  <c r="H179" i="55" s="1"/>
  <c r="L179" i="55" s="1"/>
  <c r="H199" i="55" a="1"/>
  <c r="H199" i="55" s="1"/>
  <c r="L199" i="55" s="1"/>
  <c r="H272" i="55" a="1"/>
  <c r="H272" i="55" s="1"/>
  <c r="L272" i="55" s="1"/>
  <c r="H143" i="55" a="1"/>
  <c r="H143" i="55" s="1"/>
  <c r="L143" i="55" s="1"/>
  <c r="H106" i="55" a="1"/>
  <c r="H106" i="55" s="1"/>
  <c r="L106" i="55" s="1"/>
  <c r="H223" i="55" a="1"/>
  <c r="H223" i="55" s="1"/>
  <c r="L223" i="55" s="1"/>
  <c r="H180" i="55" a="1"/>
  <c r="H180" i="55" s="1"/>
  <c r="L180" i="55" s="1"/>
  <c r="H280" i="55" a="1"/>
  <c r="H280" i="55" s="1"/>
  <c r="L280" i="55" s="1"/>
  <c r="H159" i="55" a="1"/>
  <c r="H159" i="55" s="1"/>
  <c r="L159" i="55" s="1"/>
  <c r="H72" i="55" a="1"/>
  <c r="H72" i="55" s="1"/>
  <c r="L72" i="55" s="1"/>
  <c r="H66" i="55" a="1"/>
  <c r="H66" i="55" s="1"/>
  <c r="L66" i="55" s="1"/>
  <c r="H247" i="55" a="1"/>
  <c r="H247" i="55" s="1"/>
  <c r="L247" i="55" s="1"/>
  <c r="H299" i="55" a="1"/>
  <c r="H299" i="55" s="1"/>
  <c r="L299" i="55" s="1"/>
  <c r="H320" i="55" a="1"/>
  <c r="H320" i="55" s="1"/>
  <c r="L320" i="55" s="1"/>
  <c r="H157" i="55" a="1"/>
  <c r="H157" i="55" s="1"/>
  <c r="L157" i="55" s="1"/>
  <c r="H294" i="55" a="1"/>
  <c r="H294" i="55" s="1"/>
  <c r="L294" i="55" s="1"/>
  <c r="H243" i="55" a="1"/>
  <c r="H243" i="55" s="1"/>
  <c r="L243" i="55" s="1"/>
  <c r="H89" i="55" a="1"/>
  <c r="H89" i="55" s="1"/>
  <c r="L89" i="55" s="1"/>
  <c r="E39" i="15" a="1"/>
  <c r="E39" i="15" s="1"/>
  <c r="E11" i="12" a="1"/>
  <c r="E11" i="12" s="1"/>
  <c r="E7" i="12" a="1"/>
  <c r="E7" i="12" s="1"/>
  <c r="E35" i="15" a="1"/>
  <c r="E35" i="15" s="1"/>
  <c r="E17" i="12" s="1"/>
  <c r="F10" i="12" a="1"/>
  <c r="F10" i="12" s="1"/>
  <c r="E53" i="15" a="1"/>
  <c r="E53" i="15" s="1"/>
  <c r="H305" i="55" a="1"/>
  <c r="H305" i="55" s="1"/>
  <c r="L305" i="55" s="1"/>
  <c r="E19" i="15" a="1"/>
  <c r="E19" i="15" s="1"/>
  <c r="F8" i="12" a="1"/>
  <c r="F8" i="12" s="1"/>
  <c r="F24" i="15" a="1"/>
  <c r="F24" i="15" s="1"/>
  <c r="E38" i="15" a="1"/>
  <c r="E38" i="15" s="1"/>
  <c r="H343" i="55" a="1"/>
  <c r="H343" i="55" s="1"/>
  <c r="L343" i="55" s="1"/>
  <c r="H93" i="55" a="1"/>
  <c r="H93" i="55" s="1"/>
  <c r="L93" i="55" s="1"/>
  <c r="H329" i="55" a="1"/>
  <c r="H329" i="55" s="1"/>
  <c r="L329" i="55" s="1"/>
  <c r="H346" i="55" a="1"/>
  <c r="H346" i="55" s="1"/>
  <c r="L346" i="55" s="1"/>
  <c r="H116" i="55" a="1"/>
  <c r="H116" i="55" s="1"/>
  <c r="L116" i="55" s="1"/>
  <c r="H150" i="55" a="1"/>
  <c r="H150" i="55" s="1"/>
  <c r="L150" i="55" s="1"/>
  <c r="H313" i="55" a="1"/>
  <c r="H313" i="55" s="1"/>
  <c r="L313" i="55" s="1"/>
  <c r="H117" i="55" a="1"/>
  <c r="H117" i="55" s="1"/>
  <c r="L117" i="55" s="1"/>
  <c r="H112" i="55" a="1"/>
  <c r="H112" i="55" s="1"/>
  <c r="L112" i="55" s="1"/>
  <c r="H44" i="55" a="1"/>
  <c r="H44" i="55" s="1"/>
  <c r="L44" i="55" s="1"/>
  <c r="H274" i="55" a="1"/>
  <c r="H274" i="55" s="1"/>
  <c r="L274" i="55" s="1"/>
  <c r="H113" i="55" a="1"/>
  <c r="H113" i="55" s="1"/>
  <c r="L113" i="55" s="1"/>
  <c r="H327" i="55" a="1"/>
  <c r="H327" i="55" s="1"/>
  <c r="L327" i="55" s="1"/>
  <c r="H126" i="55" a="1"/>
  <c r="H126" i="55" s="1"/>
  <c r="L126" i="55" s="1"/>
  <c r="F44" i="15" a="1"/>
  <c r="F44" i="15" s="1"/>
  <c r="E9" i="12" a="1"/>
  <c r="E9" i="12" s="1"/>
  <c r="F28" i="15" a="1"/>
  <c r="F28" i="15" s="1"/>
  <c r="H310" i="55" a="1"/>
  <c r="H310" i="55" s="1"/>
  <c r="L310" i="55" s="1"/>
  <c r="H92" i="55" a="1"/>
  <c r="H92" i="55" s="1"/>
  <c r="L92" i="55" s="1"/>
  <c r="H312" i="55" a="1"/>
  <c r="H312" i="55" s="1"/>
  <c r="L312" i="55" s="1"/>
  <c r="H71" i="55" a="1"/>
  <c r="H71" i="55" s="1"/>
  <c r="L71" i="55" s="1"/>
  <c r="H339" i="55" a="1"/>
  <c r="H339" i="55" s="1"/>
  <c r="L339" i="55" s="1"/>
  <c r="H353" i="55" a="1"/>
  <c r="H353" i="55" s="1"/>
  <c r="L353" i="55" s="1"/>
  <c r="H173" i="55" a="1"/>
  <c r="H173" i="55" s="1"/>
  <c r="L173" i="55" s="1"/>
  <c r="H124" i="55" a="1"/>
  <c r="H124" i="55" s="1"/>
  <c r="L124" i="55" s="1"/>
  <c r="H111" i="55" a="1"/>
  <c r="H111" i="55" s="1"/>
  <c r="L111" i="55" s="1"/>
  <c r="E16" i="70" a="1"/>
  <c r="E16" i="70" s="1"/>
  <c r="E14" i="70" a="1"/>
  <c r="E14" i="70" s="1"/>
  <c r="H278" i="55" a="1"/>
  <c r="H278" i="55" s="1"/>
  <c r="L278" i="55" s="1"/>
  <c r="H152" i="55" a="1"/>
  <c r="H152" i="55" s="1"/>
  <c r="L152" i="55" s="1"/>
  <c r="H231" i="55" a="1"/>
  <c r="H231" i="55" s="1"/>
  <c r="L231" i="55" s="1"/>
  <c r="H286" i="55" a="1"/>
  <c r="H286" i="55" s="1"/>
  <c r="L286" i="55" s="1"/>
  <c r="H196" i="55" a="1"/>
  <c r="H196" i="55" s="1"/>
  <c r="L196" i="55" s="1"/>
  <c r="H13" i="55" a="1"/>
  <c r="H13" i="55" s="1"/>
  <c r="L13" i="55" s="1"/>
  <c r="H14" i="55" a="1"/>
  <c r="H14" i="55" s="1"/>
  <c r="L14" i="55" s="1"/>
  <c r="H95" i="55" a="1"/>
  <c r="H95" i="55" s="1"/>
  <c r="L95" i="55" s="1"/>
  <c r="E54" i="15" a="1"/>
  <c r="E54" i="15" s="1"/>
  <c r="E60" i="15" a="1"/>
  <c r="E60" i="15" s="1"/>
  <c r="H68" i="55" a="1"/>
  <c r="H68" i="55" s="1"/>
  <c r="L68" i="55" s="1"/>
  <c r="H135" i="55" a="1"/>
  <c r="H135" i="55" s="1"/>
  <c r="L135" i="55" s="1"/>
  <c r="H45" i="55" a="1"/>
  <c r="H45" i="55" s="1"/>
  <c r="L45" i="55" s="1"/>
  <c r="F35" i="15" a="1"/>
  <c r="F35" i="15" s="1"/>
  <c r="F17" i="12" s="1"/>
  <c r="E10" i="12" a="1"/>
  <c r="E10" i="12" s="1"/>
  <c r="F11" i="12" a="1"/>
  <c r="F11" i="12" s="1"/>
  <c r="H11" i="12" s="1"/>
  <c r="H140" i="55" a="1"/>
  <c r="H140" i="55" s="1"/>
  <c r="L140" i="55" s="1"/>
  <c r="E24" i="15" a="1"/>
  <c r="E24" i="15" s="1"/>
  <c r="F12" i="70" a="1"/>
  <c r="F12" i="70" s="1"/>
  <c r="H238" i="55" a="1"/>
  <c r="H238" i="55" s="1"/>
  <c r="L238" i="55" s="1"/>
  <c r="H161" i="55" a="1"/>
  <c r="H161" i="55" s="1"/>
  <c r="L161" i="55" s="1"/>
  <c r="H183" i="55" a="1"/>
  <c r="H183" i="55" s="1"/>
  <c r="L183" i="55" s="1"/>
  <c r="H318" i="55" a="1"/>
  <c r="H318" i="55" s="1"/>
  <c r="L318" i="55" s="1"/>
  <c r="H147" i="55" a="1"/>
  <c r="H147" i="55" s="1"/>
  <c r="L147" i="55" s="1"/>
  <c r="H279" i="55" a="1"/>
  <c r="H279" i="55" s="1"/>
  <c r="L279" i="55" s="1"/>
  <c r="H133" i="55" a="1"/>
  <c r="H133" i="55" s="1"/>
  <c r="L133" i="55" s="1"/>
  <c r="H338" i="55" a="1"/>
  <c r="H338" i="55" s="1"/>
  <c r="L338" i="55" s="1"/>
  <c r="F20" i="15" a="1"/>
  <c r="F20" i="15" s="1"/>
  <c r="H275" i="55" a="1"/>
  <c r="H275" i="55" s="1"/>
  <c r="L275" i="55" s="1"/>
  <c r="H185" i="55" a="1"/>
  <c r="H185" i="55" s="1"/>
  <c r="L185" i="55" s="1"/>
  <c r="H81" i="55" a="1"/>
  <c r="H81" i="55" s="1"/>
  <c r="L81" i="55" s="1"/>
  <c r="H49" i="55" a="1"/>
  <c r="H49" i="55" s="1"/>
  <c r="L49" i="55" s="1"/>
  <c r="H200" i="55" a="1"/>
  <c r="H200" i="55" s="1"/>
  <c r="L200" i="55" s="1"/>
  <c r="H328" i="55" a="1"/>
  <c r="H328" i="55" s="1"/>
  <c r="L328" i="55" s="1"/>
  <c r="H331" i="55" a="1"/>
  <c r="H331" i="55" s="1"/>
  <c r="L331" i="55" s="1"/>
  <c r="H169" i="55" a="1"/>
  <c r="H169" i="55" s="1"/>
  <c r="L169" i="55" s="1"/>
  <c r="H190" i="55" a="1"/>
  <c r="H190" i="55" s="1"/>
  <c r="L190" i="55" s="1"/>
  <c r="H98" i="55" a="1"/>
  <c r="H98" i="55" s="1"/>
  <c r="L98" i="55" s="1"/>
  <c r="H175" i="55" a="1"/>
  <c r="H175" i="55" s="1"/>
  <c r="L175" i="55" s="1"/>
  <c r="H65" i="55" a="1"/>
  <c r="H65" i="55" s="1"/>
  <c r="L65" i="55" s="1"/>
  <c r="H162" i="55" a="1"/>
  <c r="H162" i="55" s="1"/>
  <c r="L162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246" i="55" a="1"/>
  <c r="H246" i="55" s="1"/>
  <c r="L246" i="55" s="1"/>
  <c r="H245" i="55" a="1"/>
  <c r="H245" i="55" s="1"/>
  <c r="L245" i="55" s="1"/>
  <c r="H232" i="55" a="1"/>
  <c r="H232" i="55" s="1"/>
  <c r="L232" i="55" s="1"/>
  <c r="H215" i="55" a="1"/>
  <c r="H215" i="55" s="1"/>
  <c r="L215" i="55" s="1"/>
  <c r="H300" i="55" a="1"/>
  <c r="H300" i="55" s="1"/>
  <c r="H297" i="55" a="1"/>
  <c r="H297" i="55" s="1"/>
  <c r="L297" i="55" s="1"/>
  <c r="H229" i="55" a="1"/>
  <c r="H229" i="55" s="1"/>
  <c r="L229" i="55" s="1"/>
  <c r="H142" i="55" a="1"/>
  <c r="H142" i="55" s="1"/>
  <c r="L142" i="55" s="1"/>
  <c r="H165" i="55" a="1"/>
  <c r="H165" i="55" s="1"/>
  <c r="L165" i="55" s="1"/>
  <c r="H36" i="55" a="1"/>
  <c r="H36" i="55" s="1"/>
  <c r="L36" i="55" s="1"/>
  <c r="H237" i="55" a="1"/>
  <c r="H237" i="55" s="1"/>
  <c r="L237" i="55" s="1"/>
  <c r="H270" i="55" a="1"/>
  <c r="H270" i="55" s="1"/>
  <c r="L270" i="55" s="1"/>
  <c r="E14" i="12" a="1"/>
  <c r="E14" i="12" s="1"/>
  <c r="E12" i="15" a="1"/>
  <c r="E12" i="15" s="1"/>
  <c r="F14" i="15" a="1"/>
  <c r="F14" i="15" s="1"/>
  <c r="F45" i="70" s="1"/>
  <c r="E8" i="70" a="1"/>
  <c r="E8" i="70" s="1"/>
  <c r="E9" i="70" a="1"/>
  <c r="E9" i="70" s="1"/>
  <c r="F36" i="15" a="1"/>
  <c r="F36" i="15" s="1"/>
  <c r="F10" i="70" a="1"/>
  <c r="F10" i="70" s="1"/>
  <c r="H67" i="55" a="1"/>
  <c r="H67" i="55" s="1"/>
  <c r="F12" i="12" a="1"/>
  <c r="F12" i="12" s="1"/>
  <c r="H97" i="55" a="1"/>
  <c r="H97" i="55" s="1"/>
  <c r="L97" i="55" s="1"/>
  <c r="F33" i="15" a="1"/>
  <c r="F33" i="15" s="1"/>
  <c r="E21" i="15" a="1"/>
  <c r="E21" i="15" s="1"/>
  <c r="H115" i="55" a="1"/>
  <c r="H115" i="55" s="1"/>
  <c r="L115" i="55" s="1"/>
  <c r="F15" i="70" a="1"/>
  <c r="F15" i="70" s="1"/>
  <c r="H61" i="55" a="1"/>
  <c r="H61" i="55" s="1"/>
  <c r="L61" i="55" s="1"/>
  <c r="H283" i="55" a="1"/>
  <c r="H283" i="55" s="1"/>
  <c r="L283" i="55" s="1"/>
  <c r="H186" i="55" a="1"/>
  <c r="H186" i="55" s="1"/>
  <c r="L186" i="55" s="1"/>
  <c r="H189" i="55" a="1"/>
  <c r="H189" i="55" s="1"/>
  <c r="L189" i="55" s="1"/>
  <c r="H341" i="55" a="1"/>
  <c r="H341" i="55" s="1"/>
  <c r="L341" i="55" s="1"/>
  <c r="H163" i="55" a="1"/>
  <c r="H163" i="55" s="1"/>
  <c r="L163" i="55" s="1"/>
  <c r="E32" i="15" a="1"/>
  <c r="E32" i="15" s="1"/>
  <c r="J18" i="55" a="1"/>
  <c r="J18" i="55" s="1"/>
  <c r="H198" i="55" a="1"/>
  <c r="H198" i="55" s="1"/>
  <c r="L198" i="55" s="1"/>
  <c r="H311" i="55" a="1"/>
  <c r="H311" i="55" s="1"/>
  <c r="L311" i="55" s="1"/>
  <c r="H154" i="55" a="1"/>
  <c r="H154" i="55" s="1"/>
  <c r="L154" i="55" s="1"/>
  <c r="H197" i="55" a="1"/>
  <c r="H197" i="55" s="1"/>
  <c r="L197" i="55" s="1"/>
  <c r="H340" i="55" a="1"/>
  <c r="H340" i="55" s="1"/>
  <c r="L340" i="55" s="1"/>
  <c r="H123" i="55" a="1"/>
  <c r="H123" i="55" s="1"/>
  <c r="L123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H201" i="55" a="1"/>
  <c r="H201" i="55" s="1"/>
  <c r="L201" i="55" s="1"/>
  <c r="F6" i="12" a="1"/>
  <c r="F6" i="12" s="1"/>
  <c r="F16" i="70" a="1"/>
  <c r="F16" i="70" s="1"/>
  <c r="H352" i="55" a="1"/>
  <c r="H352" i="55" s="1"/>
  <c r="L352" i="55" s="1"/>
  <c r="E10" i="70" a="1"/>
  <c r="E10" i="70" s="1"/>
  <c r="F10" i="15" a="1"/>
  <c r="F10" i="15" s="1"/>
  <c r="E37" i="15" a="1"/>
  <c r="E37" i="15" s="1"/>
  <c r="H53" i="55" a="1"/>
  <c r="H53" i="55" s="1"/>
  <c r="L53" i="55" s="1"/>
  <c r="H210" i="55" a="1"/>
  <c r="H210" i="55" s="1"/>
  <c r="L210" i="55" s="1"/>
  <c r="H268" i="55" a="1"/>
  <c r="H268" i="55" s="1"/>
  <c r="L268" i="55" s="1"/>
  <c r="H319" i="55" a="1"/>
  <c r="H319" i="55" s="1"/>
  <c r="L319" i="55" s="1"/>
  <c r="H51" i="55" a="1"/>
  <c r="H51" i="55" s="1"/>
  <c r="L51" i="55" s="1"/>
  <c r="H99" i="55" a="1"/>
  <c r="H99" i="55" s="1"/>
  <c r="L99" i="55" s="1"/>
  <c r="H207" i="55" a="1"/>
  <c r="H207" i="55" s="1"/>
  <c r="L207" i="55" s="1"/>
  <c r="E12" i="70" a="1"/>
  <c r="E12" i="70" s="1"/>
  <c r="H241" i="55" a="1"/>
  <c r="H241" i="55" s="1"/>
  <c r="L241" i="55" s="1"/>
  <c r="H326" i="55" a="1"/>
  <c r="H326" i="55" s="1"/>
  <c r="L326" i="55" s="1"/>
  <c r="F9" i="70" a="1"/>
  <c r="F9" i="70" s="1"/>
  <c r="E8" i="12" a="1"/>
  <c r="E8" i="12" s="1"/>
  <c r="H176" i="55" a="1"/>
  <c r="H176" i="55" s="1"/>
  <c r="L176" i="55" s="1"/>
  <c r="E13" i="12" a="1"/>
  <c r="E13" i="12" s="1"/>
  <c r="E11" i="70" a="1"/>
  <c r="E11" i="70" s="1"/>
  <c r="E14" i="15" a="1"/>
  <c r="E14" i="15" s="1"/>
  <c r="E45" i="70" s="1"/>
  <c r="F8" i="70" a="1"/>
  <c r="F8" i="70" s="1"/>
  <c r="E27" i="15" a="1"/>
  <c r="E27" i="15" s="1"/>
  <c r="E17" i="70" a="1"/>
  <c r="E17" i="70" s="1"/>
  <c r="G17" i="70" s="1"/>
  <c r="H131" i="55" a="1"/>
  <c r="H131" i="55" s="1"/>
  <c r="L131" i="55" s="1"/>
  <c r="H64" i="55" a="1"/>
  <c r="H64" i="55" s="1"/>
  <c r="L64" i="55" s="1"/>
  <c r="H90" i="55" a="1"/>
  <c r="H90" i="55" s="1"/>
  <c r="L90" i="55" s="1"/>
  <c r="H100" i="55" a="1"/>
  <c r="H100" i="55" s="1"/>
  <c r="L100" i="55" s="1"/>
  <c r="H70" i="55" a="1"/>
  <c r="H70" i="55" s="1"/>
  <c r="L70" i="55" s="1"/>
  <c r="H114" i="55" a="1"/>
  <c r="H114" i="55" s="1"/>
  <c r="L114" i="55" s="1"/>
  <c r="H128" i="55" a="1"/>
  <c r="H128" i="55" s="1"/>
  <c r="L128" i="55" s="1"/>
  <c r="H60" i="55" a="1"/>
  <c r="H60" i="55" s="1"/>
  <c r="L60" i="55" s="1"/>
  <c r="H127" i="55" a="1"/>
  <c r="H127" i="55" s="1"/>
  <c r="L127" i="55" s="1"/>
  <c r="H104" i="55" a="1"/>
  <c r="H104" i="55" s="1"/>
  <c r="L104" i="55" s="1"/>
  <c r="H149" i="55" a="1"/>
  <c r="H149" i="55" s="1"/>
  <c r="L149" i="55" s="1"/>
  <c r="H105" i="55" a="1"/>
  <c r="H105" i="55" s="1"/>
  <c r="L105" i="55" s="1"/>
  <c r="H330" i="55" a="1"/>
  <c r="H330" i="55" s="1"/>
  <c r="L330" i="55" s="1"/>
  <c r="H118" i="55" a="1"/>
  <c r="H118" i="55" s="1"/>
  <c r="L118" i="55" s="1"/>
  <c r="H277" i="55" a="1"/>
  <c r="H277" i="55" s="1"/>
  <c r="L277" i="55" s="1"/>
  <c r="H174" i="55" a="1"/>
  <c r="H174" i="55" s="1"/>
  <c r="L174" i="55" s="1"/>
  <c r="H46" i="55" a="1"/>
  <c r="H46" i="55" s="1"/>
  <c r="L46" i="55" s="1"/>
  <c r="H75" i="55" a="1"/>
  <c r="H75" i="55" s="1"/>
  <c r="L75" i="55" s="1"/>
  <c r="H74" i="55" a="1"/>
  <c r="H74" i="55" s="1"/>
  <c r="L74" i="55" s="1"/>
  <c r="F48" i="15" a="1"/>
  <c r="F48" i="15" s="1"/>
  <c r="E25" i="15" a="1"/>
  <c r="E25" i="15" s="1"/>
  <c r="F21" i="15" a="1"/>
  <c r="F21" i="15" s="1"/>
  <c r="H351" i="55" a="1"/>
  <c r="H351" i="55" s="1"/>
  <c r="L351" i="55" s="1"/>
  <c r="E26" i="15" a="1"/>
  <c r="E26" i="15" s="1"/>
  <c r="F19" i="70" a="1"/>
  <c r="F19" i="70" s="1"/>
  <c r="E10" i="15" a="1"/>
  <c r="E10" i="15" s="1"/>
  <c r="F26" i="15" a="1"/>
  <c r="F26" i="15" s="1"/>
  <c r="H333" i="55" a="1"/>
  <c r="H333" i="55" s="1"/>
  <c r="L333" i="55" s="1"/>
  <c r="H76" i="55" a="1"/>
  <c r="H76" i="55" s="1"/>
  <c r="L76" i="55" s="1"/>
  <c r="F14" i="70" a="1"/>
  <c r="F14" i="70" s="1"/>
  <c r="H309" i="55" a="1"/>
  <c r="H309" i="55" s="1"/>
  <c r="L309" i="55" s="1"/>
  <c r="H41" i="55" a="1"/>
  <c r="H41" i="55" s="1"/>
  <c r="L41" i="55" s="1"/>
  <c r="H336" i="55" a="1"/>
  <c r="H336" i="55" s="1"/>
  <c r="L336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226" i="55" a="1"/>
  <c r="H226" i="55" s="1"/>
  <c r="F9" i="12" a="1"/>
  <c r="F9" i="12" s="1"/>
  <c r="F12" i="15" a="1"/>
  <c r="F12" i="15" s="1"/>
  <c r="F7" i="12" a="1"/>
  <c r="F7" i="12" s="1"/>
  <c r="H345" i="55" a="1"/>
  <c r="H345" i="55" s="1"/>
  <c r="L345" i="55" s="1"/>
  <c r="H86" i="55" a="1"/>
  <c r="H86" i="55" s="1"/>
  <c r="L86" i="55" s="1"/>
  <c r="H136" i="55" a="1"/>
  <c r="H136" i="55" s="1"/>
  <c r="L136" i="55" s="1"/>
  <c r="H314" i="55" a="1"/>
  <c r="H314" i="55" s="1"/>
  <c r="L314" i="55" s="1"/>
  <c r="E6" i="70" a="1"/>
  <c r="E6" i="70" s="1"/>
  <c r="H54" i="55" a="1"/>
  <c r="H54" i="55" s="1"/>
  <c r="L54" i="55" s="1"/>
  <c r="E20" i="15" a="1"/>
  <c r="E20" i="15" s="1"/>
  <c r="E46" i="15" a="1"/>
  <c r="E46" i="15" s="1"/>
  <c r="E15" i="70" a="1"/>
  <c r="E15" i="70" s="1"/>
  <c r="F17" i="15" a="1"/>
  <c r="F17" i="15" s="1"/>
  <c r="H349" i="55" a="1"/>
  <c r="H349" i="55" s="1"/>
  <c r="L349" i="55" s="1"/>
  <c r="H164" i="55" a="1"/>
  <c r="H164" i="55" s="1"/>
  <c r="L164" i="55" s="1"/>
  <c r="H12" i="55" a="1"/>
  <c r="H12" i="55" s="1"/>
  <c r="E28" i="15" a="1"/>
  <c r="E28" i="15" s="1"/>
  <c r="F27" i="15" a="1"/>
  <c r="F27" i="15" s="1"/>
  <c r="E7" i="70" a="1"/>
  <c r="E7" i="70" s="1"/>
  <c r="G7" i="70" s="1"/>
  <c r="F38" i="15" a="1"/>
  <c r="F38" i="15" s="1"/>
  <c r="H38" i="15" s="1"/>
  <c r="E15" i="15" a="1"/>
  <c r="E15" i="15" s="1"/>
  <c r="F39" i="15" a="1"/>
  <c r="F39" i="15" s="1"/>
  <c r="F25" i="15" a="1"/>
  <c r="F25" i="15" s="1"/>
  <c r="H350" i="55" a="1"/>
  <c r="H350" i="55" s="1"/>
  <c r="L350" i="55" s="1"/>
  <c r="H273" i="55" a="1"/>
  <c r="H273" i="55" s="1"/>
  <c r="L273" i="55" s="1"/>
  <c r="H122" i="55" a="1"/>
  <c r="H122" i="55" s="1"/>
  <c r="L122" i="55" s="1"/>
  <c r="H110" i="55" a="1"/>
  <c r="H110" i="55" s="1"/>
  <c r="L110" i="55" s="1"/>
  <c r="H18" i="55" a="1"/>
  <c r="H18" i="55" s="1"/>
  <c r="H78" i="55" a="1"/>
  <c r="H78" i="55" s="1"/>
  <c r="L78" i="55" s="1"/>
  <c r="H158" i="55" a="1"/>
  <c r="H158" i="55" s="1"/>
  <c r="L158" i="55" s="1"/>
  <c r="H347" i="55" a="1"/>
  <c r="H347" i="55" s="1"/>
  <c r="L347" i="55" s="1"/>
  <c r="E6" i="12" a="1"/>
  <c r="E6" i="12" s="1"/>
  <c r="E49" i="15" a="1"/>
  <c r="E49" i="15" s="1"/>
  <c r="H335" i="55" a="1"/>
  <c r="H335" i="55" s="1"/>
  <c r="L335" i="55" s="1"/>
  <c r="H58" i="55" a="1"/>
  <c r="H58" i="55" s="1"/>
  <c r="L58" i="55" s="1"/>
  <c r="H303" i="55" a="1"/>
  <c r="H303" i="55" s="1"/>
  <c r="E23" i="15" a="1"/>
  <c r="E23" i="15" s="1"/>
  <c r="E61" i="15" a="1"/>
  <c r="E61" i="15" s="1"/>
  <c r="I61" i="15" s="1"/>
  <c r="H28" i="55" a="1"/>
  <c r="H28" i="55" s="1"/>
  <c r="H282" i="55" a="1"/>
  <c r="H282" i="55" s="1"/>
  <c r="L282" i="55" s="1"/>
  <c r="F19" i="15" a="1"/>
  <c r="F19" i="15" s="1"/>
  <c r="F42" i="15" a="1"/>
  <c r="F42" i="15" s="1"/>
  <c r="H337" i="55" a="1"/>
  <c r="H337" i="55" s="1"/>
  <c r="L337" i="55" s="1"/>
  <c r="H137" i="55" a="1"/>
  <c r="H137" i="55" s="1"/>
  <c r="L137" i="55" s="1"/>
  <c r="H91" i="55" a="1"/>
  <c r="H91" i="55" s="1"/>
  <c r="L91" i="55" s="1"/>
  <c r="H57" i="55" a="1"/>
  <c r="H57" i="55" s="1"/>
  <c r="L57" i="55" s="1"/>
  <c r="H348" i="55" a="1"/>
  <c r="H348" i="55" s="1"/>
  <c r="L348" i="55" s="1"/>
  <c r="F32" i="15" a="1"/>
  <c r="F32" i="15" s="1"/>
  <c r="H144" i="55" a="1"/>
  <c r="H144" i="55" s="1"/>
  <c r="L144" i="55" s="1"/>
  <c r="F18" i="70" a="1"/>
  <c r="F18" i="70" s="1"/>
  <c r="E48" i="15" a="1"/>
  <c r="E48" i="15" s="1"/>
  <c r="H87" i="55" a="1"/>
  <c r="H87" i="55" s="1"/>
  <c r="L87" i="55" s="1"/>
  <c r="H73" i="55" a="1"/>
  <c r="H73" i="55" s="1"/>
  <c r="L73" i="55" s="1"/>
  <c r="H167" i="55" a="1"/>
  <c r="H167" i="55" s="1"/>
  <c r="L167" i="55" s="1"/>
  <c r="E18" i="70" a="1"/>
  <c r="E18" i="70" s="1"/>
  <c r="H120" i="55" a="1"/>
  <c r="H120" i="55" s="1"/>
  <c r="L120" i="55" s="1"/>
  <c r="F23" i="15" a="1"/>
  <c r="F23" i="15" s="1"/>
  <c r="F13" i="12" a="1"/>
  <c r="F13" i="12" s="1"/>
  <c r="H257" i="55" a="1"/>
  <c r="H257" i="55" s="1"/>
  <c r="H14" i="70" l="1"/>
  <c r="G33" i="15"/>
  <c r="E40" i="70" a="1"/>
  <c r="E40" i="70" s="1"/>
  <c r="E34" i="70" a="1"/>
  <c r="E34" i="70" s="1"/>
  <c r="F28" i="70" a="1"/>
  <c r="F28" i="70" s="1"/>
  <c r="F27" i="70" a="1"/>
  <c r="F27" i="70" s="1"/>
  <c r="E32" i="70" a="1"/>
  <c r="E32" i="70" s="1"/>
  <c r="F30" i="70" a="1"/>
  <c r="F30" i="70" s="1"/>
  <c r="E42" i="70" a="1"/>
  <c r="E42" i="70" s="1"/>
  <c r="F31" i="70" a="1"/>
  <c r="F31" i="70" s="1"/>
  <c r="E33" i="70" a="1"/>
  <c r="E33" i="70" s="1"/>
  <c r="F26" i="70" a="1"/>
  <c r="F26" i="70" s="1"/>
  <c r="F21" i="70" a="1"/>
  <c r="F21" i="70" s="1"/>
  <c r="F24" i="70" a="1"/>
  <c r="F24" i="70" s="1"/>
  <c r="E27" i="70" a="1"/>
  <c r="E27" i="70" s="1"/>
  <c r="G27" i="70" s="1"/>
  <c r="E41" i="70" a="1"/>
  <c r="E41" i="70" s="1"/>
  <c r="E21" i="70" a="1"/>
  <c r="E21" i="70" s="1"/>
  <c r="G21" i="70" s="1"/>
  <c r="F20" i="70" a="1"/>
  <c r="F20" i="70" s="1"/>
  <c r="E22" i="70" a="1"/>
  <c r="E22" i="70" s="1"/>
  <c r="F41" i="70" a="1"/>
  <c r="F41" i="70" s="1"/>
  <c r="H41" i="70" s="1"/>
  <c r="E38" i="70" a="1"/>
  <c r="E38" i="70" s="1"/>
  <c r="F38" i="70" a="1"/>
  <c r="F38" i="70" s="1"/>
  <c r="E25" i="70" a="1"/>
  <c r="E25" i="70" s="1"/>
  <c r="E20" i="70" a="1"/>
  <c r="E20" i="70" s="1"/>
  <c r="E23" i="70" a="1"/>
  <c r="E23" i="70" s="1"/>
  <c r="F35" i="70" a="1"/>
  <c r="F35" i="70" s="1"/>
  <c r="F37" i="70" a="1"/>
  <c r="F37" i="70" s="1"/>
  <c r="F29" i="70" a="1"/>
  <c r="F29" i="70" s="1"/>
  <c r="F32" i="70" a="1"/>
  <c r="F32" i="70" s="1"/>
  <c r="H32" i="70" s="1"/>
  <c r="F25" i="70" a="1"/>
  <c r="F25" i="70" s="1"/>
  <c r="E36" i="70" a="1"/>
  <c r="E36" i="70" s="1"/>
  <c r="E29" i="70" a="1"/>
  <c r="E29" i="70" s="1"/>
  <c r="F33" i="70" a="1"/>
  <c r="F33" i="70" s="1"/>
  <c r="H33" i="70" s="1"/>
  <c r="E31" i="70" a="1"/>
  <c r="E31" i="70" s="1"/>
  <c r="G31" i="70" s="1"/>
  <c r="E30" i="70" a="1"/>
  <c r="E30" i="70" s="1"/>
  <c r="G30" i="70" s="1"/>
  <c r="F36" i="70" a="1"/>
  <c r="F36" i="70" s="1"/>
  <c r="F34" i="70" a="1"/>
  <c r="F34" i="70" s="1"/>
  <c r="H34" i="70" s="1"/>
  <c r="E28" i="70" a="1"/>
  <c r="E28" i="70" s="1"/>
  <c r="G28" i="70" s="1"/>
  <c r="E26" i="70" a="1"/>
  <c r="E26" i="70" s="1"/>
  <c r="G26" i="70" s="1"/>
  <c r="F40" i="70" a="1"/>
  <c r="F40" i="70" s="1"/>
  <c r="E24" i="70" a="1"/>
  <c r="E24" i="70" s="1"/>
  <c r="G24" i="70" s="1"/>
  <c r="E39" i="70" a="1"/>
  <c r="E39" i="70" s="1"/>
  <c r="E35" i="70" a="1"/>
  <c r="E35" i="70" s="1"/>
  <c r="F42" i="70" a="1"/>
  <c r="F42" i="70" s="1"/>
  <c r="E37" i="70" a="1"/>
  <c r="E37" i="70" s="1"/>
  <c r="F22" i="70" a="1"/>
  <c r="F22" i="70" s="1"/>
  <c r="H22" i="70" s="1"/>
  <c r="F23" i="70" a="1"/>
  <c r="F23" i="70" s="1"/>
  <c r="F39" i="70" a="1"/>
  <c r="F39" i="70" s="1"/>
  <c r="H16" i="70"/>
  <c r="H19" i="15"/>
  <c r="G28" i="15"/>
  <c r="H9" i="12"/>
  <c r="J19" i="55" a="1"/>
  <c r="J19" i="55" s="1"/>
  <c r="H19" i="55" a="1"/>
  <c r="H19" i="55" s="1"/>
  <c r="L251" i="55"/>
  <c r="G15" i="70"/>
  <c r="L256" i="55"/>
  <c r="L298" i="55"/>
  <c r="H7" i="12"/>
  <c r="H23" i="15"/>
  <c r="G11" i="70"/>
  <c r="G12" i="70"/>
  <c r="H12" i="12"/>
  <c r="H13" i="12"/>
  <c r="G14" i="12"/>
  <c r="G8" i="12"/>
  <c r="G10" i="70"/>
  <c r="G10" i="12"/>
  <c r="G24" i="15"/>
  <c r="H27" i="15"/>
  <c r="H48" i="15"/>
  <c r="J28" i="55" a="1"/>
  <c r="J28" i="55" s="1"/>
  <c r="L28" i="55" s="1"/>
  <c r="G8" i="70"/>
  <c r="J43" i="55" a="1"/>
  <c r="J43" i="55" s="1"/>
  <c r="L43" i="55" s="1"/>
  <c r="H18" i="70"/>
  <c r="H9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F18" i="12" s="1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284" i="55" a="1"/>
  <c r="J284" i="55" s="1"/>
  <c r="L284" i="55" s="1"/>
  <c r="J37" i="55" a="1"/>
  <c r="J37" i="55" s="1"/>
  <c r="L37" i="55" s="1"/>
  <c r="J240" i="55" a="1"/>
  <c r="J240" i="55" s="1"/>
  <c r="L240" i="55" s="1"/>
  <c r="J257" i="55" a="1"/>
  <c r="J257" i="55" s="1"/>
  <c r="J225" i="55" a="1"/>
  <c r="J225" i="55" s="1"/>
  <c r="L225" i="55" s="1"/>
  <c r="J260" i="55" a="1"/>
  <c r="J260" i="55" s="1"/>
  <c r="L260" i="55" s="1"/>
  <c r="J205" i="55" a="1"/>
  <c r="J205" i="55" s="1"/>
  <c r="J323" i="55" a="1"/>
  <c r="J323" i="55" s="1"/>
  <c r="L323" i="55" s="1"/>
  <c r="F54" i="15" a="1"/>
  <c r="F54" i="15" s="1"/>
  <c r="I54" i="15" s="1"/>
  <c r="J302" i="55" a="1"/>
  <c r="J302" i="55" s="1"/>
  <c r="L302" i="55" s="1"/>
  <c r="J145" i="55" a="1"/>
  <c r="J145" i="55" s="1"/>
  <c r="L145" i="55" s="1"/>
  <c r="J192" i="55" a="1"/>
  <c r="J192" i="55" s="1"/>
  <c r="J121" i="55" a="1"/>
  <c r="J121" i="55" s="1"/>
  <c r="L121" i="55" s="1"/>
  <c r="J40" i="55" a="1"/>
  <c r="J40" i="55" s="1"/>
  <c r="L40" i="55" s="1"/>
  <c r="J292" i="55" a="1"/>
  <c r="J292" i="55" s="1"/>
  <c r="L292" i="55" s="1"/>
  <c r="L257" i="55"/>
  <c r="H42" i="15"/>
  <c r="F43" i="15"/>
  <c r="H43" i="15" s="1"/>
  <c r="G6" i="12"/>
  <c r="E16" i="12"/>
  <c r="E18" i="12" s="1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H24" i="15"/>
  <c r="H10" i="12"/>
  <c r="G39" i="15"/>
  <c r="G40" i="15" s="1"/>
  <c r="E40" i="15"/>
  <c r="E41" i="15" s="1"/>
  <c r="L205" i="55"/>
  <c r="J303" i="55" a="1"/>
  <c r="J303" i="55" s="1"/>
  <c r="L303" i="55" s="1"/>
  <c r="J170" i="55" a="1"/>
  <c r="J170" i="55" s="1"/>
  <c r="J254" i="55" a="1"/>
  <c r="J254" i="55" s="1"/>
  <c r="L254" i="55" s="1"/>
  <c r="J184" i="55" a="1"/>
  <c r="J184" i="55" s="1"/>
  <c r="F55" i="15" a="1"/>
  <c r="F55" i="15" s="1"/>
  <c r="I55" i="15" s="1"/>
  <c r="J42" i="55" a="1"/>
  <c r="J42" i="55" s="1"/>
  <c r="L42" i="55" s="1"/>
  <c r="J63" i="55" a="1"/>
  <c r="J63" i="55" s="1"/>
  <c r="L63" i="55" s="1"/>
  <c r="J267" i="55" a="1"/>
  <c r="J267" i="55" s="1"/>
  <c r="L267" i="55" s="1"/>
  <c r="J316" i="55" a="1"/>
  <c r="J316" i="55" s="1"/>
  <c r="L316" i="55" s="1"/>
  <c r="J119" i="55" a="1"/>
  <c r="J119" i="55" s="1"/>
  <c r="L119" i="55" s="1"/>
  <c r="J264" i="55" a="1"/>
  <c r="J264" i="55" s="1"/>
  <c r="L264" i="55" s="1"/>
  <c r="J308" i="55" a="1"/>
  <c r="J308" i="55" s="1"/>
  <c r="L308" i="55" s="1"/>
  <c r="J125" i="55" a="1"/>
  <c r="J125" i="55" s="1"/>
  <c r="L125" i="55" s="1"/>
  <c r="J221" i="55" a="1"/>
  <c r="J221" i="55" s="1"/>
  <c r="L221" i="55" s="1"/>
  <c r="J77" i="55" a="1"/>
  <c r="J77" i="55" s="1"/>
  <c r="L77" i="55" s="1"/>
  <c r="J141" i="55" a="1"/>
  <c r="J141" i="55" s="1"/>
  <c r="L141" i="55" s="1"/>
  <c r="J148" i="55" a="1"/>
  <c r="J148" i="55" s="1"/>
  <c r="L148" i="55" s="1"/>
  <c r="J226" i="55" a="1"/>
  <c r="J226" i="55" s="1"/>
  <c r="L226" i="55" s="1"/>
  <c r="J88" i="55" a="1"/>
  <c r="J88" i="55" s="1"/>
  <c r="L88" i="55" s="1"/>
  <c r="L18" i="55"/>
  <c r="E22" i="15"/>
  <c r="G20" i="15"/>
  <c r="L22" i="55" s="1"/>
  <c r="H22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G34" i="15" s="1"/>
  <c r="E31" i="15"/>
  <c r="G30" i="15"/>
  <c r="G31" i="15" s="1"/>
  <c r="H20" i="15"/>
  <c r="J22" i="55"/>
  <c r="F22" i="15"/>
  <c r="G14" i="70"/>
  <c r="H28" i="15"/>
  <c r="H8" i="12"/>
  <c r="G35" i="15"/>
  <c r="H17" i="70"/>
  <c r="L170" i="55"/>
  <c r="L184" i="55"/>
  <c r="H14" i="12"/>
  <c r="J266" i="55" a="1"/>
  <c r="J266" i="55" s="1"/>
  <c r="L266" i="55" s="1"/>
  <c r="J235" i="55" a="1"/>
  <c r="J235" i="55" s="1"/>
  <c r="L235" i="55" s="1"/>
  <c r="J69" i="55" a="1"/>
  <c r="J69" i="55" s="1"/>
  <c r="L69" i="55" s="1"/>
  <c r="J228" i="55" a="1"/>
  <c r="J228" i="55" s="1"/>
  <c r="L228" i="55" s="1"/>
  <c r="J151" i="55" a="1"/>
  <c r="J151" i="55" s="1"/>
  <c r="L151" i="55" s="1"/>
  <c r="J332" i="55" a="1"/>
  <c r="J332" i="55" s="1"/>
  <c r="L332" i="55" s="1"/>
  <c r="F57" i="15" a="1"/>
  <c r="F57" i="15" s="1"/>
  <c r="I57" i="15" s="1"/>
  <c r="J194" i="55" a="1"/>
  <c r="J194" i="55" s="1"/>
  <c r="L194" i="55" s="1"/>
  <c r="J25" i="55" a="1"/>
  <c r="J25" i="55" s="1"/>
  <c r="L25" i="55" s="1"/>
  <c r="F60" i="15" a="1"/>
  <c r="F60" i="15" s="1"/>
  <c r="I60" i="15" s="1"/>
  <c r="J101" i="55" a="1"/>
  <c r="J101" i="55" s="1"/>
  <c r="L101" i="55" s="1"/>
  <c r="J216" i="55" a="1"/>
  <c r="J216" i="55" s="1"/>
  <c r="L216" i="55" s="1"/>
  <c r="J132" i="55" a="1"/>
  <c r="J132" i="55" s="1"/>
  <c r="L132" i="55" s="1"/>
  <c r="J32" i="55" a="1"/>
  <c r="J32" i="55" s="1"/>
  <c r="L32" i="55" s="1"/>
  <c r="J208" i="55" a="1"/>
  <c r="J208" i="55" s="1"/>
  <c r="L208" i="55" s="1"/>
  <c r="F53" i="15" a="1"/>
  <c r="F53" i="15" s="1"/>
  <c r="I53" i="15" s="1"/>
  <c r="J108" i="55" a="1"/>
  <c r="J108" i="55" s="1"/>
  <c r="L108" i="55" s="1"/>
  <c r="J55" i="55" a="1"/>
  <c r="J55" i="55" s="1"/>
  <c r="L55" i="55" s="1"/>
  <c r="J244" i="55" a="1"/>
  <c r="J244" i="55" s="1"/>
  <c r="L244" i="55" s="1"/>
  <c r="J304" i="55" a="1"/>
  <c r="J304" i="55" s="1"/>
  <c r="L304" i="55" s="1"/>
  <c r="F34" i="15"/>
  <c r="H32" i="15"/>
  <c r="H34" i="15" s="1"/>
  <c r="J357" i="55"/>
  <c r="H25" i="15"/>
  <c r="G18" i="70"/>
  <c r="G48" i="15"/>
  <c r="G23" i="15"/>
  <c r="F40" i="15"/>
  <c r="F41" i="15" s="1"/>
  <c r="H39" i="15"/>
  <c r="H40" i="15" s="1"/>
  <c r="H16" i="55"/>
  <c r="G17" i="15"/>
  <c r="E18" i="15"/>
  <c r="G25" i="15"/>
  <c r="L357" i="55" s="1"/>
  <c r="H357" i="55"/>
  <c r="H8" i="70"/>
  <c r="G13" i="12"/>
  <c r="G37" i="15"/>
  <c r="H46" i="15"/>
  <c r="F47" i="15"/>
  <c r="H47" i="15" s="1"/>
  <c r="G21" i="15"/>
  <c r="L17" i="55" s="1"/>
  <c r="H17" i="55"/>
  <c r="H10" i="70"/>
  <c r="H14" i="15"/>
  <c r="H11" i="70"/>
  <c r="G12" i="12"/>
  <c r="H12" i="70"/>
  <c r="H35" i="15"/>
  <c r="G16" i="70"/>
  <c r="G9" i="12"/>
  <c r="G19" i="15"/>
  <c r="G7" i="12"/>
  <c r="L192" i="55"/>
  <c r="H23" i="55" a="1"/>
  <c r="H23" i="55" s="1"/>
  <c r="H109" i="55" a="1"/>
  <c r="H109" i="55" s="1"/>
  <c r="L109" i="55" s="1"/>
  <c r="H344" i="55" a="1"/>
  <c r="H344" i="55" s="1"/>
  <c r="L344" i="55" s="1"/>
  <c r="J12" i="55" a="1"/>
  <c r="J12" i="55" s="1"/>
  <c r="J16" i="55" s="1"/>
  <c r="H85" i="55" a="1"/>
  <c r="H85" i="55" s="1"/>
  <c r="L85" i="55" s="1"/>
  <c r="H276" i="55" a="1"/>
  <c r="H276" i="55" s="1"/>
  <c r="L276" i="55" s="1"/>
  <c r="J23" i="55" a="1"/>
  <c r="J23" i="55" s="1"/>
  <c r="H130" i="55" a="1"/>
  <c r="H130" i="55" s="1"/>
  <c r="L130" i="55" s="1"/>
  <c r="H168" i="55" a="1"/>
  <c r="H168" i="55" s="1"/>
  <c r="L168" i="55" s="1"/>
  <c r="F6" i="70" a="1"/>
  <c r="F6" i="70" s="1"/>
  <c r="G6" i="70" s="1"/>
  <c r="E19" i="70" a="1"/>
  <c r="E19" i="70" s="1"/>
  <c r="G19" i="70" s="1"/>
  <c r="H342" i="55" a="1"/>
  <c r="H342" i="55" s="1"/>
  <c r="L342" i="55" s="1"/>
  <c r="H188" i="55" a="1"/>
  <c r="H188" i="55" s="1"/>
  <c r="L188" i="55" s="1"/>
  <c r="H187" i="55" a="1"/>
  <c r="H187" i="55" s="1"/>
  <c r="L187" i="55" s="1"/>
  <c r="E13" i="70" a="1"/>
  <c r="E13" i="70" s="1"/>
  <c r="G13" i="70" s="1"/>
  <c r="H202" i="55" a="1"/>
  <c r="H202" i="55" s="1"/>
  <c r="L202" i="55" s="1"/>
  <c r="J134" i="55" a="1"/>
  <c r="J134" i="55" s="1"/>
  <c r="L134" i="55" s="1"/>
  <c r="J300" i="55" a="1"/>
  <c r="J300" i="55" s="1"/>
  <c r="L300" i="55" s="1"/>
  <c r="J29" i="55" a="1"/>
  <c r="J29" i="55" s="1"/>
  <c r="L29" i="55" s="1"/>
  <c r="J33" i="55" a="1"/>
  <c r="J33" i="55" s="1"/>
  <c r="L33" i="55" s="1"/>
  <c r="J212" i="55" a="1"/>
  <c r="J212" i="55" s="1"/>
  <c r="L212" i="55" s="1"/>
  <c r="J211" i="55" a="1"/>
  <c r="J211" i="55" s="1"/>
  <c r="L211" i="55" s="1"/>
  <c r="J166" i="55" a="1"/>
  <c r="J166" i="55" s="1"/>
  <c r="L166" i="55" s="1"/>
  <c r="J306" i="55" a="1"/>
  <c r="J306" i="55" s="1"/>
  <c r="L306" i="55" s="1"/>
  <c r="J80" i="55" a="1"/>
  <c r="J80" i="55" s="1"/>
  <c r="L80" i="55" s="1"/>
  <c r="J354" i="55" a="1"/>
  <c r="J354" i="55" s="1"/>
  <c r="L354" i="55" s="1"/>
  <c r="J222" i="55" a="1"/>
  <c r="J222" i="55" s="1"/>
  <c r="L222" i="55" s="1"/>
  <c r="J248" i="55" a="1"/>
  <c r="J248" i="55" s="1"/>
  <c r="L248" i="55" s="1"/>
  <c r="J129" i="55" a="1"/>
  <c r="J129" i="55" s="1"/>
  <c r="L129" i="55" s="1"/>
  <c r="J79" i="55" a="1"/>
  <c r="J79" i="55" s="1"/>
  <c r="L79" i="55" s="1"/>
  <c r="J227" i="55" a="1"/>
  <c r="J227" i="55" s="1"/>
  <c r="L227" i="55" s="1"/>
  <c r="J27" i="55" a="1"/>
  <c r="J27" i="55" s="1"/>
  <c r="L27" i="55" s="1"/>
  <c r="J252" i="55" a="1"/>
  <c r="J252" i="55" s="1"/>
  <c r="L252" i="55" s="1"/>
  <c r="J67" i="55" a="1"/>
  <c r="J67" i="55" s="1"/>
  <c r="L67" i="55" s="1"/>
  <c r="J234" i="55" a="1"/>
  <c r="J234" i="55" s="1"/>
  <c r="L234" i="55" s="1"/>
  <c r="J82" i="55" a="1"/>
  <c r="J82" i="55" s="1"/>
  <c r="L82" i="55" s="1"/>
  <c r="J219" i="55" a="1"/>
  <c r="J219" i="55" s="1"/>
  <c r="L219" i="55" s="1"/>
  <c r="H36" i="70" l="1"/>
  <c r="H25" i="70"/>
  <c r="G37" i="70"/>
  <c r="G35" i="70"/>
  <c r="H23" i="70"/>
  <c r="H42" i="70"/>
  <c r="H40" i="70"/>
  <c r="H20" i="70"/>
  <c r="G29" i="70"/>
  <c r="G39" i="70"/>
  <c r="H38" i="70"/>
  <c r="L19" i="55"/>
  <c r="L21" i="55" s="1"/>
  <c r="K22" i="55" s="1"/>
  <c r="H35" i="70"/>
  <c r="G25" i="70"/>
  <c r="H24" i="70"/>
  <c r="H31" i="70"/>
  <c r="H27" i="70"/>
  <c r="G22" i="70"/>
  <c r="H21" i="70"/>
  <c r="G42" i="70"/>
  <c r="H28" i="70"/>
  <c r="G36" i="70"/>
  <c r="H29" i="70"/>
  <c r="G23" i="70"/>
  <c r="G41" i="70"/>
  <c r="H26" i="70"/>
  <c r="H30" i="70"/>
  <c r="G34" i="70"/>
  <c r="H39" i="70"/>
  <c r="H37" i="70"/>
  <c r="G20" i="70"/>
  <c r="G38" i="70"/>
  <c r="G33" i="70"/>
  <c r="G32" i="70"/>
  <c r="G40" i="70"/>
  <c r="H22" i="15"/>
  <c r="G18" i="15"/>
  <c r="E62" i="15"/>
  <c r="F62" i="15"/>
  <c r="I17" i="55"/>
  <c r="G41" i="15"/>
  <c r="J21" i="55"/>
  <c r="I22" i="55" s="1"/>
  <c r="J356" i="55"/>
  <c r="I357" i="55" s="1"/>
  <c r="H19" i="70"/>
  <c r="G22" i="15"/>
  <c r="G16" i="12"/>
  <c r="F44" i="70"/>
  <c r="F46" i="70" s="1"/>
  <c r="H6" i="70"/>
  <c r="E44" i="70"/>
  <c r="E46" i="70" s="1"/>
  <c r="H13" i="70"/>
  <c r="H18" i="15"/>
  <c r="H21" i="55"/>
  <c r="G22" i="55" s="1"/>
  <c r="H29" i="15"/>
  <c r="H16" i="12"/>
  <c r="G16" i="15"/>
  <c r="H356" i="55"/>
  <c r="G357" i="55" s="1"/>
  <c r="L23" i="55"/>
  <c r="L356" i="55" s="1"/>
  <c r="K357" i="55" s="1"/>
  <c r="G17" i="55"/>
  <c r="H41" i="15"/>
  <c r="G29" i="15"/>
  <c r="G47" i="15"/>
  <c r="G50" i="15"/>
  <c r="L12" i="55"/>
  <c r="L16" i="55" s="1"/>
  <c r="K17" i="55" s="1"/>
  <c r="H50" i="15"/>
  <c r="G43" i="15"/>
  <c r="G44" i="70" l="1"/>
  <c r="G62" i="15"/>
  <c r="H62" i="15"/>
  <c r="H44" i="70"/>
  <c r="H64" i="15" l="1"/>
</calcChain>
</file>

<file path=xl/sharedStrings.xml><?xml version="1.0" encoding="utf-8"?>
<sst xmlns="http://schemas.openxmlformats.org/spreadsheetml/2006/main" count="2851" uniqueCount="948">
  <si>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</si>
  <si>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</si>
  <si>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</si>
  <si>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</si>
  <si>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</si>
  <si>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</si>
  <si>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</si>
  <si>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</si>
  <si>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</si>
  <si>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</si>
  <si>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</si>
  <si>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</si>
  <si>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</si>
  <si>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</si>
  <si>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</si>
  <si>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</si>
  <si>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</si>
  <si>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</si>
  <si>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</si>
  <si>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</si>
  <si>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</si>
  <si>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</si>
  <si>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</si>
  <si>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</si>
  <si>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</si>
  <si>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</si>
  <si>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</si>
  <si>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</si>
  <si>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</si>
  <si>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</si>
  <si>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</si>
  <si>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</si>
  <si>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</si>
  <si>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</si>
  <si>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</si>
  <si>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</si>
  <si>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</si>
  <si>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</si>
  <si>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</si>
  <si>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</si>
  <si>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</si>
  <si>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</si>
  <si>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</si>
  <si>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</si>
  <si>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</si>
  <si>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</si>
  <si>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</si>
  <si>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</si>
  <si>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</si>
  <si>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</si>
  <si>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</si>
  <si>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</si>
  <si>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</si>
  <si>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</si>
  <si>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</si>
  <si>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</si>
  <si>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</si>
  <si>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</si>
  <si>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</si>
  <si>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</si>
  <si>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</si>
  <si>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</si>
  <si>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</si>
  <si>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</si>
  <si>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</si>
  <si>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</si>
  <si>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</si>
  <si>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</si>
  <si>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</si>
  <si>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</si>
  <si>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</si>
  <si>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</si>
  <si>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</si>
  <si>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</si>
  <si>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</si>
  <si>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</si>
  <si>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</si>
  <si>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</si>
  <si>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</si>
  <si>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</si>
  <si>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</si>
  <si>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</si>
  <si>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</si>
  <si>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</si>
  <si>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</si>
  <si>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</si>
  <si>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</si>
  <si>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</si>
  <si>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</si>
  <si>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</si>
  <si>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</si>
  <si>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</si>
  <si>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</si>
  <si>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</si>
  <si>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</si>
  <si>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</si>
  <si>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</si>
  <si>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</si>
  <si>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</si>
  <si>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</si>
  <si>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</si>
  <si>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</si>
  <si>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</si>
  <si>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</si>
  <si>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</si>
  <si>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</si>
  <si>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</si>
  <si>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</si>
  <si>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</si>
  <si>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</si>
  <si>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</si>
  <si>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</si>
  <si>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</si>
  <si>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</si>
  <si>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</si>
  <si>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</si>
  <si>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</si>
  <si>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</si>
  <si>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</si>
  <si>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</si>
  <si>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</si>
  <si>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</si>
  <si>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</si>
  <si>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</si>
  <si>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</si>
  <si>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</si>
  <si>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</si>
  <si>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</si>
  <si>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</si>
  <si>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</si>
  <si>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</si>
  <si>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</si>
  <si>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</si>
  <si>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</si>
  <si>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</si>
  <si>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</si>
  <si>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</si>
  <si>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</si>
  <si>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</si>
  <si>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</si>
  <si>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</si>
  <si>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</si>
  <si>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</si>
  <si>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</si>
  <si>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</si>
  <si>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</si>
  <si>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</si>
  <si>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</si>
  <si>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</si>
  <si>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</si>
  <si>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</si>
  <si>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</si>
  <si>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</si>
  <si>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</si>
  <si>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</si>
  <si>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</si>
  <si>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</si>
  <si>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</si>
  <si>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</si>
  <si>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</si>
  <si>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</si>
  <si>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</si>
  <si>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</si>
  <si>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</si>
  <si>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</si>
  <si>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</si>
  <si>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</si>
  <si>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</si>
  <si>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</si>
  <si>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</si>
  <si>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</si>
  <si>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</si>
  <si>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</si>
  <si>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</si>
  <si>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</si>
  <si>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</si>
  <si>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</si>
  <si>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</si>
  <si>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</si>
  <si>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</si>
  <si>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</si>
  <si>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</si>
  <si>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</si>
  <si>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</si>
  <si>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</si>
  <si>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</si>
  <si>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</si>
  <si>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</si>
  <si>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</si>
  <si>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</si>
  <si>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</si>
  <si>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</si>
  <si>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</si>
  <si>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</si>
  <si>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</si>
  <si>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</si>
  <si>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</si>
  <si>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</si>
  <si>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</si>
  <si>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</si>
  <si>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</si>
  <si>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</si>
  <si>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</si>
  <si>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</si>
  <si>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</si>
  <si>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</si>
  <si>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</si>
  <si>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</si>
  <si>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</si>
  <si>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</si>
  <si>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</si>
  <si>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</si>
  <si>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</si>
  <si>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</si>
  <si>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</si>
  <si>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</si>
  <si>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</si>
  <si>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</si>
  <si>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</si>
  <si>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</si>
  <si>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</si>
  <si>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</si>
  <si>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</si>
  <si>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</si>
  <si>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</si>
  <si>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</si>
  <si>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</si>
  <si>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</si>
  <si>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</si>
  <si>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</si>
  <si>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</si>
  <si>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</si>
  <si>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</si>
  <si>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</si>
  <si>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</si>
  <si>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</si>
  <si>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</si>
  <si>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</si>
  <si>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</si>
  <si>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</si>
  <si>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</si>
  <si>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</si>
  <si>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</si>
  <si>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</si>
  <si>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</si>
  <si>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</si>
  <si>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</si>
  <si>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</si>
  <si>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</si>
  <si>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</si>
  <si>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</si>
  <si>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</si>
  <si>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</si>
  <si>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</si>
  <si>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</si>
  <si>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</si>
  <si>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</si>
  <si>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</si>
  <si>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</si>
  <si>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</si>
  <si>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</si>
  <si>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</si>
  <si>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</si>
  <si>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</si>
  <si>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</si>
  <si>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</si>
  <si>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</si>
  <si>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</si>
  <si>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</si>
  <si>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</si>
  <si>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</si>
  <si>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</si>
  <si>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</si>
  <si>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</si>
  <si>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</si>
  <si>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</si>
  <si>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</si>
  <si>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</si>
  <si>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</si>
  <si>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</si>
  <si>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</si>
  <si>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</si>
  <si>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</si>
  <si>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</si>
  <si>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</si>
  <si>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</si>
  <si>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</si>
  <si>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</si>
  <si>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</si>
  <si>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</si>
  <si>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</si>
  <si>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</si>
  <si>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</si>
  <si>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</si>
  <si>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</si>
  <si>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</si>
  <si>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</si>
  <si>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</si>
  <si>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</si>
  <si>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</si>
  <si>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</si>
  <si>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</si>
  <si>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</si>
  <si>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</si>
  <si>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</si>
  <si>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</si>
  <si>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</si>
  <si>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</si>
  <si>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</si>
  <si>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</si>
  <si>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</si>
  <si>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</si>
  <si>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</si>
  <si>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</si>
  <si>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</si>
  <si>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</si>
  <si>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</si>
  <si>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</si>
  <si>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</si>
  <si>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</si>
  <si>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</si>
  <si>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</si>
  <si>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</si>
  <si>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</si>
  <si>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</si>
  <si>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</si>
  <si>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</si>
  <si>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</si>
  <si>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</si>
  <si>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</si>
  <si>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</si>
  <si>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</si>
  <si>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</si>
  <si>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</si>
  <si>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</si>
  <si>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</si>
  <si>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</si>
  <si>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</si>
  <si>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</si>
  <si>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</si>
  <si>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</si>
  <si>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</si>
  <si>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</si>
  <si>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</si>
  <si>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</si>
  <si>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</si>
  <si>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</si>
  <si>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</si>
  <si>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</si>
  <si>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</si>
  <si>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</si>
  <si>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</si>
  <si>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</si>
  <si>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</si>
  <si>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</si>
  <si>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</si>
  <si>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</si>
  <si>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</si>
  <si>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</si>
  <si>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</si>
  <si>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</si>
  <si>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</si>
  <si>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</si>
  <si>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</si>
  <si>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</si>
  <si>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</si>
  <si>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</si>
  <si>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</si>
  <si>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</si>
  <si>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</si>
  <si>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</si>
  <si>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</si>
  <si>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</si>
  <si>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</si>
  <si>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</si>
  <si>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</si>
  <si>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</si>
  <si>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</si>
  <si>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</si>
  <si>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</si>
  <si>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</si>
  <si>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</si>
  <si>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</si>
  <si>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</si>
  <si>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</si>
  <si>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</si>
  <si>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</si>
  <si>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</si>
  <si>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</si>
  <si>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</si>
  <si>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</si>
  <si>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</si>
  <si>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</si>
  <si>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</si>
  <si>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</si>
  <si>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</si>
  <si>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</si>
  <si>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</si>
  <si>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</si>
  <si>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</si>
  <si>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</si>
  <si>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</si>
  <si>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</si>
  <si>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</si>
  <si>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</si>
  <si>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</si>
  <si>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</si>
  <si>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</si>
  <si>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</si>
  <si>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</si>
  <si>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</si>
  <si>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</si>
  <si>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</si>
  <si>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</si>
  <si>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</si>
  <si>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</si>
  <si>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</si>
  <si>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</si>
  <si>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</si>
  <si>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</si>
  <si>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</si>
  <si>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</si>
  <si>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</si>
  <si>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</si>
  <si>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</si>
  <si>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</si>
  <si>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</si>
  <si>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</si>
  <si>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</si>
  <si>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</si>
  <si>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</si>
  <si>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</si>
  <si>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</si>
  <si>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</si>
  <si>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</si>
  <si>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</si>
  <si>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</si>
  <si>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</si>
  <si>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</si>
  <si>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</si>
  <si>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</si>
  <si>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</si>
  <si>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</si>
  <si>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</si>
  <si>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</si>
  <si>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</si>
  <si>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</si>
  <si>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</si>
  <si>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</si>
  <si>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</si>
  <si>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</si>
  <si>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</si>
  <si>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</si>
  <si>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</si>
  <si>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</si>
  <si>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</si>
  <si>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</si>
  <si>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</si>
  <si>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</si>
  <si>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</si>
  <si>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</si>
  <si>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</si>
  <si>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</si>
  <si>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</si>
  <si>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</si>
  <si>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</si>
  <si>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</si>
  <si>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</si>
  <si>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</si>
  <si>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</si>
  <si>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</si>
  <si>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</si>
  <si>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</si>
  <si>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</si>
  <si>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</si>
  <si>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</si>
  <si>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</si>
  <si>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</si>
  <si>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</si>
  <si>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</si>
  <si>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</si>
  <si>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</si>
  <si>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</si>
  <si>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</si>
  <si>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</si>
  <si>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</si>
  <si>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</si>
  <si>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</si>
  <si>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</si>
  <si>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</si>
  <si>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</si>
  <si>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</si>
  <si>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</si>
  <si>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</si>
  <si>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</si>
  <si>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</si>
  <si>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</si>
  <si>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</si>
  <si>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</si>
  <si>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</si>
  <si>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</si>
  <si>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</si>
  <si>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</si>
  <si>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</si>
  <si>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</si>
  <si>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</si>
  <si>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</si>
  <si>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</si>
  <si>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</si>
  <si>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</si>
  <si>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</si>
  <si>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</si>
  <si>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</si>
  <si>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</si>
  <si>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</si>
  <si>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</si>
  <si>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</si>
  <si>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</si>
  <si>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</si>
  <si>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</si>
  <si>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</si>
  <si>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</si>
  <si>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</si>
  <si>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</si>
  <si>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</si>
  <si>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</si>
  <si>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</si>
  <si>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</si>
  <si>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</si>
  <si>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</si>
  <si>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</si>
  <si>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</si>
  <si>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</si>
  <si>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</si>
  <si>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</si>
  <si>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</si>
  <si>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</si>
  <si>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</si>
  <si>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</si>
  <si>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</si>
  <si>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</si>
  <si>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</si>
  <si>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</si>
  <si>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</si>
  <si>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</si>
  <si>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</si>
  <si>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</si>
  <si>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</si>
  <si>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</si>
  <si>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</si>
  <si>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</si>
  <si>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</si>
  <si>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</si>
  <si>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</si>
  <si>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</si>
  <si>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</si>
  <si>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</si>
  <si>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</si>
  <si>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</si>
  <si>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</si>
  <si>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</si>
  <si>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</si>
  <si>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</si>
  <si>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</si>
  <si>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</si>
  <si>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</si>
  <si>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</si>
  <si>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</si>
  <si>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</si>
  <si>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</si>
  <si>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</si>
  <si>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</si>
  <si>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</si>
  <si>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</si>
  <si>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</si>
  <si>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</si>
  <si>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</si>
  <si>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</si>
  <si>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</si>
  <si>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</si>
  <si>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</si>
  <si>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</si>
  <si>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</si>
  <si>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</si>
  <si>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</si>
  <si>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</si>
  <si>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</si>
  <si>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</si>
  <si>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</si>
  <si>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</si>
  <si>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</si>
  <si>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</si>
  <si>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</si>
  <si>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</si>
  <si>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</si>
  <si>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</si>
  <si>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</si>
  <si>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</si>
  <si>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</si>
  <si>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</si>
  <si>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</si>
  <si>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</si>
  <si>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</si>
  <si>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</si>
  <si>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</si>
  <si>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</si>
  <si>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</si>
  <si>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</si>
  <si>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</si>
  <si>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</si>
  <si>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</si>
  <si>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</si>
  <si>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</si>
  <si>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</si>
  <si>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</si>
  <si>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</si>
  <si>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</si>
  <si>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</si>
  <si>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</si>
  <si>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</si>
  <si>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</si>
  <si>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</si>
  <si>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</si>
  <si>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</si>
  <si>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</si>
  <si>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</si>
  <si>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</si>
  <si>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</si>
  <si>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</si>
  <si>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</si>
  <si>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</si>
  <si>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</si>
  <si>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</si>
  <si>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</si>
  <si>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</si>
  <si>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</si>
  <si>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</si>
  <si>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</si>
  <si>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</si>
  <si>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</si>
  <si>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</si>
  <si>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</si>
  <si>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</si>
  <si>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</si>
  <si>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</si>
  <si>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</si>
  <si>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</si>
  <si>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</si>
  <si>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</si>
  <si>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</si>
  <si>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</si>
  <si>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</si>
  <si>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</si>
  <si>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</si>
  <si>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</si>
  <si>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</si>
  <si>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</si>
  <si>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</si>
  <si>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</si>
  <si>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</si>
  <si>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</si>
  <si>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</si>
  <si>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</si>
  <si>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</si>
  <si>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</si>
  <si>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</si>
  <si>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</si>
  <si>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</si>
  <si>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</si>
  <si>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</si>
  <si>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</si>
  <si>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</si>
  <si>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</si>
  <si>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</si>
  <si>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</si>
  <si>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</si>
  <si>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</si>
  <si>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</si>
  <si>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</si>
  <si>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</si>
  <si>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</si>
  <si>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</si>
  <si>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</si>
  <si>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</si>
  <si>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</si>
  <si>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</si>
  <si>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</si>
  <si>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</si>
  <si>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</si>
  <si>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</si>
  <si>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</si>
  <si>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</si>
  <si>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</si>
  <si>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</si>
  <si>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</si>
  <si>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</si>
  <si>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</si>
  <si>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</si>
  <si>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</si>
  <si>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</si>
  <si>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</si>
  <si>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</si>
  <si>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</si>
  <si>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</si>
  <si>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</si>
  <si>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</si>
  <si>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</si>
  <si>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</si>
  <si>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</si>
  <si>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</si>
  <si>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</si>
  <si>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</si>
  <si>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</si>
  <si>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</si>
  <si>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</si>
  <si>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</si>
  <si>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</si>
  <si>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</si>
  <si>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</si>
  <si>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</si>
  <si>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</si>
  <si>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</si>
  <si>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</si>
  <si>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</si>
  <si>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</si>
  <si>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</si>
  <si>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</si>
  <si>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</si>
  <si>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</si>
  <si>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</si>
  <si>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</si>
  <si>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</si>
  <si>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</si>
  <si>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</si>
  <si>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</si>
  <si>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</si>
  <si>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</si>
  <si>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</si>
  <si>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</si>
  <si>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</si>
  <si>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</si>
  <si>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</si>
  <si>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</si>
  <si>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</si>
  <si>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</si>
  <si>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</si>
  <si>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</si>
  <si>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</si>
  <si>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</si>
  <si>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</si>
  <si>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</si>
  <si>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</si>
  <si>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</si>
  <si>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</si>
  <si>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</si>
  <si>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</si>
  <si>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</si>
  <si>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</si>
  <si>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</si>
  <si>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</si>
  <si>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</si>
  <si>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</si>
  <si>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</si>
  <si>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</si>
  <si>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</si>
  <si>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</si>
  <si>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</si>
  <si>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</si>
  <si>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</si>
  <si>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</si>
  <si>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</si>
  <si>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</si>
  <si>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</si>
  <si>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</si>
  <si>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</si>
  <si>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</si>
  <si>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</si>
  <si>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</si>
  <si>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</si>
  <si>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</si>
  <si>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</si>
  <si>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</si>
  <si>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</si>
  <si>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</si>
  <si>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</si>
  <si>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</si>
  <si>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</si>
  <si>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</si>
  <si>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</si>
  <si>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Bộ vĩ thùng (38x21x30)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</si>
  <si>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</si>
  <si>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</si>
  <si>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</si>
  <si>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</si>
  <si>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</si>
  <si>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</si>
  <si>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</si>
  <si>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</si>
  <si>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</si>
  <si>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</si>
  <si>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</si>
  <si>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</si>
  <si>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</si>
  <si>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</si>
  <si>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</si>
  <si>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</si>
  <si>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</si>
  <si>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</si>
  <si>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</si>
  <si>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</si>
  <si>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</si>
  <si>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</si>
  <si>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</si>
  <si>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</si>
  <si>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</si>
  <si>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</si>
  <si>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</si>
  <si>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</si>
  <si>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</si>
  <si>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</si>
  <si>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</si>
  <si>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</si>
  <si>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</si>
  <si>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</si>
  <si>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</si>
  <si>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</si>
  <si>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</si>
  <si>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</si>
  <si>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</si>
  <si>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</si>
  <si>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</si>
  <si>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</si>
  <si>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</si>
  <si>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</si>
  <si>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</si>
  <si>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</si>
  <si>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</si>
  <si>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</si>
  <si>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</si>
  <si>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</si>
  <si>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</si>
  <si>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</si>
  <si>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</si>
  <si>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</si>
  <si>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</si>
  <si>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</si>
  <si>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</si>
  <si>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</si>
  <si>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</si>
  <si>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</si>
  <si>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</si>
  <si>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</si>
  <si>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</si>
  <si>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</si>
  <si>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</si>
  <si>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</si>
  <si>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</si>
  <si>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</si>
  <si>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</si>
  <si>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</si>
  <si>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</si>
  <si>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</si>
  <si>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</si>
  <si>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</si>
  <si>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</si>
  <si>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</si>
  <si>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</si>
  <si>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</si>
  <si>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</si>
  <si>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</si>
  <si>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</si>
  <si>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</si>
  <si>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</si>
  <si>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</si>
  <si>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</si>
  <si>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</si>
  <si>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</si>
  <si>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</si>
  <si>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</si>
  <si>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</si>
  <si>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</si>
  <si>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</si>
  <si>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</si>
  <si>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</si>
  <si>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</si>
  <si>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</si>
  <si>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</si>
  <si>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</si>
  <si>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</si>
  <si>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</si>
  <si>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</si>
  <si>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</si>
  <si>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</si>
  <si>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</si>
  <si>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</si>
  <si>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</si>
  <si>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</si>
  <si>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</si>
  <si>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</si>
  <si>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</si>
  <si>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</si>
  <si>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</si>
  <si>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</si>
  <si>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</si>
  <si>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</si>
  <si>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</si>
  <si>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</si>
  <si>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</si>
  <si>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</si>
  <si>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</si>
  <si>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</si>
  <si>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</si>
  <si>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</si>
  <si>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</si>
  <si>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</si>
  <si>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</si>
  <si>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</si>
  <si>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thùng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</si>
  <si>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</si>
  <si>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</si>
  <si>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</si>
  <si>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</si>
  <si>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</si>
  <si>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</si>
  <si>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</si>
  <si>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</si>
  <si>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</si>
  <si>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</si>
  <si>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</si>
  <si>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</si>
  <si>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</si>
  <si>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</si>
  <si>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</si>
  <si>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</si>
  <si>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</si>
  <si>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</si>
  <si>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</si>
  <si>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</si>
  <si>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</si>
  <si>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</si>
  <si>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</si>
  <si>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</si>
  <si>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</si>
  <si>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Giấy cuộn</t>
  </si>
  <si>
    <t>Dây kẽm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</si>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</sst>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0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3" fontId="34" fillId="0" borderId="16" xfId="46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34" fillId="0" borderId="0" xfId="76" quotePrefix="1" applyNumberFormat="1" applyFont="1" applyFill="1" applyBorder="1" applyAlignment="1">
      <alignment horizontal="center" vertical="center"/>
    </xf>
    <xf numFmtId="43" fontId="3" fillId="0" borderId="0" xfId="0" applyNumberFormat="1" applyFont="1" applyFill="1"/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91" fillId="0" borderId="0" xfId="77" applyFont="1" applyFill="1" applyBorder="1" applyAlignment="1" applyProtection="1">
      <alignment horizontal="left" vertical="center" wrapText="1"/>
      <protection hidden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10" activePane="bottomLeft" state="frozen"/>
      <selection activeCell="A6" sqref="A6"/>
      <selection pane="bottomLeft" activeCell="E52" sqref="E52"/>
    </sheetView>
  </sheetViews>
  <sheetFormatPr defaultColWidth="8" defaultRowHeight="12.75"/>
  <cols>
    <col min="1" max="1" width="5.7109375" style="642" customWidth="1"/>
    <col min="2" max="2" width="36.85546875" style="642" customWidth="1"/>
    <col min="3" max="4" width="11.28515625" style="161" customWidth="1"/>
    <col min="5" max="6" width="14.7109375" style="642" customWidth="1"/>
    <col min="7" max="8" width="13.85546875" style="642" customWidth="1"/>
    <col min="9" max="9" width="2.42578125" style="642" customWidth="1"/>
    <col min="10" max="10" width="11" style="642" customWidth="1"/>
    <col min="11" max="11" width="2.85546875" style="642" customWidth="1"/>
    <col min="12" max="12" width="11.85546875" style="642" customWidth="1"/>
    <col min="13" max="16384" width="8" style="642"/>
  </cols>
  <sheetData>
    <row r="1" spans="1:16">
      <c r="A1" s="641"/>
      <c r="B1" s="641"/>
    </row>
    <row r="2" spans="1:16">
      <c r="A2" s="641" t="str">
        <f>TH!A1</f>
        <v>Đơn vị: CÔNG TY TNHH MỘT THÀNH VIÊN KHỞI NGUYÊN AN</v>
      </c>
      <c r="B2" s="641"/>
    </row>
    <row r="3" spans="1:16">
      <c r="A3" s="642" t="str">
        <f>TH!A2</f>
        <v>Địa chỉ: Thửa đất số 144, tờ bản đồ số 12TĐH.1, tổ 1, khu phố Đông Tác, Phường Tân Đông Hiệp, Thị Xã Dĩ An, Tỉnh Bình Dương, Việt Nam</v>
      </c>
      <c r="B3" s="641"/>
    </row>
    <row r="5" spans="1:16" ht="36" customHeight="1">
      <c r="A5" s="643"/>
      <c r="B5" s="643"/>
      <c r="C5" s="644"/>
      <c r="D5" s="645" t="s">
        <v>375</v>
      </c>
      <c r="E5" s="643"/>
      <c r="F5" s="643"/>
      <c r="G5" s="643"/>
      <c r="H5" s="643"/>
    </row>
    <row r="6" spans="1:16" ht="15.75">
      <c r="A6" s="643"/>
      <c r="B6" s="643"/>
      <c r="C6" s="644"/>
      <c r="D6" s="669" t="s">
        <v>942</v>
      </c>
      <c r="E6" s="643"/>
      <c r="F6" s="643"/>
      <c r="G6" s="643"/>
      <c r="H6" s="643"/>
    </row>
    <row r="7" spans="1:16" ht="6.75" customHeight="1"/>
    <row r="8" spans="1:16" ht="21.75" customHeight="1">
      <c r="A8" s="902" t="s">
        <v>924</v>
      </c>
      <c r="B8" s="902" t="s">
        <v>373</v>
      </c>
      <c r="C8" s="898" t="s">
        <v>37</v>
      </c>
      <c r="D8" s="899"/>
      <c r="E8" s="898" t="s">
        <v>38</v>
      </c>
      <c r="F8" s="899"/>
      <c r="G8" s="898" t="s">
        <v>374</v>
      </c>
      <c r="H8" s="899"/>
    </row>
    <row r="9" spans="1:16" ht="21.75" customHeight="1">
      <c r="A9" s="903"/>
      <c r="B9" s="903"/>
      <c r="C9" s="640" t="s">
        <v>42</v>
      </c>
      <c r="D9" s="640" t="s">
        <v>43</v>
      </c>
      <c r="E9" s="640" t="s">
        <v>42</v>
      </c>
      <c r="F9" s="640" t="s">
        <v>43</v>
      </c>
      <c r="G9" s="640" t="s">
        <v>42</v>
      </c>
      <c r="H9" s="640" t="s">
        <v>43</v>
      </c>
    </row>
    <row r="10" spans="1:16" s="161" customFormat="1" ht="17.25" customHeight="1">
      <c r="A10" s="646" t="s">
        <v>47</v>
      </c>
      <c r="B10" s="647" t="s">
        <v>48</v>
      </c>
      <c r="C10" s="648"/>
      <c r="D10" s="648"/>
      <c r="E10" s="648">
        <f t="array" ref="E10">SUM(IF(A10=KHN,TH))</f>
        <v>0</v>
      </c>
      <c r="F10" s="648">
        <f t="array" ref="F10">SUM(IF(A10=KHC,TH))</f>
        <v>0</v>
      </c>
      <c r="G10" s="649">
        <f>MAX(C10+E10-D10-F10,0)</f>
        <v>0</v>
      </c>
      <c r="H10" s="649">
        <f>MAX(D10+F10-E10-C10,0)</f>
        <v>0</v>
      </c>
      <c r="J10" s="642"/>
      <c r="K10" s="642"/>
      <c r="L10" s="642"/>
      <c r="M10" s="642"/>
      <c r="N10" s="642"/>
      <c r="O10" s="642"/>
      <c r="P10" s="642"/>
    </row>
    <row r="11" spans="1:16" s="161" customFormat="1" ht="17.25" customHeight="1">
      <c r="A11" s="651" t="s">
        <v>16</v>
      </c>
      <c r="B11" s="651" t="s">
        <v>49</v>
      </c>
      <c r="C11" s="652">
        <f t="shared" ref="C11:H11" si="0">C10</f>
        <v>0</v>
      </c>
      <c r="D11" s="652">
        <f t="shared" si="0"/>
        <v>0</v>
      </c>
      <c r="E11" s="652">
        <f t="shared" si="0"/>
        <v>0</v>
      </c>
      <c r="F11" s="652">
        <f t="shared" si="0"/>
        <v>0</v>
      </c>
      <c r="G11" s="652">
        <f t="shared" si="0"/>
        <v>0</v>
      </c>
      <c r="H11" s="652">
        <f t="shared" si="0"/>
        <v>0</v>
      </c>
      <c r="J11" s="642"/>
      <c r="K11" s="642"/>
      <c r="L11" s="642"/>
      <c r="M11" s="642"/>
      <c r="N11" s="642"/>
      <c r="O11" s="642"/>
      <c r="P11" s="642"/>
    </row>
    <row r="12" spans="1:16" s="161" customFormat="1" ht="17.25" customHeight="1">
      <c r="A12" s="647" t="s">
        <v>24</v>
      </c>
      <c r="B12" s="647" t="s">
        <v>50</v>
      </c>
      <c r="C12" s="648"/>
      <c r="D12" s="648">
        <v>0</v>
      </c>
      <c r="E12" s="648">
        <f t="array" ref="E12">SUM(IF(A12=KHN,TH))</f>
        <v>0</v>
      </c>
      <c r="F12" s="648">
        <f t="array" ref="F12">SUM(IF(A12=KHC,TH))</f>
        <v>0</v>
      </c>
      <c r="G12" s="649">
        <f>MAX(C12+E12-D12-F12,0)</f>
        <v>0</v>
      </c>
      <c r="H12" s="649">
        <f>MAX(D12+F12-E12-C12,0)</f>
        <v>0</v>
      </c>
      <c r="K12" s="650"/>
      <c r="L12" s="650"/>
      <c r="M12" s="650"/>
    </row>
    <row r="13" spans="1:16" s="161" customFormat="1" ht="17.25" customHeight="1">
      <c r="A13" s="651" t="s">
        <v>51</v>
      </c>
      <c r="B13" s="651" t="s">
        <v>52</v>
      </c>
      <c r="C13" s="652">
        <f t="shared" ref="C13:H13" si="1">C12</f>
        <v>0</v>
      </c>
      <c r="D13" s="652">
        <f t="shared" si="1"/>
        <v>0</v>
      </c>
      <c r="E13" s="652">
        <f t="shared" si="1"/>
        <v>0</v>
      </c>
      <c r="F13" s="652">
        <f t="shared" si="1"/>
        <v>0</v>
      </c>
      <c r="G13" s="652">
        <f t="shared" si="1"/>
        <v>0</v>
      </c>
      <c r="H13" s="652">
        <f t="shared" si="1"/>
        <v>0</v>
      </c>
    </row>
    <row r="14" spans="1:16" s="161" customFormat="1" ht="17.25" customHeight="1">
      <c r="A14" s="651" t="s">
        <v>274</v>
      </c>
      <c r="B14" s="651" t="s">
        <v>292</v>
      </c>
      <c r="C14" s="652"/>
      <c r="D14" s="652"/>
      <c r="E14" s="653">
        <f t="array" ref="E14">SUM(IF(A14=KHN,TH))</f>
        <v>0</v>
      </c>
      <c r="F14" s="653">
        <f t="array" ref="F14">SUM(IF(A14=KHC,TH))</f>
        <v>0</v>
      </c>
      <c r="G14" s="652">
        <f>MAX(C14+E14-D14-F14,0)</f>
        <v>0</v>
      </c>
      <c r="H14" s="652">
        <f>MAX(D14+F14-E14-C14,0)</f>
        <v>0</v>
      </c>
    </row>
    <row r="15" spans="1:16" s="161" customFormat="1" ht="17.25" customHeight="1">
      <c r="A15" s="647" t="s">
        <v>9</v>
      </c>
      <c r="B15" s="647" t="s">
        <v>53</v>
      </c>
      <c r="C15" s="648"/>
      <c r="D15" s="648"/>
      <c r="E15" s="648">
        <f t="array" ref="E15">SUM(IF(A15=KHN,TH))</f>
        <v>0</v>
      </c>
      <c r="F15" s="648">
        <f t="array" ref="F15">SUM(IF(A15=KHC,TH))</f>
        <v>0</v>
      </c>
      <c r="G15" s="649">
        <f>MAX(C15+E15-D15-F15,0)</f>
        <v>0</v>
      </c>
      <c r="H15" s="649">
        <f>MAX(D15+F15-E15-C15,0)</f>
        <v>0</v>
      </c>
    </row>
    <row r="16" spans="1:16" s="161" customFormat="1" ht="17.25" customHeight="1">
      <c r="A16" s="651" t="s">
        <v>54</v>
      </c>
      <c r="B16" s="651" t="s">
        <v>55</v>
      </c>
      <c r="C16" s="652">
        <f t="shared" ref="C16:H16" si="2">C15</f>
        <v>0</v>
      </c>
      <c r="D16" s="652">
        <f t="shared" si="2"/>
        <v>0</v>
      </c>
      <c r="E16" s="652">
        <f t="shared" si="2"/>
        <v>0</v>
      </c>
      <c r="F16" s="652">
        <f t="shared" si="2"/>
        <v>0</v>
      </c>
      <c r="G16" s="652">
        <f t="shared" si="2"/>
        <v>0</v>
      </c>
      <c r="H16" s="652">
        <f t="shared" si="2"/>
        <v>0</v>
      </c>
    </row>
    <row r="17" spans="1:8" s="161" customFormat="1" ht="17.25" hidden="1" customHeight="1">
      <c r="A17" s="647" t="s">
        <v>56</v>
      </c>
      <c r="B17" s="647" t="s">
        <v>57</v>
      </c>
      <c r="C17" s="648"/>
      <c r="D17" s="648"/>
      <c r="E17" s="648">
        <f t="array" ref="E17">SUM(IF(A17=KHN,TH))</f>
        <v>0</v>
      </c>
      <c r="F17" s="648">
        <f t="array" ref="F17">SUM(IF(A17=KHC,TH))</f>
        <v>0</v>
      </c>
      <c r="G17" s="649">
        <f t="shared" ref="G17:G39" si="3">MAX(C17+E17-D17-F17,0)</f>
        <v>0</v>
      </c>
      <c r="H17" s="649">
        <f t="shared" ref="H17:H39" si="4">MAX(D17+F17-E17-C17,0)</f>
        <v>0</v>
      </c>
    </row>
    <row r="18" spans="1:8" s="161" customFormat="1" ht="17.25" hidden="1" customHeight="1">
      <c r="A18" s="651" t="s">
        <v>58</v>
      </c>
      <c r="B18" s="651" t="s">
        <v>59</v>
      </c>
      <c r="C18" s="652">
        <f>C17</f>
        <v>0</v>
      </c>
      <c r="D18" s="652">
        <f>D17</f>
        <v>0</v>
      </c>
      <c r="E18" s="652">
        <f>E17</f>
        <v>0</v>
      </c>
      <c r="F18" s="652">
        <f>F17</f>
        <v>0</v>
      </c>
      <c r="G18" s="652">
        <f t="shared" si="3"/>
        <v>0</v>
      </c>
      <c r="H18" s="652">
        <f t="shared" si="4"/>
        <v>0</v>
      </c>
    </row>
    <row r="19" spans="1:8" s="161" customFormat="1" ht="17.25" customHeight="1">
      <c r="A19" s="660" t="s">
        <v>547</v>
      </c>
      <c r="B19" s="651" t="s">
        <v>548</v>
      </c>
      <c r="C19" s="652"/>
      <c r="D19" s="652">
        <v>0</v>
      </c>
      <c r="E19" s="653">
        <f t="array" ref="E19">SUM(IF(A19=KHN,TH))</f>
        <v>0</v>
      </c>
      <c r="F19" s="653">
        <f t="array" ref="F19">SUM(IF(A19=KHC,TH))</f>
        <v>0</v>
      </c>
      <c r="G19" s="652">
        <f t="shared" si="3"/>
        <v>0</v>
      </c>
      <c r="H19" s="652">
        <f t="shared" si="4"/>
        <v>0</v>
      </c>
    </row>
    <row r="20" spans="1:8" s="161" customFormat="1" ht="17.25" customHeight="1">
      <c r="A20" s="647" t="s">
        <v>159</v>
      </c>
      <c r="B20" s="647" t="s">
        <v>160</v>
      </c>
      <c r="C20" s="648"/>
      <c r="D20" s="648"/>
      <c r="E20" s="648">
        <f t="array" ref="E20">SUM(IF(A20=KHN,TH))</f>
        <v>0</v>
      </c>
      <c r="F20" s="648">
        <f t="array" ref="F20">SUM(IF(A20=KHC,TH))</f>
        <v>0</v>
      </c>
      <c r="G20" s="649">
        <f t="shared" si="3"/>
        <v>0</v>
      </c>
      <c r="H20" s="649">
        <f t="shared" si="4"/>
        <v>0</v>
      </c>
    </row>
    <row r="21" spans="1:8" s="161" customFormat="1" ht="17.25" customHeight="1">
      <c r="A21" s="647" t="s">
        <v>161</v>
      </c>
      <c r="B21" s="647" t="s">
        <v>162</v>
      </c>
      <c r="C21" s="648"/>
      <c r="D21" s="648"/>
      <c r="E21" s="648">
        <f t="array" ref="E21">SUM(IF(A21=KHN,TH))</f>
        <v>0</v>
      </c>
      <c r="F21" s="648">
        <f t="array" ref="F21">SUM(IF(A21=KHC,TH))</f>
        <v>0</v>
      </c>
      <c r="G21" s="648">
        <f t="shared" si="3"/>
        <v>0</v>
      </c>
      <c r="H21" s="648">
        <f t="shared" si="4"/>
        <v>0</v>
      </c>
    </row>
    <row r="22" spans="1:8" s="161" customFormat="1" ht="17.25" customHeight="1">
      <c r="A22" s="651" t="s">
        <v>163</v>
      </c>
      <c r="B22" s="651" t="s">
        <v>164</v>
      </c>
      <c r="C22" s="652">
        <f>C20+C21</f>
        <v>0</v>
      </c>
      <c r="D22" s="652">
        <f>D20+D21</f>
        <v>0</v>
      </c>
      <c r="E22" s="652">
        <f>E20+E21</f>
        <v>0</v>
      </c>
      <c r="F22" s="652">
        <f>F20+F21</f>
        <v>0</v>
      </c>
      <c r="G22" s="652">
        <f t="shared" si="3"/>
        <v>0</v>
      </c>
      <c r="H22" s="652">
        <f t="shared" si="4"/>
        <v>0</v>
      </c>
    </row>
    <row r="23" spans="1:8" s="161" customFormat="1" ht="17.25" hidden="1" customHeight="1">
      <c r="A23" s="651" t="s">
        <v>165</v>
      </c>
      <c r="B23" s="651" t="s">
        <v>166</v>
      </c>
      <c r="C23" s="652"/>
      <c r="D23" s="652">
        <v>0</v>
      </c>
      <c r="E23" s="653">
        <f t="array" ref="E23">SUM(IF(A23=KHN,TH))</f>
        <v>0</v>
      </c>
      <c r="F23" s="653">
        <f t="array" ref="F23">SUM(IF(A23=KHC,TH))</f>
        <v>0</v>
      </c>
      <c r="G23" s="652">
        <f t="shared" si="3"/>
        <v>0</v>
      </c>
      <c r="H23" s="652">
        <f t="shared" si="4"/>
        <v>0</v>
      </c>
    </row>
    <row r="24" spans="1:8" s="161" customFormat="1" ht="17.25" customHeight="1">
      <c r="A24" s="651" t="s">
        <v>167</v>
      </c>
      <c r="B24" s="651" t="s">
        <v>168</v>
      </c>
      <c r="C24" s="652"/>
      <c r="D24" s="652">
        <v>0</v>
      </c>
      <c r="E24" s="653">
        <f t="array" ref="E24">SUM(IF(A24=KHN,TH))</f>
        <v>0</v>
      </c>
      <c r="F24" s="653">
        <f t="array" ref="F24">SUM(IF(A24=KHC,TH))</f>
        <v>0</v>
      </c>
      <c r="G24" s="652">
        <f t="shared" si="3"/>
        <v>0</v>
      </c>
      <c r="H24" s="652">
        <f t="shared" si="4"/>
        <v>0</v>
      </c>
    </row>
    <row r="25" spans="1:8" s="161" customFormat="1" ht="17.25" customHeight="1">
      <c r="A25" s="651" t="s">
        <v>169</v>
      </c>
      <c r="B25" s="651" t="s">
        <v>170</v>
      </c>
      <c r="C25" s="652"/>
      <c r="D25" s="652"/>
      <c r="E25" s="653">
        <f t="array" ref="E25">SUM(IF(A25=KHN,TH))</f>
        <v>0</v>
      </c>
      <c r="F25" s="653">
        <f t="array" ref="F25">SUM(IF(A25=KHC,TH))</f>
        <v>0</v>
      </c>
      <c r="G25" s="652">
        <f t="shared" si="3"/>
        <v>0</v>
      </c>
      <c r="H25" s="652">
        <f t="shared" si="4"/>
        <v>0</v>
      </c>
    </row>
    <row r="26" spans="1:8" s="161" customFormat="1" ht="17.25" hidden="1" customHeight="1">
      <c r="A26" s="654" t="s">
        <v>171</v>
      </c>
      <c r="B26" s="655" t="s">
        <v>172</v>
      </c>
      <c r="C26" s="656"/>
      <c r="D26" s="656"/>
      <c r="E26" s="648">
        <f t="array" ref="E26">SUM(IF(A26=KHN,TH))</f>
        <v>0</v>
      </c>
      <c r="F26" s="648">
        <f t="array" ref="F26">SUM(IF(A26=KHC,TH))</f>
        <v>0</v>
      </c>
      <c r="G26" s="656">
        <f t="shared" si="3"/>
        <v>0</v>
      </c>
      <c r="H26" s="656">
        <f t="shared" si="4"/>
        <v>0</v>
      </c>
    </row>
    <row r="27" spans="1:8" s="161" customFormat="1" ht="17.25" customHeight="1">
      <c r="A27" s="657" t="s">
        <v>173</v>
      </c>
      <c r="B27" s="658" t="s">
        <v>174</v>
      </c>
      <c r="C27" s="659"/>
      <c r="D27" s="659"/>
      <c r="E27" s="648">
        <f t="array" ref="E27">SUM(IF(A27=KHN,TH))</f>
        <v>0</v>
      </c>
      <c r="F27" s="648">
        <f t="array" ref="F27">SUM(IF(A27=KHC,TH))</f>
        <v>0</v>
      </c>
      <c r="G27" s="659">
        <f t="shared" si="3"/>
        <v>0</v>
      </c>
      <c r="H27" s="659">
        <f t="shared" si="4"/>
        <v>0</v>
      </c>
    </row>
    <row r="28" spans="1:8" s="161" customFormat="1" ht="17.25" hidden="1" customHeight="1">
      <c r="A28" s="657" t="s">
        <v>175</v>
      </c>
      <c r="B28" s="658" t="s">
        <v>176</v>
      </c>
      <c r="C28" s="659"/>
      <c r="D28" s="659"/>
      <c r="E28" s="648">
        <f t="array" ref="E28">SUM(IF(A28=KHN,TH))</f>
        <v>0</v>
      </c>
      <c r="F28" s="648">
        <f t="array" ref="F28">SUM(IF(A28=KHC,TH))</f>
        <v>0</v>
      </c>
      <c r="G28" s="659">
        <f t="shared" si="3"/>
        <v>0</v>
      </c>
      <c r="H28" s="659">
        <f t="shared" si="4"/>
        <v>0</v>
      </c>
    </row>
    <row r="29" spans="1:8" s="161" customFormat="1" ht="17.25" customHeight="1">
      <c r="A29" s="651" t="s">
        <v>177</v>
      </c>
      <c r="B29" s="651" t="s">
        <v>178</v>
      </c>
      <c r="C29" s="652">
        <f t="shared" ref="C29:H29" si="5">SUM(C26:C28)</f>
        <v>0</v>
      </c>
      <c r="D29" s="652">
        <f t="shared" si="5"/>
        <v>0</v>
      </c>
      <c r="E29" s="652">
        <f t="shared" si="5"/>
        <v>0</v>
      </c>
      <c r="F29" s="652">
        <f t="shared" si="5"/>
        <v>0</v>
      </c>
      <c r="G29" s="652">
        <f t="shared" si="5"/>
        <v>0</v>
      </c>
      <c r="H29" s="652">
        <f t="shared" si="5"/>
        <v>0</v>
      </c>
    </row>
    <row r="30" spans="1:8" s="161" customFormat="1" ht="17.25" hidden="1" customHeight="1">
      <c r="A30" s="657" t="s">
        <v>284</v>
      </c>
      <c r="B30" s="658" t="s">
        <v>285</v>
      </c>
      <c r="C30" s="659"/>
      <c r="D30" s="659"/>
      <c r="E30" s="648">
        <f t="array" ref="E30">SUM(IF(A30=KHN,TH))</f>
        <v>0</v>
      </c>
      <c r="F30" s="648">
        <f t="array" ref="F30">SUM(IF(A30=KHC,TH))</f>
        <v>0</v>
      </c>
      <c r="G30" s="659">
        <f>MAX(C30+E30-D30-F30,0)</f>
        <v>0</v>
      </c>
      <c r="H30" s="659">
        <f>MAX(D30+F30-E30-C30,0)</f>
        <v>0</v>
      </c>
    </row>
    <row r="31" spans="1:8" s="161" customFormat="1" ht="17.25" hidden="1" customHeight="1">
      <c r="A31" s="660" t="s">
        <v>286</v>
      </c>
      <c r="B31" s="651" t="s">
        <v>287</v>
      </c>
      <c r="C31" s="652">
        <f t="shared" ref="C31:H31" si="6">C30</f>
        <v>0</v>
      </c>
      <c r="D31" s="652">
        <f t="shared" si="6"/>
        <v>0</v>
      </c>
      <c r="E31" s="652">
        <f t="shared" si="6"/>
        <v>0</v>
      </c>
      <c r="F31" s="652">
        <f t="shared" si="6"/>
        <v>0</v>
      </c>
      <c r="G31" s="652">
        <f t="shared" si="6"/>
        <v>0</v>
      </c>
      <c r="H31" s="652">
        <f t="shared" si="6"/>
        <v>0</v>
      </c>
    </row>
    <row r="32" spans="1:8" s="161" customFormat="1" ht="17.25" customHeight="1">
      <c r="A32" s="647" t="s">
        <v>276</v>
      </c>
      <c r="B32" s="647" t="s">
        <v>288</v>
      </c>
      <c r="C32" s="648"/>
      <c r="D32" s="648"/>
      <c r="E32" s="648">
        <f t="array" ref="E32">SUM(IF(A32=KHN,TH))</f>
        <v>0</v>
      </c>
      <c r="F32" s="648">
        <f t="array" ref="F32">SUM(IF(A32=KHC,TH))</f>
        <v>0</v>
      </c>
      <c r="G32" s="648">
        <f>MAX(C32+E32-D32-F32,0)</f>
        <v>0</v>
      </c>
      <c r="H32" s="648">
        <f>MAX(D32+F32-E32-C32,0)</f>
        <v>0</v>
      </c>
    </row>
    <row r="33" spans="1:8" s="161" customFormat="1" ht="17.25" hidden="1" customHeight="1">
      <c r="A33" s="646" t="s">
        <v>275</v>
      </c>
      <c r="B33" s="647" t="s">
        <v>289</v>
      </c>
      <c r="C33" s="648"/>
      <c r="D33" s="648"/>
      <c r="E33" s="648">
        <f t="array" ref="E33">SUM(IF(A33=KHN,TH))</f>
        <v>0</v>
      </c>
      <c r="F33" s="648">
        <f t="array" ref="F33">SUM(IF(A33=KHC,TH))</f>
        <v>0</v>
      </c>
      <c r="G33" s="648">
        <f>MAX(C33+E33-D33-F33,0)</f>
        <v>0</v>
      </c>
      <c r="H33" s="648">
        <f>MAX(D33+F33-E33-C33,0)</f>
        <v>0</v>
      </c>
    </row>
    <row r="34" spans="1:8" s="161" customFormat="1" ht="17.25" customHeight="1">
      <c r="A34" s="651" t="s">
        <v>290</v>
      </c>
      <c r="B34" s="651" t="s">
        <v>291</v>
      </c>
      <c r="C34" s="652">
        <f t="shared" ref="C34:H34" si="7">C32+C33</f>
        <v>0</v>
      </c>
      <c r="D34" s="652">
        <f t="shared" si="7"/>
        <v>0</v>
      </c>
      <c r="E34" s="652">
        <f t="shared" si="7"/>
        <v>0</v>
      </c>
      <c r="F34" s="652">
        <f t="shared" si="7"/>
        <v>0</v>
      </c>
      <c r="G34" s="652">
        <f t="shared" si="7"/>
        <v>0</v>
      </c>
      <c r="H34" s="652">
        <f t="shared" si="7"/>
        <v>0</v>
      </c>
    </row>
    <row r="35" spans="1:8" s="161" customFormat="1" ht="17.25" customHeight="1">
      <c r="A35" s="651" t="s">
        <v>8</v>
      </c>
      <c r="B35" s="651" t="s">
        <v>60</v>
      </c>
      <c r="C35" s="652"/>
      <c r="D35" s="652"/>
      <c r="E35" s="653">
        <f t="array" ref="E35">SUM(IF(A35=KHN,TH))</f>
        <v>0</v>
      </c>
      <c r="F35" s="653">
        <f t="array" ref="F35">SUM(IF(A35=KHC,TH))</f>
        <v>0</v>
      </c>
      <c r="G35" s="652">
        <f t="shared" si="3"/>
        <v>0</v>
      </c>
      <c r="H35" s="652">
        <f t="shared" si="4"/>
        <v>0</v>
      </c>
    </row>
    <row r="36" spans="1:8" s="161" customFormat="1" ht="17.25" customHeight="1">
      <c r="A36" s="661" t="s">
        <v>524</v>
      </c>
      <c r="B36" s="647" t="s">
        <v>523</v>
      </c>
      <c r="C36" s="648"/>
      <c r="D36" s="648"/>
      <c r="E36" s="648">
        <f t="array" ref="E36">SUM(IF(A36=KHN,TH))</f>
        <v>0</v>
      </c>
      <c r="F36" s="648">
        <f t="array" ref="F36">SUM(IF(A36=KHC,TH))</f>
        <v>0</v>
      </c>
      <c r="G36" s="648">
        <f t="shared" ref="G36" si="8">MAX(C36+E36-D36-F36,0)</f>
        <v>0</v>
      </c>
      <c r="H36" s="648">
        <f t="shared" ref="H36" si="9">MAX(D36+F36-E36-C36,0)</f>
        <v>0</v>
      </c>
    </row>
    <row r="37" spans="1:8" s="161" customFormat="1" ht="17.25" customHeight="1">
      <c r="A37" s="647" t="s">
        <v>61</v>
      </c>
      <c r="B37" s="647" t="s">
        <v>62</v>
      </c>
      <c r="C37" s="648"/>
      <c r="D37" s="648"/>
      <c r="E37" s="648">
        <f t="array" ref="E37">SUM(IF(A37=KHN,TH))</f>
        <v>0</v>
      </c>
      <c r="F37" s="648">
        <f t="array" ref="F37">SUM(IF(A37=KHC,TH))</f>
        <v>0</v>
      </c>
      <c r="G37" s="648">
        <f t="shared" si="3"/>
        <v>0</v>
      </c>
      <c r="H37" s="648">
        <f t="shared" si="4"/>
        <v>0</v>
      </c>
    </row>
    <row r="38" spans="1:8" s="161" customFormat="1" ht="17.25" hidden="1" customHeight="1">
      <c r="A38" s="647" t="s">
        <v>282</v>
      </c>
      <c r="B38" s="647" t="s">
        <v>283</v>
      </c>
      <c r="C38" s="648"/>
      <c r="D38" s="648"/>
      <c r="E38" s="648">
        <f t="array" ref="E38">SUM(IF(A38=KHN,TH))</f>
        <v>0</v>
      </c>
      <c r="F38" s="648">
        <f t="array" ref="F38">SUM(IF(A38=KHC,TH))</f>
        <v>0</v>
      </c>
      <c r="G38" s="648">
        <f t="shared" si="3"/>
        <v>0</v>
      </c>
      <c r="H38" s="648">
        <f t="shared" si="4"/>
        <v>0</v>
      </c>
    </row>
    <row r="39" spans="1:8" s="161" customFormat="1" ht="17.25" customHeight="1">
      <c r="A39" s="661" t="s">
        <v>63</v>
      </c>
      <c r="B39" s="662" t="s">
        <v>64</v>
      </c>
      <c r="C39" s="663"/>
      <c r="D39" s="663"/>
      <c r="E39" s="663">
        <f t="array" ref="E39">SUM(IF(A39=KHN,TH))</f>
        <v>0</v>
      </c>
      <c r="F39" s="663">
        <f t="array" ref="F39">SUM(IF(A39=KHC,TH))</f>
        <v>0</v>
      </c>
      <c r="G39" s="663">
        <f t="shared" si="3"/>
        <v>0</v>
      </c>
      <c r="H39" s="663">
        <f t="shared" si="4"/>
        <v>0</v>
      </c>
    </row>
    <row r="40" spans="1:8" s="161" customFormat="1" ht="17.25" customHeight="1">
      <c r="A40" s="647" t="s">
        <v>18</v>
      </c>
      <c r="B40" s="647" t="s">
        <v>65</v>
      </c>
      <c r="C40" s="648">
        <f>C39</f>
        <v>0</v>
      </c>
      <c r="D40" s="648">
        <f t="shared" ref="D40:H40" si="10">D39</f>
        <v>0</v>
      </c>
      <c r="E40" s="648">
        <f t="shared" si="10"/>
        <v>0</v>
      </c>
      <c r="F40" s="648">
        <f t="shared" si="10"/>
        <v>0</v>
      </c>
      <c r="G40" s="648">
        <f t="shared" si="10"/>
        <v>0</v>
      </c>
      <c r="H40" s="648">
        <f t="shared" si="10"/>
        <v>0</v>
      </c>
    </row>
    <row r="41" spans="1:8" s="161" customFormat="1" ht="17.25" customHeight="1">
      <c r="A41" s="651" t="s">
        <v>66</v>
      </c>
      <c r="B41" s="651" t="s">
        <v>67</v>
      </c>
      <c r="C41" s="652">
        <f>C37+C40+C38+C36</f>
        <v>0</v>
      </c>
      <c r="D41" s="652">
        <f t="shared" ref="D41:H41" si="11">D37+D40+D38+D36</f>
        <v>0</v>
      </c>
      <c r="E41" s="652">
        <f t="shared" si="11"/>
        <v>0</v>
      </c>
      <c r="F41" s="652">
        <f t="shared" si="11"/>
        <v>0</v>
      </c>
      <c r="G41" s="652">
        <f t="shared" si="11"/>
        <v>0</v>
      </c>
      <c r="H41" s="652">
        <f t="shared" si="11"/>
        <v>0</v>
      </c>
    </row>
    <row r="42" spans="1:8" s="161" customFormat="1" ht="17.25" customHeight="1">
      <c r="A42" s="647" t="s">
        <v>278</v>
      </c>
      <c r="B42" s="647" t="s">
        <v>279</v>
      </c>
      <c r="C42" s="648">
        <v>0</v>
      </c>
      <c r="D42" s="648">
        <v>0</v>
      </c>
      <c r="E42" s="648">
        <f t="array" ref="E42">SUM(IF(A42=KHN,TH))</f>
        <v>0</v>
      </c>
      <c r="F42" s="648">
        <f t="array" ref="F42">SUM(IF(A42=KHC,TH))</f>
        <v>0</v>
      </c>
      <c r="G42" s="648">
        <f t="shared" ref="G42:G44" si="12">MAX(C42+E42-D42-F42,0)</f>
        <v>0</v>
      </c>
      <c r="H42" s="648">
        <f t="shared" ref="H42:H44" si="13">MAX(D42+F42-E42-C42,0)</f>
        <v>0</v>
      </c>
    </row>
    <row r="43" spans="1:8" s="161" customFormat="1" ht="17.25" customHeight="1">
      <c r="A43" s="651" t="s">
        <v>280</v>
      </c>
      <c r="B43" s="651" t="s">
        <v>281</v>
      </c>
      <c r="C43" s="652">
        <f>C42</f>
        <v>0</v>
      </c>
      <c r="D43" s="652">
        <f>D42</f>
        <v>0</v>
      </c>
      <c r="E43" s="652">
        <f>E42</f>
        <v>0</v>
      </c>
      <c r="F43" s="652">
        <f>F42</f>
        <v>0</v>
      </c>
      <c r="G43" s="652">
        <f t="shared" si="12"/>
        <v>0</v>
      </c>
      <c r="H43" s="652">
        <f t="shared" si="13"/>
        <v>0</v>
      </c>
    </row>
    <row r="44" spans="1:8" s="161" customFormat="1" ht="17.25" hidden="1" customHeight="1">
      <c r="A44" s="647" t="s">
        <v>17</v>
      </c>
      <c r="B44" s="647" t="s">
        <v>68</v>
      </c>
      <c r="C44" s="648"/>
      <c r="D44" s="648"/>
      <c r="E44" s="648">
        <f t="array" ref="E44">SUM(IF(A44=KHN,TH))</f>
        <v>0</v>
      </c>
      <c r="F44" s="648">
        <f t="array" ref="F44">SUM(IF(A44=KHC,TH))</f>
        <v>0</v>
      </c>
      <c r="G44" s="648">
        <f t="shared" si="12"/>
        <v>0</v>
      </c>
      <c r="H44" s="648">
        <f t="shared" si="13"/>
        <v>0</v>
      </c>
    </row>
    <row r="45" spans="1:8" s="161" customFormat="1" ht="17.25" hidden="1" customHeight="1">
      <c r="A45" s="651" t="s">
        <v>69</v>
      </c>
      <c r="B45" s="651" t="s">
        <v>70</v>
      </c>
      <c r="C45" s="652">
        <f t="shared" ref="C45:H45" si="14">SUM(C44:C44)</f>
        <v>0</v>
      </c>
      <c r="D45" s="652">
        <f t="shared" si="14"/>
        <v>0</v>
      </c>
      <c r="E45" s="652">
        <f t="shared" si="14"/>
        <v>0</v>
      </c>
      <c r="F45" s="652">
        <f t="shared" si="14"/>
        <v>0</v>
      </c>
      <c r="G45" s="652">
        <f t="shared" si="14"/>
        <v>0</v>
      </c>
      <c r="H45" s="652">
        <f t="shared" si="14"/>
        <v>0</v>
      </c>
    </row>
    <row r="46" spans="1:8" s="161" customFormat="1" ht="17.25" customHeight="1">
      <c r="A46" s="647" t="s">
        <v>25</v>
      </c>
      <c r="B46" s="647" t="s">
        <v>71</v>
      </c>
      <c r="C46" s="648"/>
      <c r="D46" s="648"/>
      <c r="E46" s="648">
        <f t="array" ref="E46">SUM(IF(A46=KHN,TH))</f>
        <v>0</v>
      </c>
      <c r="F46" s="648">
        <f t="array" ref="F46">SUM(IF(A46=KHC,TH))</f>
        <v>0</v>
      </c>
      <c r="G46" s="649">
        <f>MAX(C46+E46-D46-F46,0)</f>
        <v>0</v>
      </c>
      <c r="H46" s="649">
        <f>MAX(D46+F46-E46-C46,0)</f>
        <v>0</v>
      </c>
    </row>
    <row r="47" spans="1:8" s="161" customFormat="1" ht="17.25" customHeight="1">
      <c r="A47" s="651" t="s">
        <v>72</v>
      </c>
      <c r="B47" s="651" t="s">
        <v>73</v>
      </c>
      <c r="C47" s="652">
        <v>0</v>
      </c>
      <c r="D47" s="652">
        <f>D46</f>
        <v>0</v>
      </c>
      <c r="E47" s="652">
        <f>E46</f>
        <v>0</v>
      </c>
      <c r="F47" s="652">
        <f>F46</f>
        <v>0</v>
      </c>
      <c r="G47" s="652">
        <f>MAX(C47+E47-D47-F47,0)</f>
        <v>0</v>
      </c>
      <c r="H47" s="652">
        <f>MAX(D47+F47-E47-C47,0)</f>
        <v>0</v>
      </c>
    </row>
    <row r="48" spans="1:8" s="161" customFormat="1" ht="17.25" customHeight="1">
      <c r="A48" s="646" t="s">
        <v>74</v>
      </c>
      <c r="B48" s="647" t="s">
        <v>75</v>
      </c>
      <c r="C48" s="648"/>
      <c r="D48" s="648"/>
      <c r="E48" s="648">
        <f t="array" ref="E48">SUM(IF(A48=KHN,TH))</f>
        <v>0</v>
      </c>
      <c r="F48" s="648">
        <f t="array" ref="F48">SUM(IF(A48=KHC,TH))</f>
        <v>0</v>
      </c>
      <c r="G48" s="649">
        <f>MAX(C48+E48-D48-F48,0)</f>
        <v>0</v>
      </c>
      <c r="H48" s="649">
        <f>MAX(D48+F48-E48-C48,0)</f>
        <v>0</v>
      </c>
    </row>
    <row r="49" spans="1:10" s="161" customFormat="1" ht="17.25" customHeight="1">
      <c r="A49" s="647" t="s">
        <v>76</v>
      </c>
      <c r="B49" s="647" t="s">
        <v>77</v>
      </c>
      <c r="C49" s="648"/>
      <c r="D49" s="648"/>
      <c r="E49" s="648">
        <f t="array" ref="E49">SUM(IF(A49=TH!$L$10:$L$2830,TH!$K$10:$K$2830))</f>
        <v>0</v>
      </c>
      <c r="F49" s="648">
        <f t="array" ref="F49">SUM(IF(A49=TH!$M$10:$M$2830,TH!$K$10:$K$2830))</f>
        <v>0</v>
      </c>
      <c r="G49" s="648">
        <f>MAX(C49+E49-D49-F49,0)</f>
        <v>0</v>
      </c>
      <c r="H49" s="648">
        <f>MAX(D49+F49-E49-C49,0)</f>
        <v>0</v>
      </c>
      <c r="J49" s="289"/>
    </row>
    <row r="50" spans="1:10" s="161" customFormat="1" ht="17.25" customHeight="1">
      <c r="A50" s="651" t="s">
        <v>78</v>
      </c>
      <c r="B50" s="651" t="s">
        <v>79</v>
      </c>
      <c r="C50" s="652">
        <f t="shared" ref="C50:H50" si="15">C49+C48</f>
        <v>0</v>
      </c>
      <c r="D50" s="652">
        <f t="shared" si="15"/>
        <v>0</v>
      </c>
      <c r="E50" s="652">
        <f t="shared" si="15"/>
        <v>0</v>
      </c>
      <c r="F50" s="652">
        <f t="shared" si="15"/>
        <v>0</v>
      </c>
      <c r="G50" s="652">
        <f t="shared" si="15"/>
        <v>0</v>
      </c>
      <c r="H50" s="652">
        <f t="shared" si="15"/>
        <v>0</v>
      </c>
    </row>
    <row r="51" spans="1:10" s="161" customFormat="1" ht="17.25" customHeight="1">
      <c r="A51" s="646" t="s">
        <v>181</v>
      </c>
      <c r="B51" s="647" t="s">
        <v>182</v>
      </c>
      <c r="C51" s="648"/>
      <c r="D51" s="648"/>
      <c r="E51" s="648">
        <f t="array" ref="E51">SUM(IF(A51=KHN,TH))</f>
        <v>0</v>
      </c>
      <c r="F51" s="648">
        <f t="array" ref="F51">SUM(IF(A51=KHC,TH))</f>
        <v>0</v>
      </c>
      <c r="G51" s="649"/>
      <c r="H51" s="649"/>
      <c r="I51" s="161">
        <f>E51-F51</f>
        <v>0</v>
      </c>
    </row>
    <row r="52" spans="1:10" s="161" customFormat="1" ht="17.25" customHeight="1">
      <c r="A52" s="651" t="s">
        <v>183</v>
      </c>
      <c r="B52" s="651" t="s">
        <v>184</v>
      </c>
      <c r="C52" s="652"/>
      <c r="D52" s="652"/>
      <c r="E52" s="652">
        <f>E51</f>
        <v>0</v>
      </c>
      <c r="F52" s="652">
        <f>F51</f>
        <v>0</v>
      </c>
      <c r="G52" s="652"/>
      <c r="H52" s="652"/>
      <c r="I52" s="161">
        <f>E52-F52</f>
        <v>0</v>
      </c>
    </row>
    <row r="53" spans="1:10" s="161" customFormat="1" ht="17.25" customHeight="1">
      <c r="A53" s="651" t="s">
        <v>40</v>
      </c>
      <c r="B53" s="651" t="s">
        <v>80</v>
      </c>
      <c r="C53" s="652"/>
      <c r="D53" s="652"/>
      <c r="E53" s="653">
        <f t="array" ref="E53">SUM(IF(A53=KHN,TH))</f>
        <v>0</v>
      </c>
      <c r="F53" s="653">
        <f t="array" ref="F53">SUM(IF(A53=KHC,TH))</f>
        <v>0</v>
      </c>
      <c r="G53" s="652"/>
      <c r="H53" s="652"/>
      <c r="I53" s="161">
        <f t="shared" ref="I53:I61" si="16">E53-F53</f>
        <v>0</v>
      </c>
    </row>
    <row r="54" spans="1:10" s="161" customFormat="1" ht="17.25" customHeight="1">
      <c r="A54" s="651" t="s">
        <v>179</v>
      </c>
      <c r="B54" s="651" t="s">
        <v>180</v>
      </c>
      <c r="C54" s="652"/>
      <c r="D54" s="652"/>
      <c r="E54" s="653">
        <f t="array" ref="E54">SUM(IF(A54=KHN,TH))</f>
        <v>0</v>
      </c>
      <c r="F54" s="653">
        <f t="array" ref="F54">SUM(IF(A54=KHC,TH))</f>
        <v>0</v>
      </c>
      <c r="G54" s="652"/>
      <c r="H54" s="652"/>
      <c r="I54" s="161">
        <f t="shared" si="16"/>
        <v>0</v>
      </c>
    </row>
    <row r="55" spans="1:10" s="161" customFormat="1" ht="17.25" customHeight="1">
      <c r="A55" s="651" t="s">
        <v>81</v>
      </c>
      <c r="B55" s="651" t="s">
        <v>82</v>
      </c>
      <c r="C55" s="652"/>
      <c r="D55" s="652"/>
      <c r="E55" s="653">
        <f t="array" ref="E55">SUM(IF(A55=KHN,TH))</f>
        <v>0</v>
      </c>
      <c r="F55" s="653">
        <f t="array" ref="F55">SUM(IF(A55=KHC,TH))</f>
        <v>0</v>
      </c>
      <c r="G55" s="652"/>
      <c r="H55" s="652"/>
      <c r="I55" s="161">
        <f t="shared" si="16"/>
        <v>0</v>
      </c>
    </row>
    <row r="56" spans="1:10" s="161" customFormat="1" ht="17.25" customHeight="1">
      <c r="A56" s="660" t="s">
        <v>277</v>
      </c>
      <c r="B56" s="651" t="s">
        <v>350</v>
      </c>
      <c r="C56" s="652"/>
      <c r="D56" s="652"/>
      <c r="E56" s="653">
        <f t="array" ref="E56">SUM(IF(A56=KHN,TH))</f>
        <v>0</v>
      </c>
      <c r="F56" s="653">
        <f t="array" ref="F56">SUM(IF(A56=KHC,TH))</f>
        <v>0</v>
      </c>
      <c r="G56" s="652"/>
      <c r="H56" s="652"/>
      <c r="I56" s="161">
        <f>E56-F56</f>
        <v>0</v>
      </c>
    </row>
    <row r="57" spans="1:10" s="161" customFormat="1" ht="17.25" customHeight="1">
      <c r="A57" s="651" t="s">
        <v>83</v>
      </c>
      <c r="B57" s="651" t="s">
        <v>84</v>
      </c>
      <c r="C57" s="652"/>
      <c r="D57" s="652"/>
      <c r="E57" s="653">
        <f t="array" ref="E57">SUM(IF(A57=KHN,TH))</f>
        <v>0</v>
      </c>
      <c r="F57" s="653">
        <f t="array" ref="F57">SUM(IF(A57=KHC,TH))</f>
        <v>0</v>
      </c>
      <c r="G57" s="652"/>
      <c r="H57" s="652"/>
      <c r="I57" s="161">
        <f t="shared" si="16"/>
        <v>0</v>
      </c>
    </row>
    <row r="58" spans="1:10" s="161" customFormat="1" ht="17.25" customHeight="1">
      <c r="A58" s="660" t="s">
        <v>85</v>
      </c>
      <c r="B58" s="651" t="s">
        <v>86</v>
      </c>
      <c r="C58" s="652"/>
      <c r="D58" s="652"/>
      <c r="E58" s="653">
        <f t="array" ref="E58">SUM(IF(A58=KHN,TH))</f>
        <v>0</v>
      </c>
      <c r="F58" s="653">
        <f t="array" ref="F58">SUM(IF(A58=KHC,TH))</f>
        <v>0</v>
      </c>
      <c r="G58" s="652"/>
      <c r="H58" s="652"/>
      <c r="I58" s="161">
        <f t="shared" si="16"/>
        <v>0</v>
      </c>
    </row>
    <row r="59" spans="1:10" s="161" customFormat="1" ht="17.25" customHeight="1">
      <c r="A59" s="651" t="s">
        <v>87</v>
      </c>
      <c r="B59" s="651" t="s">
        <v>88</v>
      </c>
      <c r="C59" s="652"/>
      <c r="D59" s="652"/>
      <c r="E59" s="653">
        <f t="array" ref="E59">SUM(IF(A59=KHN,TH))</f>
        <v>0</v>
      </c>
      <c r="F59" s="653">
        <f t="array" ref="F59">SUM(IF(A59=KHC,TH))</f>
        <v>0</v>
      </c>
      <c r="G59" s="652"/>
      <c r="H59" s="652"/>
      <c r="I59" s="161">
        <f t="shared" si="16"/>
        <v>0</v>
      </c>
    </row>
    <row r="60" spans="1:10" s="161" customFormat="1" ht="17.25" customHeight="1">
      <c r="A60" s="660" t="s">
        <v>89</v>
      </c>
      <c r="B60" s="651" t="s">
        <v>90</v>
      </c>
      <c r="C60" s="652"/>
      <c r="D60" s="652"/>
      <c r="E60" s="653">
        <f t="array" ref="E60">SUM(IF(A60=KHN,TH))</f>
        <v>0</v>
      </c>
      <c r="F60" s="653">
        <f t="array" ref="F60">SUM(IF(A60=KHC,TH))</f>
        <v>0</v>
      </c>
      <c r="G60" s="652"/>
      <c r="H60" s="652"/>
      <c r="I60" s="161">
        <f t="shared" si="16"/>
        <v>0</v>
      </c>
    </row>
    <row r="61" spans="1:10" s="161" customFormat="1" ht="17.25" customHeight="1">
      <c r="A61" s="651" t="s">
        <v>91</v>
      </c>
      <c r="B61" s="651" t="s">
        <v>92</v>
      </c>
      <c r="C61" s="652"/>
      <c r="D61" s="652"/>
      <c r="E61" s="664">
        <f t="array" ref="E61">SUM(IF(A61=KHN,TH))</f>
        <v>0</v>
      </c>
      <c r="F61" s="664">
        <f t="array" ref="F61">SUM(IF(A61=TH!$M$10:$M$2830,TH!$K$10:$K$2830))</f>
        <v>0</v>
      </c>
      <c r="G61" s="652"/>
      <c r="H61" s="652"/>
      <c r="I61" s="161">
        <f t="shared" si="16"/>
        <v>0</v>
      </c>
    </row>
    <row r="62" spans="1:10" s="161" customFormat="1" ht="17.25" customHeight="1">
      <c r="A62" s="900" t="s">
        <v>39</v>
      </c>
      <c r="B62" s="901"/>
      <c r="C62" s="665">
        <f>C11+C13+C14+C16+C18+C22+C23+C24+C25+C29+C34+C35+C41+C43+C45+C47+C50+C52+C53+C54+C55+C56+C57+C58+C59+C60+C61+C23+C31+C19</f>
        <v>0</v>
      </c>
      <c r="D62" s="665">
        <f t="shared" ref="D62:H62" si="17">D11+D13+D14+D16+D18+D22+D23+D24+D25+D29+D34+D35+D41+D43+D45+D47+D50+D52+D53+D54+D55+D56+D57+D58+D59+D60+D61+D23+D31+D19</f>
        <v>0</v>
      </c>
      <c r="E62" s="665">
        <f t="shared" si="17"/>
        <v>0</v>
      </c>
      <c r="F62" s="665">
        <f t="shared" si="17"/>
        <v>0</v>
      </c>
      <c r="G62" s="665">
        <f t="shared" si="17"/>
        <v>0</v>
      </c>
      <c r="H62" s="665">
        <f t="shared" si="17"/>
        <v>0</v>
      </c>
    </row>
    <row r="63" spans="1:10">
      <c r="E63" s="666"/>
      <c r="F63" s="667"/>
    </row>
    <row r="64" spans="1:10">
      <c r="E64" s="667"/>
      <c r="H64" s="667">
        <f>G62-H62</f>
        <v>0</v>
      </c>
    </row>
    <row r="65" spans="5:6">
      <c r="E65" s="668"/>
      <c r="F65" s="668"/>
    </row>
    <row r="66" spans="5:6">
      <c r="E66" s="668"/>
      <c r="F66" s="668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40"/>
  <sheetViews>
    <sheetView tabSelected="1" topLeftCell="B7" workbookViewId="0">
      <pane ySplit="3" topLeftCell="A13" activePane="bottomLeft" state="frozen"/>
      <selection activeCell="A7" sqref="A7"/>
      <selection pane="bottomLeft" activeCell="F26" sqref="F26"/>
    </sheetView>
  </sheetViews>
  <sheetFormatPr defaultRowHeight="12.75"/>
  <cols>
    <col min="1" max="1" width="4.5703125" style="200" hidden="1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96" customWidth="1"/>
    <col min="8" max="8" width="34.85546875" style="840" customWidth="1"/>
    <col min="9" max="9" width="7.85546875" style="840" customWidth="1"/>
    <col min="10" max="10" width="8.85546875" style="840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947</v>
      </c>
      <c r="B1" s="31"/>
      <c r="C1" s="31"/>
      <c r="D1" s="32"/>
      <c r="E1" s="32"/>
      <c r="F1" s="33"/>
      <c r="G1" s="49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946</v>
      </c>
      <c r="B2" s="31"/>
      <c r="C2" s="31"/>
      <c r="D2" s="32"/>
      <c r="E2" s="32"/>
      <c r="F2" s="32"/>
      <c r="G2" s="49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05" t="s">
        <v>93</v>
      </c>
      <c r="D4" s="905"/>
      <c r="E4" s="905"/>
      <c r="F4" s="905"/>
      <c r="G4" s="905"/>
      <c r="H4" s="905"/>
      <c r="I4" s="905"/>
      <c r="J4" s="905"/>
      <c r="K4" s="905"/>
      <c r="L4" s="905"/>
      <c r="M4" s="905"/>
    </row>
    <row r="5" spans="1:27" ht="14.25">
      <c r="B5" s="42"/>
      <c r="C5" s="906"/>
      <c r="D5" s="906"/>
      <c r="E5" s="906"/>
      <c r="F5" s="906"/>
      <c r="G5" s="906"/>
      <c r="H5" s="906"/>
      <c r="I5" s="906"/>
      <c r="J5" s="906"/>
      <c r="K5" s="906"/>
      <c r="L5" s="906"/>
      <c r="M5" s="906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19" t="s">
        <v>117</v>
      </c>
      <c r="B7" s="921" t="s">
        <v>101</v>
      </c>
      <c r="C7" s="907" t="s">
        <v>20</v>
      </c>
      <c r="D7" s="908" t="s">
        <v>1</v>
      </c>
      <c r="E7" s="909"/>
      <c r="F7" s="907" t="s">
        <v>0</v>
      </c>
      <c r="G7" s="911" t="s">
        <v>116</v>
      </c>
      <c r="H7" s="923" t="s">
        <v>44</v>
      </c>
      <c r="I7" s="928" t="s">
        <v>273</v>
      </c>
      <c r="J7" s="929"/>
      <c r="K7" s="907" t="s">
        <v>157</v>
      </c>
      <c r="L7" s="910" t="s">
        <v>94</v>
      </c>
      <c r="M7" s="910"/>
      <c r="N7" s="926" t="s">
        <v>587</v>
      </c>
      <c r="O7" s="913" t="s">
        <v>47</v>
      </c>
      <c r="P7" s="914"/>
      <c r="Q7" s="915"/>
      <c r="R7" s="913" t="s">
        <v>51</v>
      </c>
      <c r="S7" s="914"/>
      <c r="T7" s="915"/>
      <c r="U7" s="926" t="s">
        <v>586</v>
      </c>
      <c r="V7" s="924" t="str">
        <f>CTTK!$E$7</f>
        <v>642</v>
      </c>
      <c r="W7" s="904" t="s">
        <v>163</v>
      </c>
      <c r="X7" s="904"/>
      <c r="Y7" s="904"/>
      <c r="Z7" s="904" t="s">
        <v>372</v>
      </c>
      <c r="AA7" s="853"/>
    </row>
    <row r="8" spans="1:27" ht="24.75" customHeight="1">
      <c r="A8" s="920"/>
      <c r="B8" s="922"/>
      <c r="C8" s="907"/>
      <c r="D8" s="886" t="s">
        <v>15</v>
      </c>
      <c r="E8" s="885" t="s">
        <v>32</v>
      </c>
      <c r="F8" s="907"/>
      <c r="G8" s="912"/>
      <c r="H8" s="923"/>
      <c r="I8" s="888" t="s">
        <v>210</v>
      </c>
      <c r="J8" s="888" t="s">
        <v>211</v>
      </c>
      <c r="K8" s="907"/>
      <c r="L8" s="887" t="s">
        <v>22</v>
      </c>
      <c r="M8" s="887" t="s">
        <v>23</v>
      </c>
      <c r="N8" s="927"/>
      <c r="O8" s="916"/>
      <c r="P8" s="917"/>
      <c r="Q8" s="918"/>
      <c r="R8" s="916"/>
      <c r="S8" s="917"/>
      <c r="T8" s="918"/>
      <c r="U8" s="927"/>
      <c r="V8" s="925"/>
      <c r="W8" s="904"/>
      <c r="X8" s="904"/>
      <c r="Y8" s="904"/>
      <c r="Z8" s="904"/>
      <c r="AA8" s="853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54"/>
    </row>
    <row r="10" spans="1:27" s="705" customFormat="1" ht="15.75" customHeight="1">
      <c r="A10" s="897" t="str">
        <f>IF(B10&lt;&gt;"",IF(AND(B10&gt;=_TM1,B10&lt;=_TM2,OR(TH!L10="1111",TH!M10="1111")),TH!D10,""),"")</f>
        <v/>
      </c>
      <c r="B10" s="704">
        <f t="shared" ref="B10:B24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5"/>
    </row>
    <row r="11" spans="1:27" s="705" customFormat="1" ht="15.75" customHeight="1">
      <c r="A11" s="897" t="str">
        <f>IF(B11&lt;&gt;"",IF(AND(B11&gt;=_TM1,B11&lt;=_TM2,OR(TH!L11="1111",TH!M11="1111")),TH!D11,""),"")</f>
        <v/>
      </c>
      <c r="B11" s="704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296</v>
      </c>
      <c r="G11" s="49"/>
      <c r="H11" s="50"/>
      <c r="I11" s="251"/>
      <c r="J11" s="251"/>
      <c r="K11" s="51">
        <f>SUMIF(KHC,L11,TH)</f>
        <v>0</v>
      </c>
      <c r="L11" s="53" t="s">
        <v>524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5"/>
    </row>
    <row r="12" spans="1:27" s="705" customFormat="1" ht="15.75" customHeight="1">
      <c r="A12" s="897" t="str">
        <f>IF(B12&lt;&gt;"",IF(AND(B12&gt;=_TM1,B12&lt;=_TM2,OR(TH!L12="1111",TH!M12="1111")),TH!D12,""),"")</f>
        <v/>
      </c>
      <c r="B12" s="704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297</v>
      </c>
      <c r="G12" s="49"/>
      <c r="H12" s="50"/>
      <c r="I12" s="251"/>
      <c r="J12" s="251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5"/>
    </row>
    <row r="13" spans="1:27" s="705" customFormat="1" ht="15.75" customHeight="1">
      <c r="A13" s="897" t="str">
        <f>IF(B13&lt;&gt;"",IF(AND(B13&gt;=_TM1,B13&lt;=_TM2,OR(TH!L13="1111",TH!M13="1111")),TH!D13,""),"")</f>
        <v/>
      </c>
      <c r="B13" s="704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5"/>
    </row>
    <row r="14" spans="1:27" s="705" customFormat="1" ht="15.75" customHeight="1">
      <c r="A14" s="897" t="str">
        <f>IF(B14&lt;&gt;"",IF(AND(B14&gt;=_TM1,B14&lt;=_TM2,OR(TH!L14="1111",TH!M14="1111")),TH!D14,""),"")</f>
        <v/>
      </c>
      <c r="B14" s="704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923</v>
      </c>
      <c r="G14" s="49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5"/>
    </row>
    <row r="15" spans="1:27" s="705" customFormat="1" ht="15.75" customHeight="1">
      <c r="A15" s="897" t="str">
        <f>IF(B15&lt;&gt;"",IF(AND(B15&gt;=_TM1,B15&lt;=_TM2,OR(TH!L15="1111",TH!M15="1111")),TH!D15,""),"")</f>
        <v/>
      </c>
      <c r="B15" s="704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298</v>
      </c>
      <c r="G15" s="49"/>
      <c r="H15" s="50"/>
      <c r="I15" s="251"/>
      <c r="J15" s="251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5"/>
    </row>
    <row r="16" spans="1:27" s="705" customFormat="1" ht="15.75" customHeight="1">
      <c r="A16" s="897" t="str">
        <f>IF(B16&lt;&gt;"",IF(AND(B16&gt;=_TM1,B16&lt;=_TM2,OR(TH!L16="1111",TH!M16="1111")),TH!D16,""),"")</f>
        <v/>
      </c>
      <c r="B16" s="704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1"/>
      <c r="J16" s="251"/>
      <c r="K16" s="51">
        <f>SUMIF(KHN,M16,TH)</f>
        <v>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5"/>
    </row>
    <row r="17" spans="1:30" s="705" customFormat="1" ht="15.75" customHeight="1">
      <c r="A17" s="897" t="str">
        <f>IF(B17&lt;&gt;"",IF(AND(B17&gt;=_TM1,B17&lt;=_TM2,OR(TH!L17="1111",TH!M17="1111")),TH!D17,""),"")</f>
        <v/>
      </c>
      <c r="B17" s="704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1"/>
      <c r="J17" s="251"/>
      <c r="K17" s="51">
        <f>SUMIF(KHC,L17,TH)</f>
        <v>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5"/>
    </row>
    <row r="18" spans="1:30" s="705" customFormat="1" ht="15.75" customHeight="1">
      <c r="A18" s="897" t="str">
        <f>IF(B18&lt;&gt;"",IF(AND(B18&gt;=_TM1,B18&lt;=_TM2,OR(TH!L18="1111",TH!M18="1111")),TH!D18,""),"")</f>
        <v/>
      </c>
      <c r="B18" s="704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351</v>
      </c>
      <c r="G18" s="49"/>
      <c r="H18" s="50"/>
      <c r="I18" s="251"/>
      <c r="J18" s="251"/>
      <c r="K18" s="51">
        <f>SUMIF(KHC,L18,TH)</f>
        <v>0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5"/>
    </row>
    <row r="19" spans="1:30" s="705" customFormat="1" ht="15.75" customHeight="1">
      <c r="A19" s="897" t="str">
        <f>IF(B19&lt;&gt;"",IF(AND(B19&gt;=_TM1,B19&lt;=_TM2,OR(TH!L19="1111",TH!M19="1111")),TH!D19,""),"")</f>
        <v/>
      </c>
      <c r="B19" s="704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1"/>
      <c r="J19" s="251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5"/>
    </row>
    <row r="20" spans="1:30" s="705" customFormat="1" ht="15.75" customHeight="1">
      <c r="A20" s="897" t="str">
        <f>IF(B20&lt;&gt;"",IF(AND(B20&gt;=_TM1,B20&lt;=_TM2,OR(TH!L20="1111",TH!M20="1111")),TH!D20,""),"")</f>
        <v/>
      </c>
      <c r="B20" s="704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1"/>
      <c r="J20" s="251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5"/>
    </row>
    <row r="21" spans="1:30" s="705" customFormat="1" ht="15.75" customHeight="1">
      <c r="A21" s="897" t="str">
        <f>IF(B21&lt;&gt;"",IF(AND(B21&gt;=_TM1,B21&lt;=_TM2,OR(TH!L21="1111",TH!M21="1111")),TH!D21,""),"")</f>
        <v/>
      </c>
      <c r="B21" s="704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922</v>
      </c>
      <c r="G21" s="49"/>
      <c r="H21" s="50"/>
      <c r="I21" s="251"/>
      <c r="J21" s="251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5"/>
    </row>
    <row r="22" spans="1:30" s="705" customFormat="1" ht="15.75" customHeight="1">
      <c r="A22" s="897" t="str">
        <f>IF(B22&lt;&gt;"",IF(AND(B22&gt;=_TM1,B22&lt;=_TM2,OR(TH!L22="1111",TH!M22="1111")),TH!D22,""),"")</f>
        <v/>
      </c>
      <c r="B22" s="704" t="str">
        <f t="shared" si="0"/>
        <v/>
      </c>
      <c r="C22" s="48"/>
      <c r="D22" s="48"/>
      <c r="E22" s="48"/>
      <c r="F22" s="49" t="s">
        <v>921</v>
      </c>
      <c r="G22" s="49"/>
      <c r="H22" s="50"/>
      <c r="I22" s="251"/>
      <c r="J22" s="251"/>
      <c r="K22" s="51"/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5"/>
    </row>
    <row r="23" spans="1:30" s="705" customFormat="1" ht="15.75" customHeight="1">
      <c r="A23" s="897" t="str">
        <f>IF(B23&lt;&gt;"",IF(AND(B23&gt;=_TM1,B23&lt;=_TM2,OR(TH!L23="1111",TH!M23="1111")),TH!D23,""),"")</f>
        <v/>
      </c>
      <c r="B23" s="704" t="str">
        <f t="shared" si="0"/>
        <v/>
      </c>
      <c r="C23" s="48"/>
      <c r="D23" s="48"/>
      <c r="E23" s="48"/>
      <c r="F23" s="49" t="s">
        <v>919</v>
      </c>
      <c r="G23" s="49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5"/>
    </row>
    <row r="24" spans="1:30" s="705" customFormat="1" ht="15.75" customHeight="1">
      <c r="A24" s="897" t="str">
        <f>IF(B24&lt;&gt;"",IF(AND(B24&gt;=_TM1,B24&lt;=_TM2,OR(TH!L24="1111",TH!M24="1111")),TH!D24,""),"")</f>
        <v/>
      </c>
      <c r="B24" s="704" t="str">
        <f t="shared" si="0"/>
        <v/>
      </c>
      <c r="C24" s="48"/>
      <c r="D24" s="48"/>
      <c r="E24" s="48"/>
      <c r="F24" s="49" t="s">
        <v>920</v>
      </c>
      <c r="G24" s="49"/>
      <c r="H24" s="50"/>
      <c r="I24" s="251"/>
      <c r="J24" s="2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5"/>
    </row>
    <row r="25" spans="1:30" s="598" customFormat="1" ht="15.75" customHeight="1">
      <c r="A25" s="199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3">
        <f>E25</f>
        <v>0</v>
      </c>
      <c r="D25" s="183"/>
      <c r="E25" s="183"/>
      <c r="F25" s="188"/>
      <c r="G25" s="608"/>
      <c r="H25" s="192"/>
      <c r="I25" s="253"/>
      <c r="J25" s="253"/>
      <c r="K25" s="51"/>
      <c r="L25" s="607"/>
      <c r="M25" s="607"/>
      <c r="N25" s="39" t="str">
        <f>IF(AND('331-CT'!$E$7=TH!H25,OR(L25="331",M25="331")),"331",IF(AND(OR(L25="131",M25="131"),H25='131-CT'!$E$7),"131",""))</f>
        <v/>
      </c>
      <c r="O25" s="39" t="str">
        <f>IF(AND($B25&gt;='111'!$N$11,$B25&lt;='111'!$O$11,OR($L25=$O$7,$M25=$O$7)),"x","")</f>
        <v/>
      </c>
      <c r="P25" s="39" t="str">
        <f>IF(AND($L25=$O$7,$B25&lt;'111'!$N$11),"x","")</f>
        <v/>
      </c>
      <c r="Q25" s="39" t="str">
        <f>IF(AND($M25=$O$7,$B25&lt;'111'!$N$11),"x","")</f>
        <v/>
      </c>
      <c r="R25" s="39" t="str">
        <f>IF(ISERROR(FIND('112'!$M$9,G25,1)),"",IF((AND(FIND('112'!$M$9,G25,1)&gt;=1,$B25&gt;='112'!$N$8,$B25&lt;='112'!$O$8,OR($L25='112'!$I$6,$M25='112'!$I$6))),"x",""))</f>
        <v/>
      </c>
      <c r="S25" s="39" t="str">
        <f>IF(ISERROR(FIND('112'!$M$9,G25,1)),"",IF((AND(LEFT(G25,2)=LEFT('112'!$M$9,2),B25&lt;'112'!$N$8,$L25='112'!$I$6)),"x",""))</f>
        <v/>
      </c>
      <c r="T25" s="39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39" t="str">
        <f>IF(OR(TH!L25=TH!$V$7,M25=TH!$V$7),"x","")</f>
        <v/>
      </c>
      <c r="W25" s="39" t="str">
        <f>IF(AND(B25&gt;='IN-NX'!$P$3,B25&lt;='IN-NX'!$Q$3,'IN-NX'!$D$7=D25,OR(LEFT(L25,2)="15",AND(LEFT(M25,2)&lt;&gt;"15",LEFT(M25,2)&lt;&gt;"33"))),"x","")</f>
        <v/>
      </c>
      <c r="X25" s="39" t="str">
        <f>IF(AND(OR(LEFT(TH!L25,2)="15",LEFT(TH!M25,2)="15"),'152-CT'!$J$8=TH!F25),"x","")</f>
        <v/>
      </c>
      <c r="Y25" s="39" t="str">
        <f>IF(AND(OR(LEFT(TH!L25,2)="15",LEFT(TH!M25,2)="15"),TK!$E$7=TH!F25),"x","")</f>
        <v/>
      </c>
      <c r="Z25" s="39" t="str">
        <f>IF(AND(B25&lt;=NKC!$N$8,B25&gt;=NKC!$M$8),"x","")</f>
        <v/>
      </c>
      <c r="AA25" s="894"/>
    </row>
    <row r="26" spans="1:30" s="598" customFormat="1" ht="15.75" customHeight="1">
      <c r="A26" s="199" t="str">
        <f>IF(B26&lt;&gt;"",IF(AND(B26&gt;=_TM1,B26&lt;=_TM2,OR(TH!L26="1111",TH!M26="1111")),TH!D26,""),"")</f>
        <v/>
      </c>
      <c r="B26" s="36">
        <f t="shared" si="3"/>
        <v>1</v>
      </c>
      <c r="C26" s="183">
        <f t="shared" ref="C26:C89" si="4">E26</f>
        <v>0</v>
      </c>
      <c r="D26" s="183"/>
      <c r="E26" s="183"/>
      <c r="F26" s="188"/>
      <c r="G26" s="608"/>
      <c r="H26" s="192"/>
      <c r="I26" s="253"/>
      <c r="J26" s="253"/>
      <c r="K26" s="606"/>
      <c r="L26" s="607"/>
      <c r="M26" s="607"/>
      <c r="N26" s="39" t="str">
        <f>IF(AND('331-CT'!$E$7=TH!H26,OR(L26="331",M26="331")),"331",IF(AND(OR(L26="131",M26="131"),H26='131-CT'!$E$7),"131",""))</f>
        <v/>
      </c>
      <c r="O26" s="39" t="str">
        <f>IF(AND($B26&gt;='111'!$N$11,$B26&lt;='111'!$O$11,OR($L26=$O$7,$M26=$O$7)),"x","")</f>
        <v/>
      </c>
      <c r="P26" s="39" t="str">
        <f>IF(AND($L26=$O$7,$B26&lt;'111'!$N$11),"x","")</f>
        <v/>
      </c>
      <c r="Q26" s="39" t="str">
        <f>IF(AND($M26=$O$7,$B26&lt;'111'!$N$11),"x","")</f>
        <v/>
      </c>
      <c r="R26" s="39" t="str">
        <f>IF(ISERROR(FIND('112'!$M$9,G26,1)),"",IF((AND(FIND('112'!$M$9,G26,1)&gt;=1,$B26&gt;='112'!$N$8,$B26&lt;='112'!$O$8,OR($L26='112'!$I$6,$M26='112'!$I$6))),"x",""))</f>
        <v/>
      </c>
      <c r="S26" s="39" t="str">
        <f>IF(ISERROR(FIND('112'!$M$9,G26,1)),"",IF((AND(LEFT(G26,2)=LEFT('112'!$M$9,2),B26&lt;'112'!$N$8,$L26='112'!$I$6)),"x",""))</f>
        <v/>
      </c>
      <c r="T26" s="39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39" t="str">
        <f>IF(OR(TH!L26=TH!$V$7,M26=TH!$V$7),"x","")</f>
        <v/>
      </c>
      <c r="W26" s="39" t="str">
        <f>IF(AND(B26&gt;='IN-NX'!$P$3,B26&lt;='IN-NX'!$Q$3,'IN-NX'!$D$7=D26,OR(LEFT(L26,2)="15",AND(LEFT(M26,2)&lt;&gt;"15",LEFT(M26,2)&lt;&gt;"33"))),"x","")</f>
        <v/>
      </c>
      <c r="X26" s="39" t="str">
        <f>IF(AND(OR(LEFT(TH!L26,2)="15",LEFT(TH!M26,2)="15"),'152-CT'!$J$8=TH!F26),"x","")</f>
        <v/>
      </c>
      <c r="Y26" s="39" t="str">
        <f>IF(AND(OR(LEFT(TH!L26,2)="15",LEFT(TH!M26,2)="15"),TK!$E$7=TH!F26),"x","")</f>
        <v/>
      </c>
      <c r="Z26" s="39" t="str">
        <f>IF(AND(B26&lt;=NKC!$N$8,B26&gt;=NKC!$M$8),"x","")</f>
        <v/>
      </c>
      <c r="AA26" s="894"/>
    </row>
    <row r="27" spans="1:30" s="598" customFormat="1" ht="15.75" customHeight="1">
      <c r="A27" s="199" t="str">
        <f>IF(B27&lt;&gt;"",IF(AND(B27&gt;=_TM1,B27&lt;=_TM2,OR(TH!L27="1111",TH!M27="1111")),TH!D27,""),"")</f>
        <v/>
      </c>
      <c r="B27" s="36">
        <f t="shared" si="3"/>
        <v>1</v>
      </c>
      <c r="C27" s="183">
        <f t="shared" si="4"/>
        <v>0</v>
      </c>
      <c r="D27" s="183"/>
      <c r="E27" s="183"/>
      <c r="F27" s="188"/>
      <c r="G27" s="489"/>
      <c r="H27" s="192"/>
      <c r="I27" s="253"/>
      <c r="J27" s="253"/>
      <c r="K27" s="606"/>
      <c r="L27" s="607"/>
      <c r="M27" s="607"/>
      <c r="N27" s="39" t="str">
        <f>IF(AND('331-CT'!$E$7=TH!H27,OR(L27="331",M27="331")),"331",IF(AND(OR(L27="131",M27="131"),H27='131-CT'!$E$7),"131",""))</f>
        <v/>
      </c>
      <c r="O27" s="39" t="str">
        <f>IF(AND($B27&gt;='111'!$N$11,$B27&lt;='111'!$O$11,OR($L27=$O$7,$M27=$O$7)),"x","")</f>
        <v/>
      </c>
      <c r="P27" s="39" t="str">
        <f>IF(AND($L27=$O$7,$B27&lt;'111'!$N$11),"x","")</f>
        <v/>
      </c>
      <c r="Q27" s="39" t="str">
        <f>IF(AND($M27=$O$7,$B27&lt;'111'!$N$11),"x","")</f>
        <v/>
      </c>
      <c r="R27" s="39" t="str">
        <f>IF(ISERROR(FIND('112'!$M$9,G27,1)),"",IF((AND(FIND('112'!$M$9,G27,1)&gt;=1,$B27&gt;='112'!$N$8,$B27&lt;='112'!$O$8,OR($L27='112'!$I$6,$M27='112'!$I$6))),"x",""))</f>
        <v/>
      </c>
      <c r="S27" s="39" t="str">
        <f>IF(ISERROR(FIND('112'!$M$9,G27,1)),"",IF((AND(LEFT(G27,2)=LEFT('112'!$M$9,2),B27&lt;'112'!$N$8,$L27='112'!$I$6)),"x",""))</f>
        <v/>
      </c>
      <c r="T27" s="39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39" t="str">
        <f>IF(OR(TH!L27=TH!$V$7,M27=TH!$V$7),"x","")</f>
        <v/>
      </c>
      <c r="W27" s="39" t="str">
        <f>IF(AND(B27&gt;='IN-NX'!$P$3,B27&lt;='IN-NX'!$Q$3,'IN-NX'!$D$7=D27,OR(LEFT(L27,2)="15",AND(LEFT(M27,2)&lt;&gt;"15",LEFT(M27,2)&lt;&gt;"33"))),"x","")</f>
        <v/>
      </c>
      <c r="X27" s="39" t="str">
        <f>IF(AND(OR(LEFT(TH!L27,2)="15",LEFT(TH!M27,2)="15"),'152-CT'!$J$8=TH!F27),"x","")</f>
        <v/>
      </c>
      <c r="Y27" s="39" t="str">
        <f>IF(AND(OR(LEFT(TH!L27,2)="15",LEFT(TH!M27,2)="15"),TK!$E$7=TH!F27),"x","")</f>
        <v/>
      </c>
      <c r="Z27" s="39" t="str">
        <f>IF(AND(B27&lt;=NKC!$N$8,B27&gt;=NKC!$M$8),"x","")</f>
        <v/>
      </c>
      <c r="AA27" s="894"/>
    </row>
    <row r="28" spans="1:30" ht="15.75" customHeight="1">
      <c r="A28" s="199" t="str">
        <f>IF(B28&lt;&gt;"",IF(AND(B28&gt;=_TM1,B28&lt;=_TM2,OR(TH!L28="1111",TH!M28="1111")),TH!D28,""),"")</f>
        <v/>
      </c>
      <c r="B28" s="36">
        <f t="shared" si="3"/>
        <v>1</v>
      </c>
      <c r="C28" s="183">
        <f t="shared" si="4"/>
        <v>0</v>
      </c>
      <c r="D28" s="183"/>
      <c r="E28" s="183"/>
      <c r="F28" s="188"/>
      <c r="G28" s="489"/>
      <c r="H28" s="192"/>
      <c r="I28" s="253"/>
      <c r="J28" s="253"/>
      <c r="K28" s="606"/>
      <c r="L28" s="607"/>
      <c r="M28" s="607"/>
      <c r="N28" s="39" t="str">
        <f>IF(AND('331-CT'!$E$7=TH!H28,OR(L28="331",M28="331")),"331",IF(AND(OR(L28="131",M28="131"),H28='131-CT'!$E$7),"131",""))</f>
        <v/>
      </c>
      <c r="O28" s="39" t="str">
        <f>IF(AND($B28&gt;='111'!$N$11,$B28&lt;='111'!$O$11,OR($L28=$O$7,$M28=$O$7)),"x","")</f>
        <v/>
      </c>
      <c r="P28" s="39" t="str">
        <f>IF(AND($L28=$O$7,$B28&lt;'111'!$N$11),"x","")</f>
        <v/>
      </c>
      <c r="Q28" s="39" t="str">
        <f>IF(AND($M28=$O$7,$B28&lt;'111'!$N$11),"x","")</f>
        <v/>
      </c>
      <c r="R28" s="39" t="str">
        <f>IF(ISERROR(FIND('112'!$M$9,G28,1)),"",IF((AND(FIND('112'!$M$9,G28,1)&gt;=1,$B28&gt;='112'!$N$8,$B28&lt;='112'!$O$8,OR($L28='112'!$I$6,$M28='112'!$I$6))),"x",""))</f>
        <v/>
      </c>
      <c r="S28" s="39" t="str">
        <f>IF(ISERROR(FIND('112'!$M$9,G28,1)),"",IF((AND(LEFT(G28,2)=LEFT('112'!$M$9,2),B28&lt;'112'!$N$8,$L28='112'!$I$6)),"x",""))</f>
        <v/>
      </c>
      <c r="T28" s="39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39" t="str">
        <f>IF(OR(TH!L28=TH!$V$7,M28=TH!$V$7),"x","")</f>
        <v/>
      </c>
      <c r="W28" s="39" t="str">
        <f>IF(AND(B28&gt;='IN-NX'!$P$3,B28&lt;='IN-NX'!$Q$3,'IN-NX'!$D$7=D28,OR(LEFT(L28,2)="15",AND(LEFT(M28,2)&lt;&gt;"15",LEFT(M28,2)&lt;&gt;"33"))),"x","")</f>
        <v/>
      </c>
      <c r="X28" s="39" t="str">
        <f>IF(AND(OR(LEFT(TH!L28,2)="15",LEFT(TH!M28,2)="15"),'152-CT'!$J$8=TH!F28),"x","")</f>
        <v/>
      </c>
      <c r="Y28" s="39" t="str">
        <f>IF(AND(OR(LEFT(TH!L28,2)="15",LEFT(TH!M28,2)="15"),TK!$E$7=TH!F28),"x","")</f>
        <v/>
      </c>
      <c r="Z28" s="39" t="str">
        <f>IF(AND(B28&lt;=NKC!$N$8,B28&gt;=NKC!$M$8),"x","")</f>
        <v/>
      </c>
      <c r="AA28" s="894"/>
      <c r="AB28" s="598"/>
      <c r="AC28" s="598"/>
      <c r="AD28" s="598"/>
    </row>
    <row r="29" spans="1:30" ht="15.75" customHeight="1">
      <c r="A29" s="199" t="str">
        <f>IF(B29&lt;&gt;"",IF(AND(B29&gt;=_TM1,B29&lt;=_TM2,OR(TH!L29="1111",TH!M29="1111")),TH!D29,""),"")</f>
        <v/>
      </c>
      <c r="B29" s="36">
        <f t="shared" si="3"/>
        <v>1</v>
      </c>
      <c r="C29" s="183">
        <f t="shared" si="4"/>
        <v>0</v>
      </c>
      <c r="D29" s="183"/>
      <c r="E29" s="183"/>
      <c r="F29" s="188"/>
      <c r="G29" s="489"/>
      <c r="H29" s="192"/>
      <c r="I29" s="253"/>
      <c r="J29" s="253"/>
      <c r="K29" s="606"/>
      <c r="L29" s="607"/>
      <c r="M29" s="607"/>
      <c r="N29" s="39" t="str">
        <f>IF(AND('331-CT'!$E$7=TH!H29,OR(L29="331",M29="331")),"331",IF(AND(OR(L29="131",M29="131"),H29='131-CT'!$E$7),"131",""))</f>
        <v/>
      </c>
      <c r="O29" s="39" t="str">
        <f>IF(AND($B29&gt;='111'!$N$11,$B29&lt;='111'!$O$11,OR($L29=$O$7,$M29=$O$7)),"x","")</f>
        <v/>
      </c>
      <c r="P29" s="39" t="str">
        <f>IF(AND($L29=$O$7,$B29&lt;'111'!$N$11),"x","")</f>
        <v/>
      </c>
      <c r="Q29" s="39" t="str">
        <f>IF(AND($M29=$O$7,$B29&lt;'111'!$N$11),"x","")</f>
        <v/>
      </c>
      <c r="R29" s="39" t="str">
        <f>IF(ISERROR(FIND('112'!$M$9,G29,1)),"",IF((AND(FIND('112'!$M$9,G29,1)&gt;=1,$B29&gt;='112'!$N$8,$B29&lt;='112'!$O$8,OR($L29='112'!$I$6,$M29='112'!$I$6))),"x",""))</f>
        <v/>
      </c>
      <c r="S29" s="39" t="str">
        <f>IF(ISERROR(FIND('112'!$M$9,G29,1)),"",IF((AND(LEFT(G29,2)=LEFT('112'!$M$9,2),B29&lt;'112'!$N$8,$L29='112'!$I$6)),"x",""))</f>
        <v/>
      </c>
      <c r="T29" s="39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39" t="str">
        <f>IF(OR(TH!L29=TH!$V$7,M29=TH!$V$7),"x","")</f>
        <v/>
      </c>
      <c r="W29" s="39" t="str">
        <f>IF(AND(B29&gt;='IN-NX'!$P$3,B29&lt;='IN-NX'!$Q$3,'IN-NX'!$D$7=D29,OR(LEFT(L29,2)="15",AND(LEFT(M29,2)&lt;&gt;"15",LEFT(M29,2)&lt;&gt;"33"))),"x","")</f>
        <v/>
      </c>
      <c r="X29" s="39" t="str">
        <f>IF(AND(OR(LEFT(TH!L29,2)="15",LEFT(TH!M29,2)="15"),'152-CT'!$J$8=TH!F29),"x","")</f>
        <v/>
      </c>
      <c r="Y29" s="39" t="str">
        <f>IF(AND(OR(LEFT(TH!L29,2)="15",LEFT(TH!M29,2)="15"),TK!$E$7=TH!F29),"x","")</f>
        <v/>
      </c>
      <c r="Z29" s="39" t="str">
        <f>IF(AND(B29&lt;=NKC!$N$8,B29&gt;=NKC!$M$8),"x","")</f>
        <v/>
      </c>
      <c r="AA29" s="894"/>
      <c r="AB29" s="598"/>
      <c r="AC29" s="598"/>
      <c r="AD29" s="598"/>
    </row>
    <row r="30" spans="1:30" s="598" customFormat="1" ht="15.75" customHeight="1">
      <c r="A30" s="199" t="str">
        <f>IF(B30&lt;&gt;"",IF(AND(B30&gt;=_TM1,B30&lt;=_TM2,OR(TH!L30="1111",TH!M30="1111")),TH!D30,""),"")</f>
        <v/>
      </c>
      <c r="B30" s="36">
        <f t="shared" si="3"/>
        <v>1</v>
      </c>
      <c r="C30" s="183">
        <f t="shared" si="4"/>
        <v>0</v>
      </c>
      <c r="D30" s="183"/>
      <c r="E30" s="183"/>
      <c r="F30" s="188"/>
      <c r="G30" s="489"/>
      <c r="H30" s="192"/>
      <c r="I30" s="253"/>
      <c r="J30" s="253"/>
      <c r="K30" s="606"/>
      <c r="L30" s="607"/>
      <c r="M30" s="607"/>
      <c r="N30" s="39" t="str">
        <f>IF(AND('331-CT'!$E$7=TH!H30,OR(L30="331",M30="331")),"331",IF(AND(OR(L30="131",M30="131"),H30='131-CT'!$E$7),"131",""))</f>
        <v/>
      </c>
      <c r="O30" s="39" t="str">
        <f>IF(AND($B30&gt;='111'!$N$11,$B30&lt;='111'!$O$11,OR($L30=$O$7,$M30=$O$7)),"x","")</f>
        <v/>
      </c>
      <c r="P30" s="39" t="str">
        <f>IF(AND($L30=$O$7,$B30&lt;'111'!$N$11),"x","")</f>
        <v/>
      </c>
      <c r="Q30" s="39" t="str">
        <f>IF(AND($M30=$O$7,$B30&lt;'111'!$N$11),"x","")</f>
        <v/>
      </c>
      <c r="R30" s="39" t="str">
        <f>IF(ISERROR(FIND('112'!$M$9,G30,1)),"",IF((AND(FIND('112'!$M$9,G30,1)&gt;=1,$B30&gt;='112'!$N$8,$B30&lt;='112'!$O$8,OR($L30='112'!$I$6,$M30='112'!$I$6))),"x",""))</f>
        <v/>
      </c>
      <c r="S30" s="39" t="str">
        <f>IF(ISERROR(FIND('112'!$M$9,G30,1)),"",IF((AND(LEFT(G30,2)=LEFT('112'!$M$9,2),B30&lt;'112'!$N$8,$L30='112'!$I$6)),"x",""))</f>
        <v/>
      </c>
      <c r="T30" s="39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39" t="str">
        <f>IF(OR(TH!L30=TH!$V$7,M30=TH!$V$7),"x","")</f>
        <v/>
      </c>
      <c r="W30" s="39" t="str">
        <f>IF(AND(B30&gt;='IN-NX'!$P$3,B30&lt;='IN-NX'!$Q$3,'IN-NX'!$D$7=D30,OR(LEFT(L30,2)="15",AND(LEFT(M30,2)&lt;&gt;"15",LEFT(M30,2)&lt;&gt;"33"))),"x","")</f>
        <v/>
      </c>
      <c r="X30" s="39" t="str">
        <f>IF(AND(OR(LEFT(TH!L30,2)="15",LEFT(TH!M30,2)="15"),'152-CT'!$J$8=TH!F30),"x","")</f>
        <v/>
      </c>
      <c r="Y30" s="39" t="str">
        <f>IF(AND(OR(LEFT(TH!L30,2)="15",LEFT(TH!M30,2)="15"),TK!$E$7=TH!F30),"x","")</f>
        <v/>
      </c>
      <c r="Z30" s="39" t="str">
        <f>IF(AND(B30&lt;=NKC!$N$8,B30&gt;=NKC!$M$8),"x","")</f>
        <v/>
      </c>
      <c r="AA30" s="894"/>
    </row>
    <row r="31" spans="1:30" s="598" customFormat="1" ht="15.75" customHeight="1">
      <c r="A31" s="199" t="str">
        <f>IF(B31&lt;&gt;"",IF(AND(B31&gt;=_TM1,B31&lt;=_TM2,OR(TH!L31="1111",TH!M31="1111")),TH!D31,""),"")</f>
        <v/>
      </c>
      <c r="B31" s="36">
        <f t="shared" si="3"/>
        <v>1</v>
      </c>
      <c r="C31" s="183">
        <f t="shared" si="4"/>
        <v>0</v>
      </c>
      <c r="D31" s="183"/>
      <c r="E31" s="183"/>
      <c r="F31" s="188"/>
      <c r="G31" s="489"/>
      <c r="H31" s="192"/>
      <c r="I31" s="253"/>
      <c r="J31" s="253"/>
      <c r="K31" s="606"/>
      <c r="L31" s="607"/>
      <c r="M31" s="607"/>
      <c r="N31" s="39" t="str">
        <f>IF(AND('331-CT'!$E$7=TH!H31,OR(L31="331",M31="331")),"331",IF(AND(OR(L31="131",M31="131"),H31='131-CT'!$E$7),"131",""))</f>
        <v/>
      </c>
      <c r="O31" s="39" t="str">
        <f>IF(AND($B31&gt;='111'!$N$11,$B31&lt;='111'!$O$11,OR($L31=$O$7,$M31=$O$7)),"x","")</f>
        <v/>
      </c>
      <c r="P31" s="39" t="str">
        <f>IF(AND($L31=$O$7,$B31&lt;'111'!$N$11),"x","")</f>
        <v/>
      </c>
      <c r="Q31" s="39" t="str">
        <f>IF(AND($M31=$O$7,$B31&lt;'111'!$N$11),"x","")</f>
        <v/>
      </c>
      <c r="R31" s="39" t="str">
        <f>IF(ISERROR(FIND('112'!$M$9,G31,1)),"",IF((AND(FIND('112'!$M$9,G31,1)&gt;=1,$B31&gt;='112'!$N$8,$B31&lt;='112'!$O$8,OR($L31='112'!$I$6,$M31='112'!$I$6))),"x",""))</f>
        <v/>
      </c>
      <c r="S31" s="39" t="str">
        <f>IF(ISERROR(FIND('112'!$M$9,G31,1)),"",IF((AND(LEFT(G31,2)=LEFT('112'!$M$9,2),B31&lt;'112'!$N$8,$L31='112'!$I$6)),"x",""))</f>
        <v/>
      </c>
      <c r="T31" s="39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39" t="str">
        <f>IF(OR(TH!L31=TH!$V$7,M31=TH!$V$7),"x","")</f>
        <v/>
      </c>
      <c r="W31" s="39" t="str">
        <f>IF(AND(B31&gt;='IN-NX'!$P$3,B31&lt;='IN-NX'!$Q$3,'IN-NX'!$D$7=D31,OR(LEFT(L31,2)="15",AND(LEFT(M31,2)&lt;&gt;"15",LEFT(M31,2)&lt;&gt;"33"))),"x","")</f>
        <v/>
      </c>
      <c r="X31" s="39" t="str">
        <f>IF(AND(OR(LEFT(TH!L31,2)="15",LEFT(TH!M31,2)="15"),'152-CT'!$J$8=TH!F31),"x","")</f>
        <v/>
      </c>
      <c r="Y31" s="39" t="str">
        <f>IF(AND(OR(LEFT(TH!L31,2)="15",LEFT(TH!M31,2)="15"),TK!$E$7=TH!F31),"x","")</f>
        <v/>
      </c>
      <c r="Z31" s="39" t="str">
        <f>IF(AND(B31&lt;=NKC!$N$8,B31&gt;=NKC!$M$8),"x","")</f>
        <v/>
      </c>
      <c r="AA31" s="894"/>
    </row>
    <row r="32" spans="1:30" s="598" customFormat="1" ht="15.75" customHeight="1">
      <c r="A32" s="199" t="str">
        <f>IF(B32&lt;&gt;"",IF(AND(B32&gt;=_TM1,B32&lt;=_TM2,OR(TH!L32="1111",TH!M32="1111")),TH!D32,""),"")</f>
        <v/>
      </c>
      <c r="B32" s="36">
        <f t="shared" si="3"/>
        <v>1</v>
      </c>
      <c r="C32" s="183">
        <f t="shared" si="4"/>
        <v>0</v>
      </c>
      <c r="D32" s="183"/>
      <c r="E32" s="183"/>
      <c r="F32" s="188"/>
      <c r="G32" s="489"/>
      <c r="H32" s="192"/>
      <c r="I32" s="253"/>
      <c r="J32" s="253"/>
      <c r="K32" s="606"/>
      <c r="L32" s="607"/>
      <c r="M32" s="607"/>
      <c r="N32" s="39" t="str">
        <f>IF(AND('331-CT'!$E$7=TH!H32,OR(L32="331",M32="331")),"331",IF(AND(OR(L32="131",M32="131"),H32='131-CT'!$E$7),"131",""))</f>
        <v/>
      </c>
      <c r="O32" s="39" t="str">
        <f>IF(AND($B32&gt;='111'!$N$11,$B32&lt;='111'!$O$11,OR($L32=$O$7,$M32=$O$7)),"x","")</f>
        <v/>
      </c>
      <c r="P32" s="39" t="str">
        <f>IF(AND($L32=$O$7,$B32&lt;'111'!$N$11),"x","")</f>
        <v/>
      </c>
      <c r="Q32" s="39" t="str">
        <f>IF(AND($M32=$O$7,$B32&lt;'111'!$N$11),"x","")</f>
        <v/>
      </c>
      <c r="R32" s="39" t="str">
        <f>IF(ISERROR(FIND('112'!$M$9,G32,1)),"",IF((AND(FIND('112'!$M$9,G32,1)&gt;=1,$B32&gt;='112'!$N$8,$B32&lt;='112'!$O$8,OR($L32='112'!$I$6,$M32='112'!$I$6))),"x",""))</f>
        <v/>
      </c>
      <c r="S32" s="39" t="str">
        <f>IF(ISERROR(FIND('112'!$M$9,G32,1)),"",IF((AND(LEFT(G32,2)=LEFT('112'!$M$9,2),B32&lt;'112'!$N$8,$L32='112'!$I$6)),"x",""))</f>
        <v/>
      </c>
      <c r="T32" s="39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39" t="str">
        <f>IF(OR(TH!L32=TH!$V$7,M32=TH!$V$7),"x","")</f>
        <v/>
      </c>
      <c r="W32" s="39" t="str">
        <f>IF(AND(B32&gt;='IN-NX'!$P$3,B32&lt;='IN-NX'!$Q$3,'IN-NX'!$D$7=D32,OR(LEFT(L32,2)="15",AND(LEFT(M32,2)&lt;&gt;"15",LEFT(M32,2)&lt;&gt;"33"))),"x","")</f>
        <v/>
      </c>
      <c r="X32" s="39" t="str">
        <f>IF(AND(OR(LEFT(TH!L32,2)="15",LEFT(TH!M32,2)="15"),'152-CT'!$J$8=TH!F32),"x","")</f>
        <v/>
      </c>
      <c r="Y32" s="39" t="str">
        <f>IF(AND(OR(LEFT(TH!L32,2)="15",LEFT(TH!M32,2)="15"),TK!$E$7=TH!F32),"x","")</f>
        <v/>
      </c>
      <c r="Z32" s="39" t="str">
        <f>IF(AND(B32&lt;=NKC!$N$8,B32&gt;=NKC!$M$8),"x","")</f>
        <v/>
      </c>
      <c r="AA32" s="894"/>
    </row>
    <row r="33" spans="1:29" s="598" customFormat="1" ht="15.75" customHeight="1">
      <c r="A33" s="199" t="str">
        <f>IF(B33&lt;&gt;"",IF(AND(B33&gt;=_TM1,B33&lt;=_TM2,OR(TH!L33="1111",TH!M33="1111")),TH!D33,""),"")</f>
        <v/>
      </c>
      <c r="B33" s="36">
        <f t="shared" si="3"/>
        <v>1</v>
      </c>
      <c r="C33" s="183">
        <f t="shared" si="4"/>
        <v>0</v>
      </c>
      <c r="D33" s="183"/>
      <c r="E33" s="183"/>
      <c r="F33" s="188"/>
      <c r="G33" s="489"/>
      <c r="H33" s="192"/>
      <c r="I33" s="253"/>
      <c r="J33" s="253"/>
      <c r="K33" s="606"/>
      <c r="L33" s="607"/>
      <c r="M33" s="607"/>
      <c r="N33" s="39" t="str">
        <f>IF(AND('331-CT'!$E$7=TH!H33,OR(L33="331",M33="331")),"331",IF(AND(OR(L33="131",M33="131"),H33='131-CT'!$E$7),"131",""))</f>
        <v/>
      </c>
      <c r="O33" s="39" t="str">
        <f>IF(AND($B33&gt;='111'!$N$11,$B33&lt;='111'!$O$11,OR($L33=$O$7,$M33=$O$7)),"x","")</f>
        <v/>
      </c>
      <c r="P33" s="39" t="str">
        <f>IF(AND($L33=$O$7,$B33&lt;'111'!$N$11),"x","")</f>
        <v/>
      </c>
      <c r="Q33" s="39" t="str">
        <f>IF(AND($M33=$O$7,$B33&lt;'111'!$N$11),"x","")</f>
        <v/>
      </c>
      <c r="R33" s="39" t="str">
        <f>IF(ISERROR(FIND('112'!$M$9,G33,1)),"",IF((AND(FIND('112'!$M$9,G33,1)&gt;=1,$B33&gt;='112'!$N$8,$B33&lt;='112'!$O$8,OR($L33='112'!$I$6,$M33='112'!$I$6))),"x",""))</f>
        <v/>
      </c>
      <c r="S33" s="39" t="str">
        <f>IF(ISERROR(FIND('112'!$M$9,G33,1)),"",IF((AND(LEFT(G33,2)=LEFT('112'!$M$9,2),B33&lt;'112'!$N$8,$L33='112'!$I$6)),"x",""))</f>
        <v/>
      </c>
      <c r="T33" s="39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39" t="str">
        <f>IF(OR(TH!L33=TH!$V$7,M33=TH!$V$7),"x","")</f>
        <v/>
      </c>
      <c r="W33" s="39" t="str">
        <f>IF(AND(B33&gt;='IN-NX'!$P$3,B33&lt;='IN-NX'!$Q$3,'IN-NX'!$D$7=D33,OR(LEFT(L33,2)="15",AND(LEFT(M33,2)&lt;&gt;"15",LEFT(M33,2)&lt;&gt;"33"))),"x","")</f>
        <v/>
      </c>
      <c r="X33" s="39" t="str">
        <f>IF(AND(OR(LEFT(TH!L33,2)="15",LEFT(TH!M33,2)="15"),'152-CT'!$J$8=TH!F33),"x","")</f>
        <v/>
      </c>
      <c r="Y33" s="39" t="str">
        <f>IF(AND(OR(LEFT(TH!L33,2)="15",LEFT(TH!M33,2)="15"),TK!$E$7=TH!F33),"x","")</f>
        <v/>
      </c>
      <c r="Z33" s="39" t="str">
        <f>IF(AND(B33&lt;=NKC!$N$8,B33&gt;=NKC!$M$8),"x","")</f>
        <v/>
      </c>
      <c r="AA33" s="894"/>
      <c r="AB33" s="205"/>
      <c r="AC33" s="205"/>
    </row>
    <row r="34" spans="1:29" s="598" customFormat="1" ht="15.75" customHeight="1">
      <c r="A34" s="199" t="str">
        <f>IF(B34&lt;&gt;"",IF(AND(B34&gt;=_TM1,B34&lt;=_TM2,OR(TH!L34="1111",TH!M34="1111")),TH!D34,""),"")</f>
        <v/>
      </c>
      <c r="B34" s="36">
        <f t="shared" si="3"/>
        <v>1</v>
      </c>
      <c r="C34" s="183">
        <f t="shared" si="4"/>
        <v>0</v>
      </c>
      <c r="D34" s="183"/>
      <c r="E34" s="183"/>
      <c r="F34" s="188"/>
      <c r="G34" s="489"/>
      <c r="H34" s="192"/>
      <c r="I34" s="253"/>
      <c r="J34" s="253"/>
      <c r="K34" s="606"/>
      <c r="L34" s="607"/>
      <c r="M34" s="607"/>
      <c r="N34" s="39" t="str">
        <f>IF(AND('331-CT'!$E$7=TH!H34,OR(L34="331",M34="331")),"331",IF(AND(OR(L34="131",M34="131"),H34='131-CT'!$E$7),"131",""))</f>
        <v/>
      </c>
      <c r="O34" s="39" t="str">
        <f>IF(AND($B34&gt;='111'!$N$11,$B34&lt;='111'!$O$11,OR($L34=$O$7,$M34=$O$7)),"x","")</f>
        <v/>
      </c>
      <c r="P34" s="39" t="str">
        <f>IF(AND($L34=$O$7,$B34&lt;'111'!$N$11),"x","")</f>
        <v/>
      </c>
      <c r="Q34" s="39" t="str">
        <f>IF(AND($M34=$O$7,$B34&lt;'111'!$N$11),"x","")</f>
        <v/>
      </c>
      <c r="R34" s="39" t="str">
        <f>IF(ISERROR(FIND('112'!$M$9,G34,1)),"",IF((AND(FIND('112'!$M$9,G34,1)&gt;=1,$B34&gt;='112'!$N$8,$B34&lt;='112'!$O$8,OR($L34='112'!$I$6,$M34='112'!$I$6))),"x",""))</f>
        <v/>
      </c>
      <c r="S34" s="39" t="str">
        <f>IF(ISERROR(FIND('112'!$M$9,G34,1)),"",IF((AND(LEFT(G34,2)=LEFT('112'!$M$9,2),B34&lt;'112'!$N$8,$L34='112'!$I$6)),"x",""))</f>
        <v/>
      </c>
      <c r="T34" s="39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39" t="str">
        <f>IF(OR(TH!L34=TH!$V$7,M34=TH!$V$7),"x","")</f>
        <v/>
      </c>
      <c r="W34" s="39" t="str">
        <f>IF(AND(B34&gt;='IN-NX'!$P$3,B34&lt;='IN-NX'!$Q$3,'IN-NX'!$D$7=D34,OR(LEFT(L34,2)="15",AND(LEFT(M34,2)&lt;&gt;"15",LEFT(M34,2)&lt;&gt;"33"))),"x","")</f>
        <v/>
      </c>
      <c r="X34" s="39" t="str">
        <f>IF(AND(OR(LEFT(TH!L34,2)="15",LEFT(TH!M34,2)="15"),'152-CT'!$J$8=TH!F34),"x","")</f>
        <v/>
      </c>
      <c r="Y34" s="39" t="str">
        <f>IF(AND(OR(LEFT(TH!L34,2)="15",LEFT(TH!M34,2)="15"),TK!$E$7=TH!F34),"x","")</f>
        <v/>
      </c>
      <c r="Z34" s="39" t="str">
        <f>IF(AND(B34&lt;=NKC!$N$8,B34&gt;=NKC!$M$8),"x","")</f>
        <v/>
      </c>
      <c r="AA34" s="894"/>
      <c r="AC34" s="205"/>
    </row>
    <row r="35" spans="1:29" s="598" customFormat="1" ht="15.75" customHeight="1">
      <c r="A35" s="199" t="str">
        <f>IF(B35&lt;&gt;"",IF(AND(B35&gt;=_TM1,B35&lt;=_TM2,OR(TH!L35="1111",TH!M35="1111")),TH!D35,""),"")</f>
        <v/>
      </c>
      <c r="B35" s="36">
        <f t="shared" si="3"/>
        <v>1</v>
      </c>
      <c r="C35" s="183">
        <f t="shared" si="4"/>
        <v>0</v>
      </c>
      <c r="D35" s="183"/>
      <c r="E35" s="183"/>
      <c r="F35" s="188"/>
      <c r="G35" s="489"/>
      <c r="H35" s="192"/>
      <c r="I35" s="253"/>
      <c r="J35" s="253"/>
      <c r="K35" s="606"/>
      <c r="L35" s="607"/>
      <c r="M35" s="607"/>
      <c r="N35" s="39" t="str">
        <f>IF(AND('331-CT'!$E$7=TH!H35,OR(L35="331",M35="331")),"331",IF(AND(OR(L35="131",M35="131"),H35='131-CT'!$E$7),"131",""))</f>
        <v/>
      </c>
      <c r="O35" s="39" t="str">
        <f>IF(AND($B35&gt;='111'!$N$11,$B35&lt;='111'!$O$11,OR($L35=$O$7,$M35=$O$7)),"x","")</f>
        <v/>
      </c>
      <c r="P35" s="39" t="str">
        <f>IF(AND($L35=$O$7,$B35&lt;'111'!$N$11),"x","")</f>
        <v/>
      </c>
      <c r="Q35" s="39" t="str">
        <f>IF(AND($M35=$O$7,$B35&lt;'111'!$N$11),"x","")</f>
        <v/>
      </c>
      <c r="R35" s="39" t="str">
        <f>IF(ISERROR(FIND('112'!$M$9,G35,1)),"",IF((AND(FIND('112'!$M$9,G35,1)&gt;=1,$B35&gt;='112'!$N$8,$B35&lt;='112'!$O$8,OR($L35='112'!$I$6,$M35='112'!$I$6))),"x",""))</f>
        <v/>
      </c>
      <c r="S35" s="39" t="str">
        <f>IF(ISERROR(FIND('112'!$M$9,G35,1)),"",IF((AND(LEFT(G35,2)=LEFT('112'!$M$9,2),B35&lt;'112'!$N$8,$L35='112'!$I$6)),"x",""))</f>
        <v/>
      </c>
      <c r="T35" s="39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39" t="str">
        <f>IF(OR(TH!L35=TH!$V$7,M35=TH!$V$7),"x","")</f>
        <v/>
      </c>
      <c r="W35" s="39" t="str">
        <f>IF(AND(B35&gt;='IN-NX'!$P$3,B35&lt;='IN-NX'!$Q$3,'IN-NX'!$D$7=D35,OR(LEFT(L35,2)="15",AND(LEFT(M35,2)&lt;&gt;"15",LEFT(M35,2)&lt;&gt;"33"))),"x","")</f>
        <v/>
      </c>
      <c r="X35" s="39" t="str">
        <f>IF(AND(OR(LEFT(TH!L35,2)="15",LEFT(TH!M35,2)="15"),'152-CT'!$J$8=TH!F35),"x","")</f>
        <v/>
      </c>
      <c r="Y35" s="39" t="str">
        <f>IF(AND(OR(LEFT(TH!L35,2)="15",LEFT(TH!M35,2)="15"),TK!$E$7=TH!F35),"x","")</f>
        <v/>
      </c>
      <c r="Z35" s="39" t="str">
        <f>IF(AND(B35&lt;=NKC!$N$8,B35&gt;=NKC!$M$8),"x","")</f>
        <v/>
      </c>
      <c r="AA35" s="894"/>
      <c r="AB35" s="205"/>
      <c r="AC35" s="205"/>
    </row>
    <row r="36" spans="1:29" s="598" customFormat="1" ht="15.75" customHeight="1">
      <c r="A36" s="199" t="str">
        <f>IF(B36&lt;&gt;"",IF(AND(B36&gt;=_TM1,B36&lt;=_TM2,OR(TH!L36="1111",TH!M36="1111")),TH!D36,""),"")</f>
        <v/>
      </c>
      <c r="B36" s="36">
        <f t="shared" si="3"/>
        <v>1</v>
      </c>
      <c r="C36" s="183">
        <f t="shared" si="4"/>
        <v>0</v>
      </c>
      <c r="D36" s="183"/>
      <c r="E36" s="183"/>
      <c r="F36" s="188"/>
      <c r="G36" s="489"/>
      <c r="H36" s="192"/>
      <c r="I36" s="253"/>
      <c r="J36" s="253"/>
      <c r="K36" s="606"/>
      <c r="L36" s="607"/>
      <c r="M36" s="607"/>
      <c r="N36" s="39" t="str">
        <f>IF(AND('331-CT'!$E$7=TH!H36,OR(L36="331",M36="331")),"331",IF(AND(OR(L36="131",M36="131"),H36='131-CT'!$E$7),"131",""))</f>
        <v/>
      </c>
      <c r="O36" s="39" t="str">
        <f>IF(AND($B36&gt;='111'!$N$11,$B36&lt;='111'!$O$11,OR($L36=$O$7,$M36=$O$7)),"x","")</f>
        <v/>
      </c>
      <c r="P36" s="39" t="str">
        <f>IF(AND($L36=$O$7,$B36&lt;'111'!$N$11),"x","")</f>
        <v/>
      </c>
      <c r="Q36" s="39" t="str">
        <f>IF(AND($M36=$O$7,$B36&lt;'111'!$N$11),"x","")</f>
        <v/>
      </c>
      <c r="R36" s="39" t="str">
        <f>IF(ISERROR(FIND('112'!$M$9,G36,1)),"",IF((AND(FIND('112'!$M$9,G36,1)&gt;=1,$B36&gt;='112'!$N$8,$B36&lt;='112'!$O$8,OR($L36='112'!$I$6,$M36='112'!$I$6))),"x",""))</f>
        <v/>
      </c>
      <c r="S36" s="39" t="str">
        <f>IF(ISERROR(FIND('112'!$M$9,G36,1)),"",IF((AND(LEFT(G36,2)=LEFT('112'!$M$9,2),B36&lt;'112'!$N$8,$L36='112'!$I$6)),"x",""))</f>
        <v/>
      </c>
      <c r="T36" s="39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39" t="str">
        <f>IF(OR(TH!L36=TH!$V$7,M36=TH!$V$7),"x","")</f>
        <v/>
      </c>
      <c r="W36" s="39" t="str">
        <f>IF(AND(B36&gt;='IN-NX'!$P$3,B36&lt;='IN-NX'!$Q$3,'IN-NX'!$D$7=D36,OR(LEFT(L36,2)="15",AND(LEFT(M36,2)&lt;&gt;"15",LEFT(M36,2)&lt;&gt;"33"))),"x","")</f>
        <v/>
      </c>
      <c r="X36" s="39" t="str">
        <f>IF(AND(OR(LEFT(TH!L36,2)="15",LEFT(TH!M36,2)="15"),'152-CT'!$J$8=TH!F36),"x","")</f>
        <v/>
      </c>
      <c r="Y36" s="39" t="str">
        <f>IF(AND(OR(LEFT(TH!L36,2)="15",LEFT(TH!M36,2)="15"),TK!$E$7=TH!F36),"x","")</f>
        <v/>
      </c>
      <c r="Z36" s="39" t="str">
        <f>IF(AND(B36&lt;=NKC!$N$8,B36&gt;=NKC!$M$8),"x","")</f>
        <v/>
      </c>
      <c r="AA36" s="894"/>
      <c r="AC36" s="205"/>
    </row>
    <row r="37" spans="1:29" s="598" customFormat="1" ht="15.75" customHeight="1">
      <c r="A37" s="199" t="str">
        <f>IF(B37&lt;&gt;"",IF(AND(B37&gt;=_TM1,B37&lt;=_TM2,OR(TH!L37="1111",TH!M37="1111")),TH!D37,""),"")</f>
        <v/>
      </c>
      <c r="B37" s="36">
        <f t="shared" si="3"/>
        <v>1</v>
      </c>
      <c r="C37" s="183">
        <f t="shared" si="4"/>
        <v>0</v>
      </c>
      <c r="D37" s="183"/>
      <c r="E37" s="183"/>
      <c r="F37" s="188"/>
      <c r="G37" s="489"/>
      <c r="H37" s="192"/>
      <c r="I37" s="253"/>
      <c r="J37" s="253"/>
      <c r="K37" s="606"/>
      <c r="L37" s="607"/>
      <c r="M37" s="607"/>
      <c r="N37" s="39" t="str">
        <f>IF(AND('331-CT'!$E$7=TH!H37,OR(L37="331",M37="331")),"331",IF(AND(OR(L37="131",M37="131"),H37='131-CT'!$E$7),"131",""))</f>
        <v/>
      </c>
      <c r="O37" s="39" t="str">
        <f>IF(AND($B37&gt;='111'!$N$11,$B37&lt;='111'!$O$11,OR($L37=$O$7,$M37=$O$7)),"x","")</f>
        <v/>
      </c>
      <c r="P37" s="39" t="str">
        <f>IF(AND($L37=$O$7,$B37&lt;'111'!$N$11),"x","")</f>
        <v/>
      </c>
      <c r="Q37" s="39" t="str">
        <f>IF(AND($M37=$O$7,$B37&lt;'111'!$N$11),"x","")</f>
        <v/>
      </c>
      <c r="R37" s="39" t="str">
        <f>IF(ISERROR(FIND('112'!$M$9,G37,1)),"",IF((AND(FIND('112'!$M$9,G37,1)&gt;=1,$B37&gt;='112'!$N$8,$B37&lt;='112'!$O$8,OR($L37='112'!$I$6,$M37='112'!$I$6))),"x",""))</f>
        <v/>
      </c>
      <c r="S37" s="39" t="str">
        <f>IF(ISERROR(FIND('112'!$M$9,G37,1)),"",IF((AND(LEFT(G37,2)=LEFT('112'!$M$9,2),B37&lt;'112'!$N$8,$L37='112'!$I$6)),"x",""))</f>
        <v/>
      </c>
      <c r="T37" s="39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39" t="str">
        <f>IF(OR(TH!L37=TH!$V$7,M37=TH!$V$7),"x","")</f>
        <v/>
      </c>
      <c r="W37" s="39" t="str">
        <f>IF(AND(B37&gt;='IN-NX'!$P$3,B37&lt;='IN-NX'!$Q$3,'IN-NX'!$D$7=D37,OR(LEFT(L37,2)="15",AND(LEFT(M37,2)&lt;&gt;"15",LEFT(M37,2)&lt;&gt;"33"))),"x","")</f>
        <v/>
      </c>
      <c r="X37" s="39" t="str">
        <f>IF(AND(OR(LEFT(TH!L37,2)="15",LEFT(TH!M37,2)="15"),'152-CT'!$J$8=TH!F37),"x","")</f>
        <v/>
      </c>
      <c r="Y37" s="39" t="str">
        <f>IF(AND(OR(LEFT(TH!L37,2)="15",LEFT(TH!M37,2)="15"),TK!$E$7=TH!F37),"x","")</f>
        <v/>
      </c>
      <c r="Z37" s="39" t="str">
        <f>IF(AND(B37&lt;=NKC!$N$8,B37&gt;=NKC!$M$8),"x","")</f>
        <v/>
      </c>
      <c r="AA37" s="894"/>
    </row>
    <row r="38" spans="1:29" s="598" customFormat="1" ht="15.75" customHeight="1">
      <c r="A38" s="199" t="str">
        <f>IF(B38&lt;&gt;"",IF(AND(B38&gt;=_TM1,B38&lt;=_TM2,OR(TH!L38="1111",TH!M38="1111")),TH!D38,""),"")</f>
        <v/>
      </c>
      <c r="B38" s="36">
        <f t="shared" si="3"/>
        <v>1</v>
      </c>
      <c r="C38" s="183">
        <f t="shared" si="4"/>
        <v>0</v>
      </c>
      <c r="D38" s="183"/>
      <c r="E38" s="183"/>
      <c r="F38" s="188"/>
      <c r="G38" s="489"/>
      <c r="H38" s="192"/>
      <c r="I38" s="253"/>
      <c r="J38" s="253"/>
      <c r="K38" s="606"/>
      <c r="L38" s="607"/>
      <c r="M38" s="607"/>
      <c r="N38" s="39" t="str">
        <f>IF(AND('331-CT'!$E$7=TH!H38,OR(L38="331",M38="331")),"331",IF(AND(OR(L38="131",M38="131"),H38='131-CT'!$E$7),"131",""))</f>
        <v/>
      </c>
      <c r="O38" s="39" t="str">
        <f>IF(AND($B38&gt;='111'!$N$11,$B38&lt;='111'!$O$11,OR($L38=$O$7,$M38=$O$7)),"x","")</f>
        <v/>
      </c>
      <c r="P38" s="39" t="str">
        <f>IF(AND($L38=$O$7,$B38&lt;'111'!$N$11),"x","")</f>
        <v/>
      </c>
      <c r="Q38" s="39" t="str">
        <f>IF(AND($M38=$O$7,$B38&lt;'111'!$N$11),"x","")</f>
        <v/>
      </c>
      <c r="R38" s="39" t="str">
        <f>IF(ISERROR(FIND('112'!$M$9,G38,1)),"",IF((AND(FIND('112'!$M$9,G38,1)&gt;=1,$B38&gt;='112'!$N$8,$B38&lt;='112'!$O$8,OR($L38='112'!$I$6,$M38='112'!$I$6))),"x",""))</f>
        <v/>
      </c>
      <c r="S38" s="39" t="str">
        <f>IF(ISERROR(FIND('112'!$M$9,G38,1)),"",IF((AND(LEFT(G38,2)=LEFT('112'!$M$9,2),B38&lt;'112'!$N$8,$L38='112'!$I$6)),"x",""))</f>
        <v/>
      </c>
      <c r="T38" s="39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39" t="str">
        <f>IF(OR(TH!L38=TH!$V$7,M38=TH!$V$7),"x","")</f>
        <v/>
      </c>
      <c r="W38" s="39" t="str">
        <f>IF(AND(B38&gt;='IN-NX'!$P$3,B38&lt;='IN-NX'!$Q$3,'IN-NX'!$D$7=D38,OR(LEFT(L38,2)="15",AND(LEFT(M38,2)&lt;&gt;"15",LEFT(M38,2)&lt;&gt;"33"))),"x","")</f>
        <v/>
      </c>
      <c r="X38" s="39" t="str">
        <f>IF(AND(OR(LEFT(TH!L38,2)="15",LEFT(TH!M38,2)="15"),'152-CT'!$J$8=TH!F38),"x","")</f>
        <v/>
      </c>
      <c r="Y38" s="39" t="str">
        <f>IF(AND(OR(LEFT(TH!L38,2)="15",LEFT(TH!M38,2)="15"),TK!$E$7=TH!F38),"x","")</f>
        <v/>
      </c>
      <c r="Z38" s="39" t="str">
        <f>IF(AND(B38&lt;=NKC!$N$8,B38&gt;=NKC!$M$8),"x","")</f>
        <v/>
      </c>
      <c r="AA38" s="894"/>
    </row>
    <row r="39" spans="1:29" s="598" customFormat="1" ht="15.75" customHeight="1">
      <c r="A39" s="199" t="str">
        <f>IF(B39&lt;&gt;"",IF(AND(B39&gt;=_TM1,B39&lt;=_TM2,OR(TH!L39="1111",TH!M39="1111")),TH!D39,""),"")</f>
        <v/>
      </c>
      <c r="B39" s="36">
        <f t="shared" si="3"/>
        <v>1</v>
      </c>
      <c r="C39" s="183">
        <f t="shared" si="4"/>
        <v>0</v>
      </c>
      <c r="D39" s="183"/>
      <c r="E39" s="183"/>
      <c r="F39" s="188"/>
      <c r="G39" s="489"/>
      <c r="H39" s="192"/>
      <c r="I39" s="253"/>
      <c r="J39" s="253"/>
      <c r="K39" s="606"/>
      <c r="L39" s="607"/>
      <c r="M39" s="607"/>
      <c r="N39" s="39" t="str">
        <f>IF(AND('331-CT'!$E$7=TH!H39,OR(L39="331",M39="331")),"331",IF(AND(OR(L39="131",M39="131"),H39='131-CT'!$E$7),"131",""))</f>
        <v/>
      </c>
      <c r="O39" s="39" t="str">
        <f>IF(AND($B39&gt;='111'!$N$11,$B39&lt;='111'!$O$11,OR($L39=$O$7,$M39=$O$7)),"x","")</f>
        <v/>
      </c>
      <c r="P39" s="39" t="str">
        <f>IF(AND($L39=$O$7,$B39&lt;'111'!$N$11),"x","")</f>
        <v/>
      </c>
      <c r="Q39" s="39" t="str">
        <f>IF(AND($M39=$O$7,$B39&lt;'111'!$N$11),"x","")</f>
        <v/>
      </c>
      <c r="R39" s="39" t="str">
        <f>IF(ISERROR(FIND('112'!$M$9,G39,1)),"",IF((AND(FIND('112'!$M$9,G39,1)&gt;=1,$B39&gt;='112'!$N$8,$B39&lt;='112'!$O$8,OR($L39='112'!$I$6,$M39='112'!$I$6))),"x",""))</f>
        <v/>
      </c>
      <c r="S39" s="39" t="str">
        <f>IF(ISERROR(FIND('112'!$M$9,G39,1)),"",IF((AND(LEFT(G39,2)=LEFT('112'!$M$9,2),B39&lt;'112'!$N$8,$L39='112'!$I$6)),"x",""))</f>
        <v/>
      </c>
      <c r="T39" s="39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39" t="str">
        <f>IF(OR(TH!L39=TH!$V$7,M39=TH!$V$7),"x","")</f>
        <v/>
      </c>
      <c r="W39" s="39" t="str">
        <f>IF(AND(B39&gt;='IN-NX'!$P$3,B39&lt;='IN-NX'!$Q$3,'IN-NX'!$D$7=D39,OR(LEFT(L39,2)="15",AND(LEFT(M39,2)&lt;&gt;"15",LEFT(M39,2)&lt;&gt;"33"))),"x","")</f>
        <v/>
      </c>
      <c r="X39" s="39" t="str">
        <f>IF(AND(OR(LEFT(TH!L39,2)="15",LEFT(TH!M39,2)="15"),'152-CT'!$J$8=TH!F39),"x","")</f>
        <v/>
      </c>
      <c r="Y39" s="39" t="str">
        <f>IF(AND(OR(LEFT(TH!L39,2)="15",LEFT(TH!M39,2)="15"),TK!$E$7=TH!F39),"x","")</f>
        <v/>
      </c>
      <c r="Z39" s="39" t="str">
        <f>IF(AND(B39&lt;=NKC!$N$8,B39&gt;=NKC!$M$8),"x","")</f>
        <v/>
      </c>
      <c r="AA39" s="894"/>
      <c r="AB39" s="205"/>
      <c r="AC39" s="205"/>
    </row>
    <row r="40" spans="1:29" s="598" customFormat="1" ht="15.75" customHeight="1">
      <c r="A40" s="199" t="str">
        <f>IF(B40&lt;&gt;"",IF(AND(B40&gt;=_TM1,B40&lt;=_TM2,OR(TH!L40="1111",TH!M40="1111")),TH!D40,""),"")</f>
        <v/>
      </c>
      <c r="B40" s="36">
        <f t="shared" si="3"/>
        <v>1</v>
      </c>
      <c r="C40" s="183">
        <f t="shared" si="4"/>
        <v>0</v>
      </c>
      <c r="D40" s="183"/>
      <c r="E40" s="183"/>
      <c r="F40" s="188"/>
      <c r="G40" s="489"/>
      <c r="H40" s="192"/>
      <c r="I40" s="253"/>
      <c r="J40" s="253"/>
      <c r="K40" s="606"/>
      <c r="L40" s="607"/>
      <c r="M40" s="607"/>
      <c r="N40" s="39" t="str">
        <f>IF(AND('331-CT'!$E$7=TH!H40,OR(L40="331",M40="331")),"331",IF(AND(OR(L40="131",M40="131"),H40='131-CT'!$E$7),"131",""))</f>
        <v/>
      </c>
      <c r="O40" s="39" t="str">
        <f>IF(AND($B40&gt;='111'!$N$11,$B40&lt;='111'!$O$11,OR($L40=$O$7,$M40=$O$7)),"x","")</f>
        <v/>
      </c>
      <c r="P40" s="39" t="str">
        <f>IF(AND($L40=$O$7,$B40&lt;'111'!$N$11),"x","")</f>
        <v/>
      </c>
      <c r="Q40" s="39" t="str">
        <f>IF(AND($M40=$O$7,$B40&lt;'111'!$N$11),"x","")</f>
        <v/>
      </c>
      <c r="R40" s="39" t="str">
        <f>IF(ISERROR(FIND('112'!$M$9,G40,1)),"",IF((AND(FIND('112'!$M$9,G40,1)&gt;=1,$B40&gt;='112'!$N$8,$B40&lt;='112'!$O$8,OR($L40='112'!$I$6,$M40='112'!$I$6))),"x",""))</f>
        <v/>
      </c>
      <c r="S40" s="39" t="str">
        <f>IF(ISERROR(FIND('112'!$M$9,G40,1)),"",IF((AND(LEFT(G40,2)=LEFT('112'!$M$9,2),B40&lt;'112'!$N$8,$L40='112'!$I$6)),"x",""))</f>
        <v/>
      </c>
      <c r="T40" s="39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39" t="str">
        <f>IF(OR(TH!L40=TH!$V$7,M40=TH!$V$7),"x","")</f>
        <v/>
      </c>
      <c r="W40" s="39" t="str">
        <f>IF(AND(B40&gt;='IN-NX'!$P$3,B40&lt;='IN-NX'!$Q$3,'IN-NX'!$D$7=D40,OR(LEFT(L40,2)="15",AND(LEFT(M40,2)&lt;&gt;"15",LEFT(M40,2)&lt;&gt;"33"))),"x","")</f>
        <v/>
      </c>
      <c r="X40" s="39" t="str">
        <f>IF(AND(OR(LEFT(TH!L40,2)="15",LEFT(TH!M40,2)="15"),'152-CT'!$J$8=TH!F40),"x","")</f>
        <v/>
      </c>
      <c r="Y40" s="39" t="str">
        <f>IF(AND(OR(LEFT(TH!L40,2)="15",LEFT(TH!M40,2)="15"),TK!$E$7=TH!F40),"x","")</f>
        <v/>
      </c>
      <c r="Z40" s="39" t="str">
        <f>IF(AND(B40&lt;=NKC!$N$8,B40&gt;=NKC!$M$8),"x","")</f>
        <v/>
      </c>
      <c r="AA40" s="894"/>
      <c r="AC40" s="205"/>
    </row>
    <row r="41" spans="1:29" s="598" customFormat="1" ht="15.75" customHeight="1">
      <c r="A41" s="199" t="str">
        <f>IF(B41&lt;&gt;"",IF(AND(B41&gt;=_TM1,B41&lt;=_TM2,OR(TH!L41="1111",TH!M41="1111")),TH!D41,""),"")</f>
        <v/>
      </c>
      <c r="B41" s="36">
        <f t="shared" si="3"/>
        <v>1</v>
      </c>
      <c r="C41" s="183">
        <f t="shared" si="4"/>
        <v>0</v>
      </c>
      <c r="D41" s="183"/>
      <c r="E41" s="183"/>
      <c r="F41" s="188"/>
      <c r="G41" s="489"/>
      <c r="H41" s="192"/>
      <c r="I41" s="253"/>
      <c r="J41" s="253"/>
      <c r="K41" s="606"/>
      <c r="L41" s="607"/>
      <c r="M41" s="607"/>
      <c r="N41" s="39" t="str">
        <f>IF(AND('331-CT'!$E$7=TH!H41,OR(L41="331",M41="331")),"331",IF(AND(OR(L41="131",M41="131"),H41='131-CT'!$E$7),"131",""))</f>
        <v/>
      </c>
      <c r="O41" s="39" t="str">
        <f>IF(AND($B41&gt;='111'!$N$11,$B41&lt;='111'!$O$11,OR($L41=$O$7,$M41=$O$7)),"x","")</f>
        <v/>
      </c>
      <c r="P41" s="39" t="str">
        <f>IF(AND($L41=$O$7,$B41&lt;'111'!$N$11),"x","")</f>
        <v/>
      </c>
      <c r="Q41" s="39" t="str">
        <f>IF(AND($M41=$O$7,$B41&lt;'111'!$N$11),"x","")</f>
        <v/>
      </c>
      <c r="R41" s="39" t="str">
        <f>IF(ISERROR(FIND('112'!$M$9,G41,1)),"",IF((AND(FIND('112'!$M$9,G41,1)&gt;=1,$B41&gt;='112'!$N$8,$B41&lt;='112'!$O$8,OR($L41='112'!$I$6,$M41='112'!$I$6))),"x",""))</f>
        <v/>
      </c>
      <c r="S41" s="39" t="str">
        <f>IF(ISERROR(FIND('112'!$M$9,G41,1)),"",IF((AND(LEFT(G41,2)=LEFT('112'!$M$9,2),B41&lt;'112'!$N$8,$L41='112'!$I$6)),"x",""))</f>
        <v/>
      </c>
      <c r="T41" s="39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39" t="str">
        <f>IF(OR(TH!L41=TH!$V$7,M41=TH!$V$7),"x","")</f>
        <v/>
      </c>
      <c r="W41" s="39" t="str">
        <f>IF(AND(B41&gt;='IN-NX'!$P$3,B41&lt;='IN-NX'!$Q$3,'IN-NX'!$D$7=D41,OR(LEFT(L41,2)="15",AND(LEFT(M41,2)&lt;&gt;"15",LEFT(M41,2)&lt;&gt;"33"))),"x","")</f>
        <v/>
      </c>
      <c r="X41" s="39" t="str">
        <f>IF(AND(OR(LEFT(TH!L41,2)="15",LEFT(TH!M41,2)="15"),'152-CT'!$J$8=TH!F41),"x","")</f>
        <v/>
      </c>
      <c r="Y41" s="39" t="str">
        <f>IF(AND(OR(LEFT(TH!L41,2)="15",LEFT(TH!M41,2)="15"),TK!$E$7=TH!F41),"x","")</f>
        <v/>
      </c>
      <c r="Z41" s="39" t="str">
        <f>IF(AND(B41&lt;=NKC!$N$8,B41&gt;=NKC!$M$8),"x","")</f>
        <v/>
      </c>
      <c r="AA41" s="894"/>
    </row>
    <row r="42" spans="1:29" s="598" customFormat="1" ht="15.75" customHeight="1">
      <c r="A42" s="199" t="str">
        <f>IF(B42&lt;&gt;"",IF(AND(B42&gt;=_TM1,B42&lt;=_TM2,OR(TH!L42="1111",TH!M42="1111")),TH!D42,""),"")</f>
        <v/>
      </c>
      <c r="B42" s="36">
        <f t="shared" si="3"/>
        <v>1</v>
      </c>
      <c r="C42" s="183">
        <f t="shared" si="4"/>
        <v>0</v>
      </c>
      <c r="D42" s="183"/>
      <c r="E42" s="183"/>
      <c r="F42" s="188"/>
      <c r="G42" s="489"/>
      <c r="H42" s="192"/>
      <c r="I42" s="253"/>
      <c r="J42" s="253"/>
      <c r="K42" s="606"/>
      <c r="L42" s="607"/>
      <c r="M42" s="607"/>
      <c r="N42" s="39" t="str">
        <f>IF(AND('331-CT'!$E$7=TH!H42,OR(L42="331",M42="331")),"331",IF(AND(OR(L42="131",M42="131"),H42='131-CT'!$E$7),"131",""))</f>
        <v/>
      </c>
      <c r="O42" s="39" t="str">
        <f>IF(AND($B42&gt;='111'!$N$11,$B42&lt;='111'!$O$11,OR($L42=$O$7,$M42=$O$7)),"x","")</f>
        <v/>
      </c>
      <c r="P42" s="39" t="str">
        <f>IF(AND($L42=$O$7,$B42&lt;'111'!$N$11),"x","")</f>
        <v/>
      </c>
      <c r="Q42" s="39" t="str">
        <f>IF(AND($M42=$O$7,$B42&lt;'111'!$N$11),"x","")</f>
        <v/>
      </c>
      <c r="R42" s="39" t="str">
        <f>IF(ISERROR(FIND('112'!$M$9,G42,1)),"",IF((AND(FIND('112'!$M$9,G42,1)&gt;=1,$B42&gt;='112'!$N$8,$B42&lt;='112'!$O$8,OR($L42='112'!$I$6,$M42='112'!$I$6))),"x",""))</f>
        <v/>
      </c>
      <c r="S42" s="39" t="str">
        <f>IF(ISERROR(FIND('112'!$M$9,G42,1)),"",IF((AND(LEFT(G42,2)=LEFT('112'!$M$9,2),B42&lt;'112'!$N$8,$L42='112'!$I$6)),"x",""))</f>
        <v/>
      </c>
      <c r="T42" s="39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39" t="str">
        <f>IF(OR(TH!L42=TH!$V$7,M42=TH!$V$7),"x","")</f>
        <v/>
      </c>
      <c r="W42" s="39" t="str">
        <f>IF(AND(B42&gt;='IN-NX'!$P$3,B42&lt;='IN-NX'!$Q$3,'IN-NX'!$D$7=D42,OR(LEFT(L42,2)="15",AND(LEFT(M42,2)&lt;&gt;"15",LEFT(M42,2)&lt;&gt;"33"))),"x","")</f>
        <v/>
      </c>
      <c r="X42" s="39" t="str">
        <f>IF(AND(OR(LEFT(TH!L42,2)="15",LEFT(TH!M42,2)="15"),'152-CT'!$J$8=TH!F42),"x","")</f>
        <v/>
      </c>
      <c r="Y42" s="39" t="str">
        <f>IF(AND(OR(LEFT(TH!L42,2)="15",LEFT(TH!M42,2)="15"),TK!$E$7=TH!F42),"x","")</f>
        <v/>
      </c>
      <c r="Z42" s="39" t="str">
        <f>IF(AND(B42&lt;=NKC!$N$8,B42&gt;=NKC!$M$8),"x","")</f>
        <v/>
      </c>
      <c r="AA42" s="894"/>
    </row>
    <row r="43" spans="1:29" s="598" customFormat="1" ht="15.75" customHeight="1">
      <c r="A43" s="199" t="str">
        <f>IF(B43&lt;&gt;"",IF(AND(B43&gt;=_TM1,B43&lt;=_TM2,OR(TH!L43="1111",TH!M43="1111")),TH!D43,""),"")</f>
        <v/>
      </c>
      <c r="B43" s="36">
        <f t="shared" si="3"/>
        <v>1</v>
      </c>
      <c r="C43" s="183">
        <f t="shared" si="4"/>
        <v>0</v>
      </c>
      <c r="D43" s="183"/>
      <c r="E43" s="183"/>
      <c r="F43" s="188"/>
      <c r="G43" s="489"/>
      <c r="H43" s="192"/>
      <c r="I43" s="253"/>
      <c r="J43" s="253"/>
      <c r="K43" s="606"/>
      <c r="L43" s="607"/>
      <c r="M43" s="607"/>
      <c r="N43" s="39" t="str">
        <f>IF(AND('331-CT'!$E$7=TH!H43,OR(L43="331",M43="331")),"331",IF(AND(OR(L43="131",M43="131"),H43='131-CT'!$E$7),"131",""))</f>
        <v/>
      </c>
      <c r="O43" s="39" t="str">
        <f>IF(AND($B43&gt;='111'!$N$11,$B43&lt;='111'!$O$11,OR($L43=$O$7,$M43=$O$7)),"x","")</f>
        <v/>
      </c>
      <c r="P43" s="39" t="str">
        <f>IF(AND($L43=$O$7,$B43&lt;'111'!$N$11),"x","")</f>
        <v/>
      </c>
      <c r="Q43" s="39" t="str">
        <f>IF(AND($M43=$O$7,$B43&lt;'111'!$N$11),"x","")</f>
        <v/>
      </c>
      <c r="R43" s="39" t="str">
        <f>IF(ISERROR(FIND('112'!$M$9,G43,1)),"",IF((AND(FIND('112'!$M$9,G43,1)&gt;=1,$B43&gt;='112'!$N$8,$B43&lt;='112'!$O$8,OR($L43='112'!$I$6,$M43='112'!$I$6))),"x",""))</f>
        <v/>
      </c>
      <c r="S43" s="39" t="str">
        <f>IF(ISERROR(FIND('112'!$M$9,G43,1)),"",IF((AND(LEFT(G43,2)=LEFT('112'!$M$9,2),B43&lt;'112'!$N$8,$L43='112'!$I$6)),"x",""))</f>
        <v/>
      </c>
      <c r="T43" s="39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39" t="str">
        <f>IF(OR(TH!L43=TH!$V$7,M43=TH!$V$7),"x","")</f>
        <v/>
      </c>
      <c r="W43" s="39" t="str">
        <f>IF(AND(B43&gt;='IN-NX'!$P$3,B43&lt;='IN-NX'!$Q$3,'IN-NX'!$D$7=D43,OR(LEFT(L43,2)="15",AND(LEFT(M43,2)&lt;&gt;"15",LEFT(M43,2)&lt;&gt;"33"))),"x","")</f>
        <v/>
      </c>
      <c r="X43" s="39" t="str">
        <f>IF(AND(OR(LEFT(TH!L43,2)="15",LEFT(TH!M43,2)="15"),'152-CT'!$J$8=TH!F43),"x","")</f>
        <v/>
      </c>
      <c r="Y43" s="39" t="str">
        <f>IF(AND(OR(LEFT(TH!L43,2)="15",LEFT(TH!M43,2)="15"),TK!$E$7=TH!F43),"x","")</f>
        <v/>
      </c>
      <c r="Z43" s="39" t="str">
        <f>IF(AND(B43&lt;=NKC!$N$8,B43&gt;=NKC!$M$8),"x","")</f>
        <v/>
      </c>
      <c r="AA43" s="894"/>
    </row>
    <row r="44" spans="1:29" s="598" customFormat="1" ht="15.75" customHeight="1">
      <c r="A44" s="199" t="str">
        <f>IF(B44&lt;&gt;"",IF(AND(B44&gt;=_TM1,B44&lt;=_TM2,OR(TH!L44="1111",TH!M44="1111")),TH!D44,""),"")</f>
        <v/>
      </c>
      <c r="B44" s="36">
        <f t="shared" si="3"/>
        <v>1</v>
      </c>
      <c r="C44" s="183">
        <f t="shared" si="4"/>
        <v>0</v>
      </c>
      <c r="D44" s="183"/>
      <c r="E44" s="183"/>
      <c r="F44" s="188"/>
      <c r="G44" s="489"/>
      <c r="H44" s="817"/>
      <c r="I44" s="253"/>
      <c r="J44" s="253"/>
      <c r="K44" s="606"/>
      <c r="L44" s="607"/>
      <c r="M44" s="607"/>
      <c r="N44" s="39" t="str">
        <f>IF(AND('331-CT'!$E$7=TH!H44,OR(L44="331",M44="331")),"331",IF(AND(OR(L44="131",M44="131"),H44='131-CT'!$E$7),"131",""))</f>
        <v/>
      </c>
      <c r="O44" s="39" t="str">
        <f>IF(AND($B44&gt;='111'!$N$11,$B44&lt;='111'!$O$11,OR($L44=$O$7,$M44=$O$7)),"x","")</f>
        <v/>
      </c>
      <c r="P44" s="39" t="str">
        <f>IF(AND($L44=$O$7,$B44&lt;'111'!$N$11),"x","")</f>
        <v/>
      </c>
      <c r="Q44" s="39" t="str">
        <f>IF(AND($M44=$O$7,$B44&lt;'111'!$N$11),"x","")</f>
        <v/>
      </c>
      <c r="R44" s="39" t="str">
        <f>IF(ISERROR(FIND('112'!$M$9,G44,1)),"",IF((AND(FIND('112'!$M$9,G44,1)&gt;=1,$B44&gt;='112'!$N$8,$B44&lt;='112'!$O$8,OR($L44='112'!$I$6,$M44='112'!$I$6))),"x",""))</f>
        <v/>
      </c>
      <c r="S44" s="39" t="str">
        <f>IF(ISERROR(FIND('112'!$M$9,G44,1)),"",IF((AND(LEFT(G44,2)=LEFT('112'!$M$9,2),B44&lt;'112'!$N$8,$L44='112'!$I$6)),"x",""))</f>
        <v/>
      </c>
      <c r="T44" s="39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39" t="str">
        <f>IF(OR(TH!L44=TH!$V$7,M44=TH!$V$7),"x","")</f>
        <v/>
      </c>
      <c r="W44" s="39" t="str">
        <f>IF(AND(B44&gt;='IN-NX'!$P$3,B44&lt;='IN-NX'!$Q$3,'IN-NX'!$D$7=D44,OR(LEFT(L44,2)="15",AND(LEFT(M44,2)&lt;&gt;"15",LEFT(M44,2)&lt;&gt;"33"))),"x","")</f>
        <v/>
      </c>
      <c r="X44" s="39" t="str">
        <f>IF(AND(OR(LEFT(TH!L44,2)="15",LEFT(TH!M44,2)="15"),'152-CT'!$J$8=TH!F44),"x","")</f>
        <v/>
      </c>
      <c r="Y44" s="39" t="str">
        <f>IF(AND(OR(LEFT(TH!L44,2)="15",LEFT(TH!M44,2)="15"),TK!$E$7=TH!F44),"x","")</f>
        <v/>
      </c>
      <c r="Z44" s="39" t="str">
        <f>IF(AND(B44&lt;=NKC!$N$8,B44&gt;=NKC!$M$8),"x","")</f>
        <v/>
      </c>
      <c r="AA44" s="894"/>
    </row>
    <row r="45" spans="1:29" s="598" customFormat="1" ht="15.75" customHeight="1">
      <c r="A45" s="199" t="str">
        <f>IF(B45&lt;&gt;"",IF(AND(B45&gt;=_TM1,B45&lt;=_TM2,OR(TH!L45="1111",TH!M45="1111")),TH!D45,""),"")</f>
        <v/>
      </c>
      <c r="B45" s="36">
        <f t="shared" si="3"/>
        <v>1</v>
      </c>
      <c r="C45" s="183">
        <f t="shared" si="4"/>
        <v>0</v>
      </c>
      <c r="D45" s="183"/>
      <c r="E45" s="183"/>
      <c r="F45" s="188"/>
      <c r="G45" s="489"/>
      <c r="H45" s="7"/>
      <c r="I45" s="253"/>
      <c r="J45" s="253"/>
      <c r="K45" s="606"/>
      <c r="L45" s="607"/>
      <c r="M45" s="607"/>
      <c r="N45" s="39" t="str">
        <f>IF(AND('331-CT'!$E$7=TH!H45,OR(L45="331",M45="331")),"331",IF(AND(OR(L45="131",M45="131"),H45='131-CT'!$E$7),"131",""))</f>
        <v/>
      </c>
      <c r="O45" s="39" t="str">
        <f>IF(AND($B45&gt;='111'!$N$11,$B45&lt;='111'!$O$11,OR($L45=$O$7,$M45=$O$7)),"x","")</f>
        <v/>
      </c>
      <c r="P45" s="39" t="str">
        <f>IF(AND($L45=$O$7,$B45&lt;'111'!$N$11),"x","")</f>
        <v/>
      </c>
      <c r="Q45" s="39" t="str">
        <f>IF(AND($M45=$O$7,$B45&lt;'111'!$N$11),"x","")</f>
        <v/>
      </c>
      <c r="R45" s="39" t="str">
        <f>IF(ISERROR(FIND('112'!$M$9,G45,1)),"",IF((AND(FIND('112'!$M$9,G45,1)&gt;=1,$B45&gt;='112'!$N$8,$B45&lt;='112'!$O$8,OR($L45='112'!$I$6,$M45='112'!$I$6))),"x",""))</f>
        <v/>
      </c>
      <c r="S45" s="39" t="str">
        <f>IF(ISERROR(FIND('112'!$M$9,G45,1)),"",IF((AND(LEFT(G45,2)=LEFT('112'!$M$9,2),B45&lt;'112'!$N$8,$L45='112'!$I$6)),"x",""))</f>
        <v/>
      </c>
      <c r="T45" s="39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39" t="str">
        <f>IF(OR(TH!L45=TH!$V$7,M45=TH!$V$7),"x","")</f>
        <v/>
      </c>
      <c r="W45" s="39" t="str">
        <f>IF(AND(B45&gt;='IN-NX'!$P$3,B45&lt;='IN-NX'!$Q$3,'IN-NX'!$D$7=D45,OR(LEFT(L45,2)="15",AND(LEFT(M45,2)&lt;&gt;"15",LEFT(M45,2)&lt;&gt;"33"))),"x","")</f>
        <v/>
      </c>
      <c r="X45" s="39" t="str">
        <f>IF(AND(OR(LEFT(TH!L45,2)="15",LEFT(TH!M45,2)="15"),'152-CT'!$J$8=TH!F45),"x","")</f>
        <v/>
      </c>
      <c r="Y45" s="39" t="str">
        <f>IF(AND(OR(LEFT(TH!L45,2)="15",LEFT(TH!M45,2)="15"),TK!$E$7=TH!F45),"x","")</f>
        <v/>
      </c>
      <c r="Z45" s="39" t="str">
        <f>IF(AND(B45&lt;=NKC!$N$8,B45&gt;=NKC!$M$8),"x","")</f>
        <v/>
      </c>
      <c r="AA45" s="894"/>
    </row>
    <row r="46" spans="1:29" s="598" customFormat="1" ht="15.75" customHeight="1">
      <c r="A46" s="199" t="str">
        <f>IF(B46&lt;&gt;"",IF(AND(B46&gt;=_TM1,B46&lt;=_TM2,OR(TH!L46="1111",TH!M46="1111")),TH!D46,""),"")</f>
        <v/>
      </c>
      <c r="B46" s="36">
        <f t="shared" si="3"/>
        <v>1</v>
      </c>
      <c r="C46" s="183">
        <f t="shared" si="4"/>
        <v>0</v>
      </c>
      <c r="D46" s="183"/>
      <c r="E46" s="183"/>
      <c r="F46" s="188"/>
      <c r="G46" s="489"/>
      <c r="H46" s="7"/>
      <c r="I46" s="253"/>
      <c r="J46" s="253"/>
      <c r="K46" s="606"/>
      <c r="L46" s="607"/>
      <c r="M46" s="607"/>
      <c r="N46" s="39" t="str">
        <f>IF(AND('331-CT'!$E$7=TH!H46,OR(L46="331",M46="331")),"331",IF(AND(OR(L46="131",M46="131"),H46='131-CT'!$E$7),"131",""))</f>
        <v/>
      </c>
      <c r="O46" s="39" t="str">
        <f>IF(AND($B46&gt;='111'!$N$11,$B46&lt;='111'!$O$11,OR($L46=$O$7,$M46=$O$7)),"x","")</f>
        <v/>
      </c>
      <c r="P46" s="39" t="str">
        <f>IF(AND($L46=$O$7,$B46&lt;'111'!$N$11),"x","")</f>
        <v/>
      </c>
      <c r="Q46" s="39" t="str">
        <f>IF(AND($M46=$O$7,$B46&lt;'111'!$N$11),"x","")</f>
        <v/>
      </c>
      <c r="R46" s="39" t="str">
        <f>IF(ISERROR(FIND('112'!$M$9,G46,1)),"",IF((AND(FIND('112'!$M$9,G46,1)&gt;=1,$B46&gt;='112'!$N$8,$B46&lt;='112'!$O$8,OR($L46='112'!$I$6,$M46='112'!$I$6))),"x",""))</f>
        <v/>
      </c>
      <c r="S46" s="39" t="str">
        <f>IF(ISERROR(FIND('112'!$M$9,G46,1)),"",IF((AND(LEFT(G46,2)=LEFT('112'!$M$9,2),B46&lt;'112'!$N$8,$L46='112'!$I$6)),"x",""))</f>
        <v/>
      </c>
      <c r="T46" s="39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39" t="str">
        <f>IF(OR(TH!L46=TH!$V$7,M46=TH!$V$7),"x","")</f>
        <v/>
      </c>
      <c r="W46" s="39" t="str">
        <f>IF(AND(B46&gt;='IN-NX'!$P$3,B46&lt;='IN-NX'!$Q$3,'IN-NX'!$D$7=D46,OR(LEFT(L46,2)="15",AND(LEFT(M46,2)&lt;&gt;"15",LEFT(M46,2)&lt;&gt;"33"))),"x","")</f>
        <v/>
      </c>
      <c r="X46" s="39" t="str">
        <f>IF(AND(OR(LEFT(TH!L46,2)="15",LEFT(TH!M46,2)="15"),'152-CT'!$J$8=TH!F46),"x","")</f>
        <v/>
      </c>
      <c r="Y46" s="39" t="str">
        <f>IF(AND(OR(LEFT(TH!L46,2)="15",LEFT(TH!M46,2)="15"),TK!$E$7=TH!F46),"x","")</f>
        <v/>
      </c>
      <c r="Z46" s="39" t="str">
        <f>IF(AND(B46&lt;=NKC!$N$8,B46&gt;=NKC!$M$8),"x","")</f>
        <v/>
      </c>
      <c r="AA46" s="894"/>
    </row>
    <row r="47" spans="1:29" s="598" customFormat="1" ht="15.75" customHeight="1">
      <c r="A47" s="199" t="str">
        <f>IF(B47&lt;&gt;"",IF(AND(B47&gt;=_TM1,B47&lt;=_TM2,OR(TH!L47="1111",TH!M47="1111")),TH!D47,""),"")</f>
        <v/>
      </c>
      <c r="B47" s="36">
        <f t="shared" si="3"/>
        <v>1</v>
      </c>
      <c r="C47" s="183">
        <f t="shared" si="4"/>
        <v>0</v>
      </c>
      <c r="D47" s="183"/>
      <c r="E47" s="183"/>
      <c r="F47" s="188"/>
      <c r="G47" s="489"/>
      <c r="H47" s="7"/>
      <c r="I47" s="253"/>
      <c r="J47" s="253"/>
      <c r="K47" s="606"/>
      <c r="L47" s="607"/>
      <c r="M47" s="607"/>
      <c r="N47" s="39" t="str">
        <f>IF(AND('331-CT'!$E$7=TH!H47,OR(L47="331",M47="331")),"331",IF(AND(OR(L47="131",M47="131"),H47='131-CT'!$E$7),"131",""))</f>
        <v/>
      </c>
      <c r="O47" s="39" t="str">
        <f>IF(AND($B47&gt;='111'!$N$11,$B47&lt;='111'!$O$11,OR($L47=$O$7,$M47=$O$7)),"x","")</f>
        <v/>
      </c>
      <c r="P47" s="39" t="str">
        <f>IF(AND($L47=$O$7,$B47&lt;'111'!$N$11),"x","")</f>
        <v/>
      </c>
      <c r="Q47" s="39" t="str">
        <f>IF(AND($M47=$O$7,$B47&lt;'111'!$N$11),"x","")</f>
        <v/>
      </c>
      <c r="R47" s="39" t="str">
        <f>IF(ISERROR(FIND('112'!$M$9,G47,1)),"",IF((AND(FIND('112'!$M$9,G47,1)&gt;=1,$B47&gt;='112'!$N$8,$B47&lt;='112'!$O$8,OR($L47='112'!$I$6,$M47='112'!$I$6))),"x",""))</f>
        <v/>
      </c>
      <c r="S47" s="39" t="str">
        <f>IF(ISERROR(FIND('112'!$M$9,G47,1)),"",IF((AND(LEFT(G47,2)=LEFT('112'!$M$9,2),B47&lt;'112'!$N$8,$L47='112'!$I$6)),"x",""))</f>
        <v/>
      </c>
      <c r="T47" s="39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39" t="str">
        <f>IF(OR(TH!L47=TH!$V$7,M47=TH!$V$7),"x","")</f>
        <v/>
      </c>
      <c r="W47" s="39" t="str">
        <f>IF(AND(B47&gt;='IN-NX'!$P$3,B47&lt;='IN-NX'!$Q$3,'IN-NX'!$D$7=D47,OR(LEFT(L47,2)="15",AND(LEFT(M47,2)&lt;&gt;"15",LEFT(M47,2)&lt;&gt;"33"))),"x","")</f>
        <v/>
      </c>
      <c r="X47" s="39" t="str">
        <f>IF(AND(OR(LEFT(TH!L47,2)="15",LEFT(TH!M47,2)="15"),'152-CT'!$J$8=TH!F47),"x","")</f>
        <v/>
      </c>
      <c r="Y47" s="39" t="str">
        <f>IF(AND(OR(LEFT(TH!L47,2)="15",LEFT(TH!M47,2)="15"),TK!$E$7=TH!F47),"x","")</f>
        <v/>
      </c>
      <c r="Z47" s="39" t="str">
        <f>IF(AND(B47&lt;=NKC!$N$8,B47&gt;=NKC!$M$8),"x","")</f>
        <v/>
      </c>
      <c r="AA47" s="894"/>
      <c r="AB47" s="205"/>
      <c r="AC47" s="205"/>
    </row>
    <row r="48" spans="1:29" s="598" customFormat="1" ht="15.75" customHeight="1">
      <c r="A48" s="199" t="str">
        <f>IF(B48&lt;&gt;"",IF(AND(B48&gt;=_TM1,B48&lt;=_TM2,OR(TH!L48="1111",TH!M48="1111")),TH!D48,""),"")</f>
        <v/>
      </c>
      <c r="B48" s="36">
        <f t="shared" si="3"/>
        <v>1</v>
      </c>
      <c r="C48" s="183">
        <f t="shared" si="4"/>
        <v>0</v>
      </c>
      <c r="D48" s="183"/>
      <c r="E48" s="183"/>
      <c r="F48" s="188"/>
      <c r="G48" s="489"/>
      <c r="H48" s="817"/>
      <c r="I48" s="253"/>
      <c r="J48" s="253"/>
      <c r="K48" s="606"/>
      <c r="L48" s="607"/>
      <c r="M48" s="607"/>
      <c r="N48" s="39" t="str">
        <f>IF(AND('331-CT'!$E$7=TH!H48,OR(L48="331",M48="331")),"331",IF(AND(OR(L48="131",M48="131"),H48='131-CT'!$E$7),"131",""))</f>
        <v/>
      </c>
      <c r="O48" s="39" t="str">
        <f>IF(AND($B48&gt;='111'!$N$11,$B48&lt;='111'!$O$11,OR($L48=$O$7,$M48=$O$7)),"x","")</f>
        <v/>
      </c>
      <c r="P48" s="39" t="str">
        <f>IF(AND($L48=$O$7,$B48&lt;'111'!$N$11),"x","")</f>
        <v/>
      </c>
      <c r="Q48" s="39" t="str">
        <f>IF(AND($M48=$O$7,$B48&lt;'111'!$N$11),"x","")</f>
        <v/>
      </c>
      <c r="R48" s="39" t="str">
        <f>IF(ISERROR(FIND('112'!$M$9,G48,1)),"",IF((AND(FIND('112'!$M$9,G48,1)&gt;=1,$B48&gt;='112'!$N$8,$B48&lt;='112'!$O$8,OR($L48='112'!$I$6,$M48='112'!$I$6))),"x",""))</f>
        <v/>
      </c>
      <c r="S48" s="39" t="str">
        <f>IF(ISERROR(FIND('112'!$M$9,G48,1)),"",IF((AND(LEFT(G48,2)=LEFT('112'!$M$9,2),B48&lt;'112'!$N$8,$L48='112'!$I$6)),"x",""))</f>
        <v/>
      </c>
      <c r="T48" s="39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39" t="str">
        <f>IF(OR(TH!L48=TH!$V$7,M48=TH!$V$7),"x","")</f>
        <v/>
      </c>
      <c r="W48" s="39" t="str">
        <f>IF(AND(B48&gt;='IN-NX'!$P$3,B48&lt;='IN-NX'!$Q$3,'IN-NX'!$D$7=D48,OR(LEFT(L48,2)="15",AND(LEFT(M48,2)&lt;&gt;"15",LEFT(M48,2)&lt;&gt;"33"))),"x","")</f>
        <v/>
      </c>
      <c r="X48" s="39" t="str">
        <f>IF(AND(OR(LEFT(TH!L48,2)="15",LEFT(TH!M48,2)="15"),'152-CT'!$J$8=TH!F48),"x","")</f>
        <v/>
      </c>
      <c r="Y48" s="39" t="str">
        <f>IF(AND(OR(LEFT(TH!L48,2)="15",LEFT(TH!M48,2)="15"),TK!$E$7=TH!F48),"x","")</f>
        <v/>
      </c>
      <c r="Z48" s="39" t="str">
        <f>IF(AND(B48&lt;=NKC!$N$8,B48&gt;=NKC!$M$8),"x","")</f>
        <v/>
      </c>
      <c r="AA48" s="894"/>
      <c r="AB48" s="205"/>
      <c r="AC48" s="205"/>
    </row>
    <row r="49" spans="1:30" s="598" customFormat="1" ht="15.75" customHeight="1">
      <c r="A49" s="199" t="str">
        <f>IF(B49&lt;&gt;"",IF(AND(B49&gt;=_TM1,B49&lt;=_TM2,OR(TH!L49="1111",TH!M49="1111")),TH!D49,""),"")</f>
        <v/>
      </c>
      <c r="B49" s="36">
        <f t="shared" si="3"/>
        <v>1</v>
      </c>
      <c r="C49" s="183">
        <f t="shared" si="4"/>
        <v>0</v>
      </c>
      <c r="D49" s="183"/>
      <c r="E49" s="183"/>
      <c r="F49" s="188"/>
      <c r="G49" s="489"/>
      <c r="H49" s="7"/>
      <c r="I49" s="253"/>
      <c r="J49" s="253"/>
      <c r="K49" s="606"/>
      <c r="L49" s="607"/>
      <c r="M49" s="607"/>
      <c r="N49" s="39" t="str">
        <f>IF(AND('331-CT'!$E$7=TH!H49,OR(L49="331",M49="331")),"331",IF(AND(OR(L49="131",M49="131"),H49='131-CT'!$E$7),"131",""))</f>
        <v/>
      </c>
      <c r="O49" s="39" t="str">
        <f>IF(AND($B49&gt;='111'!$N$11,$B49&lt;='111'!$O$11,OR($L49=$O$7,$M49=$O$7)),"x","")</f>
        <v/>
      </c>
      <c r="P49" s="39" t="str">
        <f>IF(AND($L49=$O$7,$B49&lt;'111'!$N$11),"x","")</f>
        <v/>
      </c>
      <c r="Q49" s="39" t="str">
        <f>IF(AND($M49=$O$7,$B49&lt;'111'!$N$11),"x","")</f>
        <v/>
      </c>
      <c r="R49" s="39" t="str">
        <f>IF(ISERROR(FIND('112'!$M$9,G49,1)),"",IF((AND(FIND('112'!$M$9,G49,1)&gt;=1,$B49&gt;='112'!$N$8,$B49&lt;='112'!$O$8,OR($L49='112'!$I$6,$M49='112'!$I$6))),"x",""))</f>
        <v/>
      </c>
      <c r="S49" s="39" t="str">
        <f>IF(ISERROR(FIND('112'!$M$9,G49,1)),"",IF((AND(LEFT(G49,2)=LEFT('112'!$M$9,2),B49&lt;'112'!$N$8,$L49='112'!$I$6)),"x",""))</f>
        <v/>
      </c>
      <c r="T49" s="39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39" t="str">
        <f>IF(OR(TH!L49=TH!$V$7,M49=TH!$V$7),"x","")</f>
        <v/>
      </c>
      <c r="W49" s="39" t="str">
        <f>IF(AND(B49&gt;='IN-NX'!$P$3,B49&lt;='IN-NX'!$Q$3,'IN-NX'!$D$7=D49,OR(LEFT(L49,2)="15",AND(LEFT(M49,2)&lt;&gt;"15",LEFT(M49,2)&lt;&gt;"33"))),"x","")</f>
        <v/>
      </c>
      <c r="X49" s="39" t="str">
        <f>IF(AND(OR(LEFT(TH!L49,2)="15",LEFT(TH!M49,2)="15"),'152-CT'!$J$8=TH!F49),"x","")</f>
        <v/>
      </c>
      <c r="Y49" s="39" t="str">
        <f>IF(AND(OR(LEFT(TH!L49,2)="15",LEFT(TH!M49,2)="15"),TK!$E$7=TH!F49),"x","")</f>
        <v/>
      </c>
      <c r="Z49" s="39" t="str">
        <f>IF(AND(B49&lt;=NKC!$N$8,B49&gt;=NKC!$M$8),"x","")</f>
        <v/>
      </c>
      <c r="AA49" s="894"/>
      <c r="AB49" s="205"/>
      <c r="AC49" s="205"/>
    </row>
    <row r="50" spans="1:30" s="598" customFormat="1" ht="15.75" customHeight="1">
      <c r="A50" s="199" t="str">
        <f>IF(B50&lt;&gt;"",IF(AND(B50&gt;=_TM1,B50&lt;=_TM2,OR(TH!L50="1111",TH!M50="1111")),TH!D50,""),"")</f>
        <v/>
      </c>
      <c r="B50" s="36">
        <f t="shared" si="3"/>
        <v>1</v>
      </c>
      <c r="C50" s="183">
        <f t="shared" si="4"/>
        <v>0</v>
      </c>
      <c r="D50" s="183"/>
      <c r="E50" s="183"/>
      <c r="F50" s="188"/>
      <c r="G50" s="489"/>
      <c r="H50" s="7"/>
      <c r="I50" s="253"/>
      <c r="J50" s="253"/>
      <c r="K50" s="606"/>
      <c r="L50" s="607"/>
      <c r="M50" s="607"/>
      <c r="N50" s="39" t="str">
        <f>IF(AND('331-CT'!$E$7=TH!H50,OR(L50="331",M50="331")),"331",IF(AND(OR(L50="131",M50="131"),H50='131-CT'!$E$7),"131",""))</f>
        <v/>
      </c>
      <c r="O50" s="39" t="str">
        <f>IF(AND($B50&gt;='111'!$N$11,$B50&lt;='111'!$O$11,OR($L50=$O$7,$M50=$O$7)),"x","")</f>
        <v/>
      </c>
      <c r="P50" s="39" t="str">
        <f>IF(AND($L50=$O$7,$B50&lt;'111'!$N$11),"x","")</f>
        <v/>
      </c>
      <c r="Q50" s="39" t="str">
        <f>IF(AND($M50=$O$7,$B50&lt;'111'!$N$11),"x","")</f>
        <v/>
      </c>
      <c r="R50" s="39" t="str">
        <f>IF(ISERROR(FIND('112'!$M$9,G50,1)),"",IF((AND(FIND('112'!$M$9,G50,1)&gt;=1,$B50&gt;='112'!$N$8,$B50&lt;='112'!$O$8,OR($L50='112'!$I$6,$M50='112'!$I$6))),"x",""))</f>
        <v/>
      </c>
      <c r="S50" s="39" t="str">
        <f>IF(ISERROR(FIND('112'!$M$9,G50,1)),"",IF((AND(LEFT(G50,2)=LEFT('112'!$M$9,2),B50&lt;'112'!$N$8,$L50='112'!$I$6)),"x",""))</f>
        <v/>
      </c>
      <c r="T50" s="39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39" t="str">
        <f>IF(OR(TH!L50=TH!$V$7,M50=TH!$V$7),"x","")</f>
        <v/>
      </c>
      <c r="W50" s="39" t="str">
        <f>IF(AND(B50&gt;='IN-NX'!$P$3,B50&lt;='IN-NX'!$Q$3,'IN-NX'!$D$7=D50,OR(LEFT(L50,2)="15",AND(LEFT(M50,2)&lt;&gt;"15",LEFT(M50,2)&lt;&gt;"33"))),"x","")</f>
        <v/>
      </c>
      <c r="X50" s="39" t="str">
        <f>IF(AND(OR(LEFT(TH!L50,2)="15",LEFT(TH!M50,2)="15"),'152-CT'!$J$8=TH!F50),"x","")</f>
        <v/>
      </c>
      <c r="Y50" s="39" t="str">
        <f>IF(AND(OR(LEFT(TH!L50,2)="15",LEFT(TH!M50,2)="15"),TK!$E$7=TH!F50),"x","")</f>
        <v/>
      </c>
      <c r="Z50" s="39" t="str">
        <f>IF(AND(B50&lt;=NKC!$N$8,B50&gt;=NKC!$M$8),"x","")</f>
        <v/>
      </c>
      <c r="AA50" s="894"/>
      <c r="AB50" s="205"/>
      <c r="AC50" s="205"/>
    </row>
    <row r="51" spans="1:30" s="598" customFormat="1" ht="15.75" customHeight="1">
      <c r="A51" s="199" t="str">
        <f>IF(B51&lt;&gt;"",IF(AND(B51&gt;=_TM1,B51&lt;=_TM2,OR(TH!L51="1111",TH!M51="1111")),TH!D51,""),"")</f>
        <v/>
      </c>
      <c r="B51" s="36">
        <f t="shared" si="3"/>
        <v>1</v>
      </c>
      <c r="C51" s="183">
        <f t="shared" si="4"/>
        <v>0</v>
      </c>
      <c r="D51" s="183"/>
      <c r="E51" s="183"/>
      <c r="F51" s="188"/>
      <c r="G51" s="489"/>
      <c r="H51" s="192"/>
      <c r="I51" s="253"/>
      <c r="J51" s="253"/>
      <c r="K51" s="606"/>
      <c r="L51" s="607"/>
      <c r="M51" s="607"/>
      <c r="N51" s="39" t="str">
        <f>IF(AND('331-CT'!$E$7=TH!H51,OR(L51="331",M51="331")),"331",IF(AND(OR(L51="131",M51="131"),H51='131-CT'!$E$7),"131",""))</f>
        <v/>
      </c>
      <c r="O51" s="39" t="str">
        <f>IF(AND($B51&gt;='111'!$N$11,$B51&lt;='111'!$O$11,OR($L51=$O$7,$M51=$O$7)),"x","")</f>
        <v/>
      </c>
      <c r="P51" s="39" t="str">
        <f>IF(AND($L51=$O$7,$B51&lt;'111'!$N$11),"x","")</f>
        <v/>
      </c>
      <c r="Q51" s="39" t="str">
        <f>IF(AND($M51=$O$7,$B51&lt;'111'!$N$11),"x","")</f>
        <v/>
      </c>
      <c r="R51" s="39" t="str">
        <f>IF(ISERROR(FIND('112'!$M$9,G51,1)),"",IF((AND(FIND('112'!$M$9,G51,1)&gt;=1,$B51&gt;='112'!$N$8,$B51&lt;='112'!$O$8,OR($L51='112'!$I$6,$M51='112'!$I$6))),"x",""))</f>
        <v/>
      </c>
      <c r="S51" s="39" t="str">
        <f>IF(ISERROR(FIND('112'!$M$9,G51,1)),"",IF((AND(LEFT(G51,2)=LEFT('112'!$M$9,2),B51&lt;'112'!$N$8,$L51='112'!$I$6)),"x",""))</f>
        <v/>
      </c>
      <c r="T51" s="39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39" t="str">
        <f>IF(OR(TH!L51=TH!$V$7,M51=TH!$V$7),"x","")</f>
        <v/>
      </c>
      <c r="W51" s="39" t="str">
        <f>IF(AND(B51&gt;='IN-NX'!$P$3,B51&lt;='IN-NX'!$Q$3,'IN-NX'!$D$7=D51,OR(LEFT(L51,2)="15",AND(LEFT(M51,2)&lt;&gt;"15",LEFT(M51,2)&lt;&gt;"33"))),"x","")</f>
        <v/>
      </c>
      <c r="X51" s="39" t="str">
        <f>IF(AND(OR(LEFT(TH!L51,2)="15",LEFT(TH!M51,2)="15"),'152-CT'!$J$8=TH!F51),"x","")</f>
        <v/>
      </c>
      <c r="Y51" s="39" t="str">
        <f>IF(AND(OR(LEFT(TH!L51,2)="15",LEFT(TH!M51,2)="15"),TK!$E$7=TH!F51),"x","")</f>
        <v/>
      </c>
      <c r="Z51" s="39" t="str">
        <f>IF(AND(B51&lt;=NKC!$N$8,B51&gt;=NKC!$M$8),"x","")</f>
        <v/>
      </c>
      <c r="AA51" s="894"/>
      <c r="AC51" s="205"/>
    </row>
    <row r="52" spans="1:30" s="598" customFormat="1" ht="15.75" customHeight="1">
      <c r="A52" s="199" t="str">
        <f>IF(B52&lt;&gt;"",IF(AND(B52&gt;=_TM1,B52&lt;=_TM2,OR(TH!L52="1111",TH!M52="1111")),TH!D52,""),"")</f>
        <v/>
      </c>
      <c r="B52" s="36">
        <f t="shared" si="3"/>
        <v>1</v>
      </c>
      <c r="C52" s="183">
        <f t="shared" si="4"/>
        <v>0</v>
      </c>
      <c r="D52" s="183"/>
      <c r="E52" s="183"/>
      <c r="F52" s="188"/>
      <c r="G52" s="489"/>
      <c r="H52" s="7"/>
      <c r="I52" s="253"/>
      <c r="J52" s="253"/>
      <c r="K52" s="606"/>
      <c r="L52" s="607"/>
      <c r="M52" s="607"/>
      <c r="N52" s="39" t="str">
        <f>IF(AND('331-CT'!$E$7=TH!H52,OR(L52="331",M52="331")),"331",IF(AND(OR(L52="131",M52="131"),H52='131-CT'!$E$7),"131",""))</f>
        <v/>
      </c>
      <c r="O52" s="39" t="str">
        <f>IF(AND($B52&gt;='111'!$N$11,$B52&lt;='111'!$O$11,OR($L52=$O$7,$M52=$O$7)),"x","")</f>
        <v/>
      </c>
      <c r="P52" s="39" t="str">
        <f>IF(AND($L52=$O$7,$B52&lt;'111'!$N$11),"x","")</f>
        <v/>
      </c>
      <c r="Q52" s="39" t="str">
        <f>IF(AND($M52=$O$7,$B52&lt;'111'!$N$11),"x","")</f>
        <v/>
      </c>
      <c r="R52" s="39" t="str">
        <f>IF(ISERROR(FIND('112'!$M$9,G52,1)),"",IF((AND(FIND('112'!$M$9,G52,1)&gt;=1,$B52&gt;='112'!$N$8,$B52&lt;='112'!$O$8,OR($L52='112'!$I$6,$M52='112'!$I$6))),"x",""))</f>
        <v/>
      </c>
      <c r="S52" s="39" t="str">
        <f>IF(ISERROR(FIND('112'!$M$9,G52,1)),"",IF((AND(LEFT(G52,2)=LEFT('112'!$M$9,2),B52&lt;'112'!$N$8,$L52='112'!$I$6)),"x",""))</f>
        <v/>
      </c>
      <c r="T52" s="39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39" t="str">
        <f>IF(OR(TH!L52=TH!$V$7,M52=TH!$V$7),"x","")</f>
        <v/>
      </c>
      <c r="W52" s="39" t="str">
        <f>IF(AND(B52&gt;='IN-NX'!$P$3,B52&lt;='IN-NX'!$Q$3,'IN-NX'!$D$7=D52,OR(LEFT(L52,2)="15",AND(LEFT(M52,2)&lt;&gt;"15",LEFT(M52,2)&lt;&gt;"33"))),"x","")</f>
        <v/>
      </c>
      <c r="X52" s="39" t="str">
        <f>IF(AND(OR(LEFT(TH!L52,2)="15",LEFT(TH!M52,2)="15"),'152-CT'!$J$8=TH!F52),"x","")</f>
        <v/>
      </c>
      <c r="Y52" s="39" t="str">
        <f>IF(AND(OR(LEFT(TH!L52,2)="15",LEFT(TH!M52,2)="15"),TK!$E$7=TH!F52),"x","")</f>
        <v/>
      </c>
      <c r="Z52" s="39" t="str">
        <f>IF(AND(B52&lt;=NKC!$N$8,B52&gt;=NKC!$M$8),"x","")</f>
        <v/>
      </c>
      <c r="AA52" s="894"/>
    </row>
    <row r="53" spans="1:30" s="598" customFormat="1" ht="15.75" customHeight="1">
      <c r="A53" s="199" t="str">
        <f>IF(B53&lt;&gt;"",IF(AND(B53&gt;=_TM1,B53&lt;=_TM2,OR(TH!L53="1111",TH!M53="1111")),TH!D53,""),"")</f>
        <v/>
      </c>
      <c r="B53" s="36">
        <f t="shared" si="3"/>
        <v>1</v>
      </c>
      <c r="C53" s="183">
        <f t="shared" si="4"/>
        <v>0</v>
      </c>
      <c r="D53" s="183"/>
      <c r="E53" s="183"/>
      <c r="F53" s="188"/>
      <c r="G53" s="489"/>
      <c r="H53" s="7"/>
      <c r="I53" s="253"/>
      <c r="J53" s="253"/>
      <c r="K53" s="606"/>
      <c r="L53" s="607"/>
      <c r="M53" s="607"/>
      <c r="N53" s="39" t="str">
        <f>IF(AND('331-CT'!$E$7=TH!H53,OR(L53="331",M53="331")),"331",IF(AND(OR(L53="131",M53="131"),H53='131-CT'!$E$7),"131",""))</f>
        <v/>
      </c>
      <c r="O53" s="39" t="str">
        <f>IF(AND($B53&gt;='111'!$N$11,$B53&lt;='111'!$O$11,OR($L53=$O$7,$M53=$O$7)),"x","")</f>
        <v/>
      </c>
      <c r="P53" s="39" t="str">
        <f>IF(AND($L53=$O$7,$B53&lt;'111'!$N$11),"x","")</f>
        <v/>
      </c>
      <c r="Q53" s="39" t="str">
        <f>IF(AND($M53=$O$7,$B53&lt;'111'!$N$11),"x","")</f>
        <v/>
      </c>
      <c r="R53" s="39" t="str">
        <f>IF(ISERROR(FIND('112'!$M$9,G53,1)),"",IF((AND(FIND('112'!$M$9,G53,1)&gt;=1,$B53&gt;='112'!$N$8,$B53&lt;='112'!$O$8,OR($L53='112'!$I$6,$M53='112'!$I$6))),"x",""))</f>
        <v/>
      </c>
      <c r="S53" s="39" t="str">
        <f>IF(ISERROR(FIND('112'!$M$9,G53,1)),"",IF((AND(LEFT(G53,2)=LEFT('112'!$M$9,2),B53&lt;'112'!$N$8,$L53='112'!$I$6)),"x",""))</f>
        <v/>
      </c>
      <c r="T53" s="39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39" t="str">
        <f>IF(OR(TH!L53=TH!$V$7,M53=TH!$V$7),"x","")</f>
        <v/>
      </c>
      <c r="W53" s="39" t="str">
        <f>IF(AND(B53&gt;='IN-NX'!$P$3,B53&lt;='IN-NX'!$Q$3,'IN-NX'!$D$7=D53,OR(LEFT(L53,2)="15",AND(LEFT(M53,2)&lt;&gt;"15",LEFT(M53,2)&lt;&gt;"33"))),"x","")</f>
        <v/>
      </c>
      <c r="X53" s="39" t="str">
        <f>IF(AND(OR(LEFT(TH!L53,2)="15",LEFT(TH!M53,2)="15"),'152-CT'!$J$8=TH!F53),"x","")</f>
        <v/>
      </c>
      <c r="Y53" s="39" t="str">
        <f>IF(AND(OR(LEFT(TH!L53,2)="15",LEFT(TH!M53,2)="15"),TK!$E$7=TH!F53),"x","")</f>
        <v/>
      </c>
      <c r="Z53" s="39" t="str">
        <f>IF(AND(B53&lt;=NKC!$N$8,B53&gt;=NKC!$M$8),"x","")</f>
        <v/>
      </c>
      <c r="AA53" s="894"/>
    </row>
    <row r="54" spans="1:30" s="598" customFormat="1" ht="15.75" customHeight="1">
      <c r="A54" s="199" t="str">
        <f>IF(B54&lt;&gt;"",IF(AND(B54&gt;=_TM1,B54&lt;=_TM2,OR(TH!L54="1111",TH!M54="1111")),TH!D54,""),"")</f>
        <v/>
      </c>
      <c r="B54" s="36">
        <f t="shared" si="3"/>
        <v>1</v>
      </c>
      <c r="C54" s="183">
        <f t="shared" si="4"/>
        <v>0</v>
      </c>
      <c r="D54" s="183"/>
      <c r="E54" s="183"/>
      <c r="F54" s="188"/>
      <c r="G54" s="489"/>
      <c r="H54" s="7"/>
      <c r="I54" s="253"/>
      <c r="J54" s="253"/>
      <c r="K54" s="606"/>
      <c r="L54" s="607"/>
      <c r="M54" s="607"/>
      <c r="N54" s="39" t="str">
        <f>IF(AND('331-CT'!$E$7=TH!H54,OR(L54="331",M54="331")),"331",IF(AND(OR(L54="131",M54="131"),H54='131-CT'!$E$7),"131",""))</f>
        <v/>
      </c>
      <c r="O54" s="39" t="str">
        <f>IF(AND($B54&gt;='111'!$N$11,$B54&lt;='111'!$O$11,OR($L54=$O$7,$M54=$O$7)),"x","")</f>
        <v/>
      </c>
      <c r="P54" s="39" t="str">
        <f>IF(AND($L54=$O$7,$B54&lt;'111'!$N$11),"x","")</f>
        <v/>
      </c>
      <c r="Q54" s="39" t="str">
        <f>IF(AND($M54=$O$7,$B54&lt;'111'!$N$11),"x","")</f>
        <v/>
      </c>
      <c r="R54" s="39" t="str">
        <f>IF(ISERROR(FIND('112'!$M$9,G54,1)),"",IF((AND(FIND('112'!$M$9,G54,1)&gt;=1,$B54&gt;='112'!$N$8,$B54&lt;='112'!$O$8,OR($L54='112'!$I$6,$M54='112'!$I$6))),"x",""))</f>
        <v/>
      </c>
      <c r="S54" s="39" t="str">
        <f>IF(ISERROR(FIND('112'!$M$9,G54,1)),"",IF((AND(LEFT(G54,2)=LEFT('112'!$M$9,2),B54&lt;'112'!$N$8,$L54='112'!$I$6)),"x",""))</f>
        <v/>
      </c>
      <c r="T54" s="39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39" t="str">
        <f>IF(OR(TH!L54=TH!$V$7,M54=TH!$V$7),"x","")</f>
        <v/>
      </c>
      <c r="W54" s="39" t="str">
        <f>IF(AND(B54&gt;='IN-NX'!$P$3,B54&lt;='IN-NX'!$Q$3,'IN-NX'!$D$7=D54,OR(LEFT(L54,2)="15",AND(LEFT(M54,2)&lt;&gt;"15",LEFT(M54,2)&lt;&gt;"33"))),"x","")</f>
        <v/>
      </c>
      <c r="X54" s="39" t="str">
        <f>IF(AND(OR(LEFT(TH!L54,2)="15",LEFT(TH!M54,2)="15"),'152-CT'!$J$8=TH!F54),"x","")</f>
        <v/>
      </c>
      <c r="Y54" s="39" t="str">
        <f>IF(AND(OR(LEFT(TH!L54,2)="15",LEFT(TH!M54,2)="15"),TK!$E$7=TH!F54),"x","")</f>
        <v/>
      </c>
      <c r="Z54" s="39" t="str">
        <f>IF(AND(B54&lt;=NKC!$N$8,B54&gt;=NKC!$M$8),"x","")</f>
        <v/>
      </c>
      <c r="AA54" s="894"/>
      <c r="AB54" s="205"/>
      <c r="AC54" s="205"/>
    </row>
    <row r="55" spans="1:30" s="598" customFormat="1" ht="15.75" customHeight="1">
      <c r="A55" s="199" t="str">
        <f>IF(B55&lt;&gt;"",IF(AND(B55&gt;=_TM1,B55&lt;=_TM2,OR(TH!L55="1111",TH!M55="1111")),TH!D55,""),"")</f>
        <v/>
      </c>
      <c r="B55" s="36">
        <f t="shared" si="3"/>
        <v>1</v>
      </c>
      <c r="C55" s="183">
        <f t="shared" si="4"/>
        <v>0</v>
      </c>
      <c r="D55" s="183"/>
      <c r="E55" s="183"/>
      <c r="F55" s="188"/>
      <c r="G55" s="489"/>
      <c r="H55" s="7"/>
      <c r="I55" s="253"/>
      <c r="J55" s="253"/>
      <c r="K55" s="606"/>
      <c r="L55" s="607"/>
      <c r="M55" s="607"/>
      <c r="N55" s="39" t="str">
        <f>IF(AND('331-CT'!$E$7=TH!H55,OR(L55="331",M55="331")),"331",IF(AND(OR(L55="131",M55="131"),H55='131-CT'!$E$7),"131",""))</f>
        <v/>
      </c>
      <c r="O55" s="39" t="str">
        <f>IF(AND($B55&gt;='111'!$N$11,$B55&lt;='111'!$O$11,OR($L55=$O$7,$M55=$O$7)),"x","")</f>
        <v/>
      </c>
      <c r="P55" s="39" t="str">
        <f>IF(AND($L55=$O$7,$B55&lt;'111'!$N$11),"x","")</f>
        <v/>
      </c>
      <c r="Q55" s="39" t="str">
        <f>IF(AND($M55=$O$7,$B55&lt;'111'!$N$11),"x","")</f>
        <v/>
      </c>
      <c r="R55" s="39" t="str">
        <f>IF(ISERROR(FIND('112'!$M$9,G55,1)),"",IF((AND(FIND('112'!$M$9,G55,1)&gt;=1,$B55&gt;='112'!$N$8,$B55&lt;='112'!$O$8,OR($L55='112'!$I$6,$M55='112'!$I$6))),"x",""))</f>
        <v/>
      </c>
      <c r="S55" s="39" t="str">
        <f>IF(ISERROR(FIND('112'!$M$9,G55,1)),"",IF((AND(LEFT(G55,2)=LEFT('112'!$M$9,2),B55&lt;'112'!$N$8,$L55='112'!$I$6)),"x",""))</f>
        <v/>
      </c>
      <c r="T55" s="39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39" t="str">
        <f>IF(OR(TH!L55=TH!$V$7,M55=TH!$V$7),"x","")</f>
        <v/>
      </c>
      <c r="W55" s="39" t="str">
        <f>IF(AND(B55&gt;='IN-NX'!$P$3,B55&lt;='IN-NX'!$Q$3,'IN-NX'!$D$7=D55,OR(LEFT(L55,2)="15",AND(LEFT(M55,2)&lt;&gt;"15",LEFT(M55,2)&lt;&gt;"33"))),"x","")</f>
        <v/>
      </c>
      <c r="X55" s="39" t="str">
        <f>IF(AND(OR(LEFT(TH!L55,2)="15",LEFT(TH!M55,2)="15"),'152-CT'!$J$8=TH!F55),"x","")</f>
        <v/>
      </c>
      <c r="Y55" s="39" t="str">
        <f>IF(AND(OR(LEFT(TH!L55,2)="15",LEFT(TH!M55,2)="15"),TK!$E$7=TH!F55),"x","")</f>
        <v/>
      </c>
      <c r="Z55" s="39" t="str">
        <f>IF(AND(B55&lt;=NKC!$N$8,B55&gt;=NKC!$M$8),"x","")</f>
        <v/>
      </c>
      <c r="AA55" s="894"/>
      <c r="AC55" s="205"/>
    </row>
    <row r="56" spans="1:30" s="598" customFormat="1" ht="15.75" customHeight="1">
      <c r="A56" s="199" t="str">
        <f>IF(B56&lt;&gt;"",IF(AND(B56&gt;=_TM1,B56&lt;=_TM2,OR(TH!L56="1111",TH!M56="1111")),TH!D56,""),"")</f>
        <v/>
      </c>
      <c r="B56" s="36">
        <f t="shared" si="3"/>
        <v>1</v>
      </c>
      <c r="C56" s="183">
        <f t="shared" si="4"/>
        <v>0</v>
      </c>
      <c r="D56" s="183"/>
      <c r="E56" s="183"/>
      <c r="F56" s="188"/>
      <c r="G56" s="489"/>
      <c r="H56" s="7"/>
      <c r="I56" s="253"/>
      <c r="J56" s="253"/>
      <c r="K56" s="606"/>
      <c r="L56" s="607"/>
      <c r="M56" s="607"/>
      <c r="N56" s="39" t="str">
        <f>IF(AND('331-CT'!$E$7=TH!H56,OR(L56="331",M56="331")),"331",IF(AND(OR(L56="131",M56="131"),H56='131-CT'!$E$7),"131",""))</f>
        <v/>
      </c>
      <c r="O56" s="39" t="str">
        <f>IF(AND($B56&gt;='111'!$N$11,$B56&lt;='111'!$O$11,OR($L56=$O$7,$M56=$O$7)),"x","")</f>
        <v/>
      </c>
      <c r="P56" s="39" t="str">
        <f>IF(AND($L56=$O$7,$B56&lt;'111'!$N$11),"x","")</f>
        <v/>
      </c>
      <c r="Q56" s="39" t="str">
        <f>IF(AND($M56=$O$7,$B56&lt;'111'!$N$11),"x","")</f>
        <v/>
      </c>
      <c r="R56" s="39" t="str">
        <f>IF(ISERROR(FIND('112'!$M$9,G56,1)),"",IF((AND(FIND('112'!$M$9,G56,1)&gt;=1,$B56&gt;='112'!$N$8,$B56&lt;='112'!$O$8,OR($L56='112'!$I$6,$M56='112'!$I$6))),"x",""))</f>
        <v/>
      </c>
      <c r="S56" s="39" t="str">
        <f>IF(ISERROR(FIND('112'!$M$9,G56,1)),"",IF((AND(LEFT(G56,2)=LEFT('112'!$M$9,2),B56&lt;'112'!$N$8,$L56='112'!$I$6)),"x",""))</f>
        <v/>
      </c>
      <c r="T56" s="39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39" t="str">
        <f>IF(OR(TH!L56=TH!$V$7,M56=TH!$V$7),"x","")</f>
        <v/>
      </c>
      <c r="W56" s="39" t="str">
        <f>IF(AND(B56&gt;='IN-NX'!$P$3,B56&lt;='IN-NX'!$Q$3,'IN-NX'!$D$7=D56,OR(LEFT(L56,2)="15",AND(LEFT(M56,2)&lt;&gt;"15",LEFT(M56,2)&lt;&gt;"33"))),"x","")</f>
        <v/>
      </c>
      <c r="X56" s="39" t="str">
        <f>IF(AND(OR(LEFT(TH!L56,2)="15",LEFT(TH!M56,2)="15"),'152-CT'!$J$8=TH!F56),"x","")</f>
        <v/>
      </c>
      <c r="Y56" s="39" t="str">
        <f>IF(AND(OR(LEFT(TH!L56,2)="15",LEFT(TH!M56,2)="15"),TK!$E$7=TH!F56),"x","")</f>
        <v/>
      </c>
      <c r="Z56" s="39" t="str">
        <f>IF(AND(B56&lt;=NKC!$N$8,B56&gt;=NKC!$M$8),"x","")</f>
        <v/>
      </c>
      <c r="AA56" s="894"/>
    </row>
    <row r="57" spans="1:30" s="598" customFormat="1" ht="15.75" customHeight="1">
      <c r="A57" s="199" t="str">
        <f>IF(B57&lt;&gt;"",IF(AND(B57&gt;=_TM1,B57&lt;=_TM2,OR(TH!L57="1111",TH!M57="1111")),TH!D57,""),"")</f>
        <v/>
      </c>
      <c r="B57" s="36">
        <f t="shared" si="3"/>
        <v>1</v>
      </c>
      <c r="C57" s="183">
        <f t="shared" si="4"/>
        <v>0</v>
      </c>
      <c r="D57" s="183"/>
      <c r="E57" s="183"/>
      <c r="F57" s="188"/>
      <c r="G57" s="489"/>
      <c r="H57" s="192"/>
      <c r="I57" s="253"/>
      <c r="J57" s="253"/>
      <c r="K57" s="606"/>
      <c r="L57" s="607"/>
      <c r="M57" s="607"/>
      <c r="N57" s="39" t="str">
        <f>IF(AND('331-CT'!$E$7=TH!H57,OR(L57="331",M57="331")),"331",IF(AND(OR(L57="131",M57="131"),H57='131-CT'!$E$7),"131",""))</f>
        <v/>
      </c>
      <c r="O57" s="39" t="str">
        <f>IF(AND($B57&gt;='111'!$N$11,$B57&lt;='111'!$O$11,OR($L57=$O$7,$M57=$O$7)),"x","")</f>
        <v/>
      </c>
      <c r="P57" s="39" t="str">
        <f>IF(AND($L57=$O$7,$B57&lt;'111'!$N$11),"x","")</f>
        <v/>
      </c>
      <c r="Q57" s="39" t="str">
        <f>IF(AND($M57=$O$7,$B57&lt;'111'!$N$11),"x","")</f>
        <v/>
      </c>
      <c r="R57" s="39" t="str">
        <f>IF(ISERROR(FIND('112'!$M$9,G57,1)),"",IF((AND(FIND('112'!$M$9,G57,1)&gt;=1,$B57&gt;='112'!$N$8,$B57&lt;='112'!$O$8,OR($L57='112'!$I$6,$M57='112'!$I$6))),"x",""))</f>
        <v/>
      </c>
      <c r="S57" s="39" t="str">
        <f>IF(ISERROR(FIND('112'!$M$9,G57,1)),"",IF((AND(LEFT(G57,2)=LEFT('112'!$M$9,2),B57&lt;'112'!$N$8,$L57='112'!$I$6)),"x",""))</f>
        <v/>
      </c>
      <c r="T57" s="39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39" t="str">
        <f>IF(OR(TH!L57=TH!$V$7,M57=TH!$V$7),"x","")</f>
        <v/>
      </c>
      <c r="W57" s="39" t="str">
        <f>IF(AND(B57&gt;='IN-NX'!$P$3,B57&lt;='IN-NX'!$Q$3,'IN-NX'!$D$7=D57,OR(LEFT(L57,2)="15",AND(LEFT(M57,2)&lt;&gt;"15",LEFT(M57,2)&lt;&gt;"33"))),"x","")</f>
        <v/>
      </c>
      <c r="X57" s="39" t="str">
        <f>IF(AND(OR(LEFT(TH!L57,2)="15",LEFT(TH!M57,2)="15"),'152-CT'!$J$8=TH!F57),"x","")</f>
        <v/>
      </c>
      <c r="Y57" s="39" t="str">
        <f>IF(AND(OR(LEFT(TH!L57,2)="15",LEFT(TH!M57,2)="15"),TK!$E$7=TH!F57),"x","")</f>
        <v/>
      </c>
      <c r="Z57" s="39" t="str">
        <f>IF(AND(B57&lt;=NKC!$N$8,B57&gt;=NKC!$M$8),"x","")</f>
        <v/>
      </c>
      <c r="AA57" s="894"/>
    </row>
    <row r="58" spans="1:30" s="598" customFormat="1" ht="15.75" customHeight="1">
      <c r="A58" s="199" t="str">
        <f>IF(B58&lt;&gt;"",IF(AND(B58&gt;=_TM1,B58&lt;=_TM2,OR(TH!L58="1111",TH!M58="1111")),TH!D58,""),"")</f>
        <v/>
      </c>
      <c r="B58" s="36">
        <f t="shared" si="3"/>
        <v>1</v>
      </c>
      <c r="C58" s="183">
        <f t="shared" si="4"/>
        <v>0</v>
      </c>
      <c r="D58" s="183"/>
      <c r="E58" s="183"/>
      <c r="F58" s="188"/>
      <c r="G58" s="489"/>
      <c r="H58" s="192"/>
      <c r="I58" s="253"/>
      <c r="J58" s="253"/>
      <c r="K58" s="606"/>
      <c r="L58" s="607"/>
      <c r="M58" s="607"/>
      <c r="N58" s="39" t="str">
        <f>IF(AND('331-CT'!$E$7=TH!H58,OR(L58="331",M58="331")),"331",IF(AND(OR(L58="131",M58="131"),H58='131-CT'!$E$7),"131",""))</f>
        <v/>
      </c>
      <c r="O58" s="39" t="str">
        <f>IF(AND($B58&gt;='111'!$N$11,$B58&lt;='111'!$O$11,OR($L58=$O$7,$M58=$O$7)),"x","")</f>
        <v/>
      </c>
      <c r="P58" s="39" t="str">
        <f>IF(AND($L58=$O$7,$B58&lt;'111'!$N$11),"x","")</f>
        <v/>
      </c>
      <c r="Q58" s="39" t="str">
        <f>IF(AND($M58=$O$7,$B58&lt;'111'!$N$11),"x","")</f>
        <v/>
      </c>
      <c r="R58" s="39" t="str">
        <f>IF(ISERROR(FIND('112'!$M$9,G58,1)),"",IF((AND(FIND('112'!$M$9,G58,1)&gt;=1,$B58&gt;='112'!$N$8,$B58&lt;='112'!$O$8,OR($L58='112'!$I$6,$M58='112'!$I$6))),"x",""))</f>
        <v/>
      </c>
      <c r="S58" s="39" t="str">
        <f>IF(ISERROR(FIND('112'!$M$9,G58,1)),"",IF((AND(LEFT(G58,2)=LEFT('112'!$M$9,2),B58&lt;'112'!$N$8,$L58='112'!$I$6)),"x",""))</f>
        <v/>
      </c>
      <c r="T58" s="39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39" t="str">
        <f>IF(OR(TH!L58=TH!$V$7,M58=TH!$V$7),"x","")</f>
        <v/>
      </c>
      <c r="W58" s="39" t="str">
        <f>IF(AND(B58&gt;='IN-NX'!$P$3,B58&lt;='IN-NX'!$Q$3,'IN-NX'!$D$7=D58,OR(LEFT(L58,2)="15",AND(LEFT(M58,2)&lt;&gt;"15",LEFT(M58,2)&lt;&gt;"33"))),"x","")</f>
        <v/>
      </c>
      <c r="X58" s="39" t="str">
        <f>IF(AND(OR(LEFT(TH!L58,2)="15",LEFT(TH!M58,2)="15"),'152-CT'!$J$8=TH!F58),"x","")</f>
        <v/>
      </c>
      <c r="Y58" s="39" t="str">
        <f>IF(AND(OR(LEFT(TH!L58,2)="15",LEFT(TH!M58,2)="15"),TK!$E$7=TH!F58),"x","")</f>
        <v/>
      </c>
      <c r="Z58" s="39" t="str">
        <f>IF(AND(B58&lt;=NKC!$N$8,B58&gt;=NKC!$M$8),"x","")</f>
        <v/>
      </c>
      <c r="AA58" s="894"/>
    </row>
    <row r="59" spans="1:30" s="598" customFormat="1" ht="15.75" customHeight="1">
      <c r="A59" s="199" t="str">
        <f>IF(B59&lt;&gt;"",IF(AND(B59&gt;=_TM1,B59&lt;=_TM2,OR(TH!L59="1111",TH!M59="1111")),TH!D59,""),"")</f>
        <v/>
      </c>
      <c r="B59" s="36">
        <f t="shared" si="3"/>
        <v>1</v>
      </c>
      <c r="C59" s="183">
        <f t="shared" si="4"/>
        <v>0</v>
      </c>
      <c r="D59" s="183"/>
      <c r="E59" s="183"/>
      <c r="F59" s="188"/>
      <c r="G59" s="489"/>
      <c r="H59" s="7"/>
      <c r="I59" s="253"/>
      <c r="J59" s="253"/>
      <c r="K59" s="606"/>
      <c r="L59" s="607"/>
      <c r="M59" s="607"/>
      <c r="N59" s="39" t="str">
        <f>IF(AND('331-CT'!$E$7=TH!H59,OR(L59="331",M59="331")),"331",IF(AND(OR(L59="131",M59="131"),H59='131-CT'!$E$7),"131",""))</f>
        <v/>
      </c>
      <c r="O59" s="39" t="str">
        <f>IF(AND($B59&gt;='111'!$N$11,$B59&lt;='111'!$O$11,OR($L59=$O$7,$M59=$O$7)),"x","")</f>
        <v/>
      </c>
      <c r="P59" s="39" t="str">
        <f>IF(AND($L59=$O$7,$B59&lt;'111'!$N$11),"x","")</f>
        <v/>
      </c>
      <c r="Q59" s="39" t="str">
        <f>IF(AND($M59=$O$7,$B59&lt;'111'!$N$11),"x","")</f>
        <v/>
      </c>
      <c r="R59" s="39" t="str">
        <f>IF(ISERROR(FIND('112'!$M$9,G59,1)),"",IF((AND(FIND('112'!$M$9,G59,1)&gt;=1,$B59&gt;='112'!$N$8,$B59&lt;='112'!$O$8,OR($L59='112'!$I$6,$M59='112'!$I$6))),"x",""))</f>
        <v/>
      </c>
      <c r="S59" s="39" t="str">
        <f>IF(ISERROR(FIND('112'!$M$9,G59,1)),"",IF((AND(LEFT(G59,2)=LEFT('112'!$M$9,2),B59&lt;'112'!$N$8,$L59='112'!$I$6)),"x",""))</f>
        <v/>
      </c>
      <c r="T59" s="39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39" t="str">
        <f>IF(OR(TH!L59=TH!$V$7,M59=TH!$V$7),"x","")</f>
        <v/>
      </c>
      <c r="W59" s="39" t="str">
        <f>IF(AND(B59&gt;='IN-NX'!$P$3,B59&lt;='IN-NX'!$Q$3,'IN-NX'!$D$7=D59,OR(LEFT(L59,2)="15",AND(LEFT(M59,2)&lt;&gt;"15",LEFT(M59,2)&lt;&gt;"33"))),"x","")</f>
        <v/>
      </c>
      <c r="X59" s="39" t="str">
        <f>IF(AND(OR(LEFT(TH!L59,2)="15",LEFT(TH!M59,2)="15"),'152-CT'!$J$8=TH!F59),"x","")</f>
        <v/>
      </c>
      <c r="Y59" s="39" t="str">
        <f>IF(AND(OR(LEFT(TH!L59,2)="15",LEFT(TH!M59,2)="15"),TK!$E$7=TH!F59),"x","")</f>
        <v/>
      </c>
      <c r="Z59" s="39" t="str">
        <f>IF(AND(B59&lt;=NKC!$N$8,B59&gt;=NKC!$M$8),"x","")</f>
        <v/>
      </c>
      <c r="AA59" s="894"/>
    </row>
    <row r="60" spans="1:30" s="598" customFormat="1" ht="15.75" customHeight="1">
      <c r="A60" s="199" t="str">
        <f>IF(B60&lt;&gt;"",IF(AND(B60&gt;=_TM1,B60&lt;=_TM2,OR(TH!L60="1111",TH!M60="1111")),TH!D60,""),"")</f>
        <v/>
      </c>
      <c r="B60" s="36">
        <f t="shared" si="3"/>
        <v>1</v>
      </c>
      <c r="C60" s="183">
        <f t="shared" si="4"/>
        <v>0</v>
      </c>
      <c r="D60" s="183"/>
      <c r="E60" s="183"/>
      <c r="F60" s="188"/>
      <c r="G60" s="489"/>
      <c r="H60" s="7"/>
      <c r="I60" s="253"/>
      <c r="J60" s="253"/>
      <c r="K60" s="606"/>
      <c r="L60" s="607"/>
      <c r="M60" s="607"/>
      <c r="N60" s="39" t="str">
        <f>IF(AND('331-CT'!$E$7=TH!H60,OR(L60="331",M60="331")),"331",IF(AND(OR(L60="131",M60="131"),H60='131-CT'!$E$7),"131",""))</f>
        <v/>
      </c>
      <c r="O60" s="39" t="str">
        <f>IF(AND($B60&gt;='111'!$N$11,$B60&lt;='111'!$O$11,OR($L60=$O$7,$M60=$O$7)),"x","")</f>
        <v/>
      </c>
      <c r="P60" s="39" t="str">
        <f>IF(AND($L60=$O$7,$B60&lt;'111'!$N$11),"x","")</f>
        <v/>
      </c>
      <c r="Q60" s="39" t="str">
        <f>IF(AND($M60=$O$7,$B60&lt;'111'!$N$11),"x","")</f>
        <v/>
      </c>
      <c r="R60" s="39" t="str">
        <f>IF(ISERROR(FIND('112'!$M$9,G60,1)),"",IF((AND(FIND('112'!$M$9,G60,1)&gt;=1,$B60&gt;='112'!$N$8,$B60&lt;='112'!$O$8,OR($L60='112'!$I$6,$M60='112'!$I$6))),"x",""))</f>
        <v/>
      </c>
      <c r="S60" s="39" t="str">
        <f>IF(ISERROR(FIND('112'!$M$9,G60,1)),"",IF((AND(LEFT(G60,2)=LEFT('112'!$M$9,2),B60&lt;'112'!$N$8,$L60='112'!$I$6)),"x",""))</f>
        <v/>
      </c>
      <c r="T60" s="39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39" t="str">
        <f>IF(OR(TH!L60=TH!$V$7,M60=TH!$V$7),"x","")</f>
        <v/>
      </c>
      <c r="W60" s="39" t="str">
        <f>IF(AND(B60&gt;='IN-NX'!$P$3,B60&lt;='IN-NX'!$Q$3,'IN-NX'!$D$7=D60,OR(LEFT(L60,2)="15",AND(LEFT(M60,2)&lt;&gt;"15",LEFT(M60,2)&lt;&gt;"33"))),"x","")</f>
        <v/>
      </c>
      <c r="X60" s="39" t="str">
        <f>IF(AND(OR(LEFT(TH!L60,2)="15",LEFT(TH!M60,2)="15"),'152-CT'!$J$8=TH!F60),"x","")</f>
        <v/>
      </c>
      <c r="Y60" s="39" t="str">
        <f>IF(AND(OR(LEFT(TH!L60,2)="15",LEFT(TH!M60,2)="15"),TK!$E$7=TH!F60),"x","")</f>
        <v/>
      </c>
      <c r="Z60" s="39" t="str">
        <f>IF(AND(B60&lt;=NKC!$N$8,B60&gt;=NKC!$M$8),"x","")</f>
        <v/>
      </c>
      <c r="AA60" s="894"/>
      <c r="AB60" s="205"/>
      <c r="AC60" s="205"/>
      <c r="AD60" s="205"/>
    </row>
    <row r="61" spans="1:30" s="598" customFormat="1" ht="15.75" customHeight="1">
      <c r="A61" s="199" t="str">
        <f>IF(B61&lt;&gt;"",IF(AND(B61&gt;=_TM1,B61&lt;=_TM2,OR(TH!L61="1111",TH!M61="1111")),TH!D61,""),"")</f>
        <v/>
      </c>
      <c r="B61" s="36">
        <f t="shared" si="3"/>
        <v>1</v>
      </c>
      <c r="C61" s="183">
        <f t="shared" si="4"/>
        <v>0</v>
      </c>
      <c r="D61" s="183"/>
      <c r="E61" s="183"/>
      <c r="F61" s="188"/>
      <c r="G61" s="489"/>
      <c r="H61" s="7"/>
      <c r="I61" s="253"/>
      <c r="J61" s="253"/>
      <c r="K61" s="606"/>
      <c r="L61" s="607"/>
      <c r="M61" s="607"/>
      <c r="N61" s="39" t="str">
        <f>IF(AND('331-CT'!$E$7=TH!H61,OR(L61="331",M61="331")),"331",IF(AND(OR(L61="131",M61="131"),H61='131-CT'!$E$7),"131",""))</f>
        <v/>
      </c>
      <c r="O61" s="39" t="str">
        <f>IF(AND($B61&gt;='111'!$N$11,$B61&lt;='111'!$O$11,OR($L61=$O$7,$M61=$O$7)),"x","")</f>
        <v/>
      </c>
      <c r="P61" s="39" t="str">
        <f>IF(AND($L61=$O$7,$B61&lt;'111'!$N$11),"x","")</f>
        <v/>
      </c>
      <c r="Q61" s="39" t="str">
        <f>IF(AND($M61=$O$7,$B61&lt;'111'!$N$11),"x","")</f>
        <v/>
      </c>
      <c r="R61" s="39" t="str">
        <f>IF(ISERROR(FIND('112'!$M$9,G61,1)),"",IF((AND(FIND('112'!$M$9,G61,1)&gt;=1,$B61&gt;='112'!$N$8,$B61&lt;='112'!$O$8,OR($L61='112'!$I$6,$M61='112'!$I$6))),"x",""))</f>
        <v/>
      </c>
      <c r="S61" s="39" t="str">
        <f>IF(ISERROR(FIND('112'!$M$9,G61,1)),"",IF((AND(LEFT(G61,2)=LEFT('112'!$M$9,2),B61&lt;'112'!$N$8,$L61='112'!$I$6)),"x",""))</f>
        <v/>
      </c>
      <c r="T61" s="39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39" t="str">
        <f>IF(OR(TH!L61=TH!$V$7,M61=TH!$V$7),"x","")</f>
        <v/>
      </c>
      <c r="W61" s="39" t="str">
        <f>IF(AND(B61&gt;='IN-NX'!$P$3,B61&lt;='IN-NX'!$Q$3,'IN-NX'!$D$7=D61,OR(LEFT(L61,2)="15",AND(LEFT(M61,2)&lt;&gt;"15",LEFT(M61,2)&lt;&gt;"33"))),"x","")</f>
        <v/>
      </c>
      <c r="X61" s="39" t="str">
        <f>IF(AND(OR(LEFT(TH!L61,2)="15",LEFT(TH!M61,2)="15"),'152-CT'!$J$8=TH!F61),"x","")</f>
        <v/>
      </c>
      <c r="Y61" s="39" t="str">
        <f>IF(AND(OR(LEFT(TH!L61,2)="15",LEFT(TH!M61,2)="15"),TK!$E$7=TH!F61),"x","")</f>
        <v/>
      </c>
      <c r="Z61" s="39" t="str">
        <f>IF(AND(B61&lt;=NKC!$N$8,B61&gt;=NKC!$M$8),"x","")</f>
        <v/>
      </c>
      <c r="AA61" s="894"/>
      <c r="AB61" s="205"/>
      <c r="AC61" s="205"/>
      <c r="AD61" s="205"/>
    </row>
    <row r="62" spans="1:30" s="598" customFormat="1" ht="15.75" customHeight="1">
      <c r="A62" s="199" t="str">
        <f>IF(B62&lt;&gt;"",IF(AND(B62&gt;=_TM1,B62&lt;=_TM2,OR(TH!L62="1111",TH!M62="1111")),TH!D62,""),"")</f>
        <v/>
      </c>
      <c r="B62" s="36">
        <f t="shared" si="3"/>
        <v>1</v>
      </c>
      <c r="C62" s="183">
        <f t="shared" si="4"/>
        <v>0</v>
      </c>
      <c r="D62" s="183"/>
      <c r="E62" s="183"/>
      <c r="F62" s="188"/>
      <c r="G62" s="489"/>
      <c r="H62" s="7"/>
      <c r="I62" s="253"/>
      <c r="J62" s="253"/>
      <c r="K62" s="606"/>
      <c r="L62" s="607"/>
      <c r="M62" s="607"/>
      <c r="N62" s="39" t="str">
        <f>IF(AND('331-CT'!$E$7=TH!H62,OR(L62="331",M62="331")),"331",IF(AND(OR(L62="131",M62="131"),H62='131-CT'!$E$7),"131",""))</f>
        <v/>
      </c>
      <c r="O62" s="39" t="str">
        <f>IF(AND($B62&gt;='111'!$N$11,$B62&lt;='111'!$O$11,OR($L62=$O$7,$M62=$O$7)),"x","")</f>
        <v/>
      </c>
      <c r="P62" s="39" t="str">
        <f>IF(AND($L62=$O$7,$B62&lt;'111'!$N$11),"x","")</f>
        <v/>
      </c>
      <c r="Q62" s="39" t="str">
        <f>IF(AND($M62=$O$7,$B62&lt;'111'!$N$11),"x","")</f>
        <v/>
      </c>
      <c r="R62" s="39" t="str">
        <f>IF(ISERROR(FIND('112'!$M$9,G62,1)),"",IF((AND(FIND('112'!$M$9,G62,1)&gt;=1,$B62&gt;='112'!$N$8,$B62&lt;='112'!$O$8,OR($L62='112'!$I$6,$M62='112'!$I$6))),"x",""))</f>
        <v/>
      </c>
      <c r="S62" s="39" t="str">
        <f>IF(ISERROR(FIND('112'!$M$9,G62,1)),"",IF((AND(LEFT(G62,2)=LEFT('112'!$M$9,2),B62&lt;'112'!$N$8,$L62='112'!$I$6)),"x",""))</f>
        <v/>
      </c>
      <c r="T62" s="39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39" t="str">
        <f>IF(OR(TH!L62=TH!$V$7,M62=TH!$V$7),"x","")</f>
        <v/>
      </c>
      <c r="W62" s="39" t="str">
        <f>IF(AND(B62&gt;='IN-NX'!$P$3,B62&lt;='IN-NX'!$Q$3,'IN-NX'!$D$7=D62,OR(LEFT(L62,2)="15",AND(LEFT(M62,2)&lt;&gt;"15",LEFT(M62,2)&lt;&gt;"33"))),"x","")</f>
        <v/>
      </c>
      <c r="X62" s="39" t="str">
        <f>IF(AND(OR(LEFT(TH!L62,2)="15",LEFT(TH!M62,2)="15"),'152-CT'!$J$8=TH!F62),"x","")</f>
        <v/>
      </c>
      <c r="Y62" s="39" t="str">
        <f>IF(AND(OR(LEFT(TH!L62,2)="15",LEFT(TH!M62,2)="15"),TK!$E$7=TH!F62),"x","")</f>
        <v/>
      </c>
      <c r="Z62" s="39" t="str">
        <f>IF(AND(B62&lt;=NKC!$N$8,B62&gt;=NKC!$M$8),"x","")</f>
        <v/>
      </c>
      <c r="AA62" s="894"/>
    </row>
    <row r="63" spans="1:30" s="598" customFormat="1" ht="15.75" customHeight="1">
      <c r="A63" s="199" t="str">
        <f>IF(B63&lt;&gt;"",IF(AND(B63&gt;=_TM1,B63&lt;=_TM2,OR(TH!L63="1111",TH!M63="1111")),TH!D63,""),"")</f>
        <v/>
      </c>
      <c r="B63" s="36">
        <f t="shared" si="3"/>
        <v>1</v>
      </c>
      <c r="C63" s="183">
        <f t="shared" si="4"/>
        <v>0</v>
      </c>
      <c r="D63" s="183"/>
      <c r="E63" s="183"/>
      <c r="F63" s="188"/>
      <c r="G63" s="489"/>
      <c r="H63" s="7"/>
      <c r="I63" s="253"/>
      <c r="J63" s="253"/>
      <c r="K63" s="606"/>
      <c r="L63" s="607"/>
      <c r="M63" s="607"/>
      <c r="N63" s="39" t="str">
        <f>IF(AND('331-CT'!$E$7=TH!H63,OR(L63="331",M63="331")),"331",IF(AND(OR(L63="131",M63="131"),H63='131-CT'!$E$7),"131",""))</f>
        <v/>
      </c>
      <c r="O63" s="39" t="str">
        <f>IF(AND($B63&gt;='111'!$N$11,$B63&lt;='111'!$O$11,OR($L63=$O$7,$M63=$O$7)),"x","")</f>
        <v/>
      </c>
      <c r="P63" s="39" t="str">
        <f>IF(AND($L63=$O$7,$B63&lt;'111'!$N$11),"x","")</f>
        <v/>
      </c>
      <c r="Q63" s="39" t="str">
        <f>IF(AND($M63=$O$7,$B63&lt;'111'!$N$11),"x","")</f>
        <v/>
      </c>
      <c r="R63" s="39" t="str">
        <f>IF(ISERROR(FIND('112'!$M$9,G63,1)),"",IF((AND(FIND('112'!$M$9,G63,1)&gt;=1,$B63&gt;='112'!$N$8,$B63&lt;='112'!$O$8,OR($L63='112'!$I$6,$M63='112'!$I$6))),"x",""))</f>
        <v/>
      </c>
      <c r="S63" s="39" t="str">
        <f>IF(ISERROR(FIND('112'!$M$9,G63,1)),"",IF((AND(LEFT(G63,2)=LEFT('112'!$M$9,2),B63&lt;'112'!$N$8,$L63='112'!$I$6)),"x",""))</f>
        <v/>
      </c>
      <c r="T63" s="39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39" t="str">
        <f>IF(OR(TH!L63=TH!$V$7,M63=TH!$V$7),"x","")</f>
        <v/>
      </c>
      <c r="W63" s="39" t="str">
        <f>IF(AND(B63&gt;='IN-NX'!$P$3,B63&lt;='IN-NX'!$Q$3,'IN-NX'!$D$7=D63,OR(LEFT(L63,2)="15",AND(LEFT(M63,2)&lt;&gt;"15",LEFT(M63,2)&lt;&gt;"33"))),"x","")</f>
        <v/>
      </c>
      <c r="X63" s="39" t="str">
        <f>IF(AND(OR(LEFT(TH!L63,2)="15",LEFT(TH!M63,2)="15"),'152-CT'!$J$8=TH!F63),"x","")</f>
        <v/>
      </c>
      <c r="Y63" s="39" t="str">
        <f>IF(AND(OR(LEFT(TH!L63,2)="15",LEFT(TH!M63,2)="15"),TK!$E$7=TH!F63),"x","")</f>
        <v/>
      </c>
      <c r="Z63" s="39" t="str">
        <f>IF(AND(B63&lt;=NKC!$N$8,B63&gt;=NKC!$M$8),"x","")</f>
        <v/>
      </c>
      <c r="AA63" s="894"/>
    </row>
    <row r="64" spans="1:30" s="598" customFormat="1" ht="15.75" customHeight="1">
      <c r="A64" s="199" t="str">
        <f>IF(B64&lt;&gt;"",IF(AND(B64&gt;=_TM1,B64&lt;=_TM2,OR(TH!L64="1111",TH!M64="1111")),TH!D64,""),"")</f>
        <v/>
      </c>
      <c r="B64" s="36">
        <f t="shared" si="3"/>
        <v>1</v>
      </c>
      <c r="C64" s="183">
        <f t="shared" si="4"/>
        <v>0</v>
      </c>
      <c r="D64" s="183"/>
      <c r="E64" s="183"/>
      <c r="F64" s="188"/>
      <c r="G64" s="489"/>
      <c r="H64" s="7"/>
      <c r="I64" s="253"/>
      <c r="J64" s="253"/>
      <c r="K64" s="606"/>
      <c r="L64" s="607"/>
      <c r="M64" s="607"/>
      <c r="N64" s="39" t="str">
        <f>IF(AND('331-CT'!$E$7=TH!H64,OR(L64="331",M64="331")),"331",IF(AND(OR(L64="131",M64="131"),H64='131-CT'!$E$7),"131",""))</f>
        <v/>
      </c>
      <c r="O64" s="39" t="str">
        <f>IF(AND($B64&gt;='111'!$N$11,$B64&lt;='111'!$O$11,OR($L64=$O$7,$M64=$O$7)),"x","")</f>
        <v/>
      </c>
      <c r="P64" s="39" t="str">
        <f>IF(AND($L64=$O$7,$B64&lt;'111'!$N$11),"x","")</f>
        <v/>
      </c>
      <c r="Q64" s="39" t="str">
        <f>IF(AND($M64=$O$7,$B64&lt;'111'!$N$11),"x","")</f>
        <v/>
      </c>
      <c r="R64" s="39" t="str">
        <f>IF(ISERROR(FIND('112'!$M$9,G64,1)),"",IF((AND(FIND('112'!$M$9,G64,1)&gt;=1,$B64&gt;='112'!$N$8,$B64&lt;='112'!$O$8,OR($L64='112'!$I$6,$M64='112'!$I$6))),"x",""))</f>
        <v/>
      </c>
      <c r="S64" s="39" t="str">
        <f>IF(ISERROR(FIND('112'!$M$9,G64,1)),"",IF((AND(LEFT(G64,2)=LEFT('112'!$M$9,2),B64&lt;'112'!$N$8,$L64='112'!$I$6)),"x",""))</f>
        <v/>
      </c>
      <c r="T64" s="39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39" t="str">
        <f>IF(OR(TH!L64=TH!$V$7,M64=TH!$V$7),"x","")</f>
        <v/>
      </c>
      <c r="W64" s="39" t="str">
        <f>IF(AND(B64&gt;='IN-NX'!$P$3,B64&lt;='IN-NX'!$Q$3,'IN-NX'!$D$7=D64,OR(LEFT(L64,2)="15",AND(LEFT(M64,2)&lt;&gt;"15",LEFT(M64,2)&lt;&gt;"33"))),"x","")</f>
        <v/>
      </c>
      <c r="X64" s="39" t="str">
        <f>IF(AND(OR(LEFT(TH!L64,2)="15",LEFT(TH!M64,2)="15"),'152-CT'!$J$8=TH!F64),"x","")</f>
        <v/>
      </c>
      <c r="Y64" s="39" t="str">
        <f>IF(AND(OR(LEFT(TH!L64,2)="15",LEFT(TH!M64,2)="15"),TK!$E$7=TH!F64),"x","")</f>
        <v/>
      </c>
      <c r="Z64" s="39" t="str">
        <f>IF(AND(B64&lt;=NKC!$N$8,B64&gt;=NKC!$M$8),"x","")</f>
        <v/>
      </c>
      <c r="AA64" s="894"/>
    </row>
    <row r="65" spans="1:30" s="598" customFormat="1" ht="15.75" customHeight="1">
      <c r="A65" s="199" t="str">
        <f>IF(B65&lt;&gt;"",IF(AND(B65&gt;=_TM1,B65&lt;=_TM2,OR(TH!L65="1111",TH!M65="1111")),TH!D65,""),"")</f>
        <v/>
      </c>
      <c r="B65" s="36">
        <f t="shared" si="3"/>
        <v>1</v>
      </c>
      <c r="C65" s="183">
        <f t="shared" si="4"/>
        <v>0</v>
      </c>
      <c r="D65" s="183"/>
      <c r="E65" s="183"/>
      <c r="F65" s="188"/>
      <c r="G65" s="489"/>
      <c r="H65" s="7"/>
      <c r="I65" s="253"/>
      <c r="J65" s="253"/>
      <c r="K65" s="606"/>
      <c r="L65" s="607"/>
      <c r="M65" s="607"/>
      <c r="N65" s="39" t="str">
        <f>IF(AND('331-CT'!$E$7=TH!H65,OR(L65="331",M65="331")),"331",IF(AND(OR(L65="131",M65="131"),H65='131-CT'!$E$7),"131",""))</f>
        <v/>
      </c>
      <c r="O65" s="39" t="str">
        <f>IF(AND($B65&gt;='111'!$N$11,$B65&lt;='111'!$O$11,OR($L65=$O$7,$M65=$O$7)),"x","")</f>
        <v/>
      </c>
      <c r="P65" s="39" t="str">
        <f>IF(AND($L65=$O$7,$B65&lt;'111'!$N$11),"x","")</f>
        <v/>
      </c>
      <c r="Q65" s="39" t="str">
        <f>IF(AND($M65=$O$7,$B65&lt;'111'!$N$11),"x","")</f>
        <v/>
      </c>
      <c r="R65" s="39" t="str">
        <f>IF(ISERROR(FIND('112'!$M$9,G65,1)),"",IF((AND(FIND('112'!$M$9,G65,1)&gt;=1,$B65&gt;='112'!$N$8,$B65&lt;='112'!$O$8,OR($L65='112'!$I$6,$M65='112'!$I$6))),"x",""))</f>
        <v/>
      </c>
      <c r="S65" s="39" t="str">
        <f>IF(ISERROR(FIND('112'!$M$9,G65,1)),"",IF((AND(LEFT(G65,2)=LEFT('112'!$M$9,2),B65&lt;'112'!$N$8,$L65='112'!$I$6)),"x",""))</f>
        <v/>
      </c>
      <c r="T65" s="39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39" t="str">
        <f>IF(OR(TH!L65=TH!$V$7,M65=TH!$V$7),"x","")</f>
        <v/>
      </c>
      <c r="W65" s="39" t="str">
        <f>IF(AND(B65&gt;='IN-NX'!$P$3,B65&lt;='IN-NX'!$Q$3,'IN-NX'!$D$7=D65,OR(LEFT(L65,2)="15",AND(LEFT(M65,2)&lt;&gt;"15",LEFT(M65,2)&lt;&gt;"33"))),"x","")</f>
        <v/>
      </c>
      <c r="X65" s="39" t="str">
        <f>IF(AND(OR(LEFT(TH!L65,2)="15",LEFT(TH!M65,2)="15"),'152-CT'!$J$8=TH!F65),"x","")</f>
        <v/>
      </c>
      <c r="Y65" s="39" t="str">
        <f>IF(AND(OR(LEFT(TH!L65,2)="15",LEFT(TH!M65,2)="15"),TK!$E$7=TH!F65),"x","")</f>
        <v/>
      </c>
      <c r="Z65" s="39" t="str">
        <f>IF(AND(B65&lt;=NKC!$N$8,B65&gt;=NKC!$M$8),"x","")</f>
        <v/>
      </c>
      <c r="AA65" s="894"/>
    </row>
    <row r="66" spans="1:30" s="598" customFormat="1" ht="15.75" customHeight="1">
      <c r="A66" s="199" t="str">
        <f>IF(B66&lt;&gt;"",IF(AND(B66&gt;=_TM1,B66&lt;=_TM2,OR(TH!L66="1111",TH!M66="1111")),TH!D66,""),"")</f>
        <v/>
      </c>
      <c r="B66" s="36">
        <f t="shared" si="3"/>
        <v>1</v>
      </c>
      <c r="C66" s="183">
        <f t="shared" si="4"/>
        <v>0</v>
      </c>
      <c r="D66" s="183"/>
      <c r="E66" s="183"/>
      <c r="F66" s="188"/>
      <c r="G66" s="489"/>
      <c r="H66" s="7"/>
      <c r="I66" s="253"/>
      <c r="J66" s="253"/>
      <c r="K66" s="606"/>
      <c r="L66" s="607"/>
      <c r="M66" s="607"/>
      <c r="N66" s="39" t="str">
        <f>IF(AND('331-CT'!$E$7=TH!H66,OR(L66="331",M66="331")),"331",IF(AND(OR(L66="131",M66="131"),H66='131-CT'!$E$7),"131",""))</f>
        <v/>
      </c>
      <c r="O66" s="39" t="str">
        <f>IF(AND($B66&gt;='111'!$N$11,$B66&lt;='111'!$O$11,OR($L66=$O$7,$M66=$O$7)),"x","")</f>
        <v/>
      </c>
      <c r="P66" s="39" t="str">
        <f>IF(AND($L66=$O$7,$B66&lt;'111'!$N$11),"x","")</f>
        <v/>
      </c>
      <c r="Q66" s="39" t="str">
        <f>IF(AND($M66=$O$7,$B66&lt;'111'!$N$11),"x","")</f>
        <v/>
      </c>
      <c r="R66" s="39" t="str">
        <f>IF(ISERROR(FIND('112'!$M$9,G66,1)),"",IF((AND(FIND('112'!$M$9,G66,1)&gt;=1,$B66&gt;='112'!$N$8,$B66&lt;='112'!$O$8,OR($L66='112'!$I$6,$M66='112'!$I$6))),"x",""))</f>
        <v/>
      </c>
      <c r="S66" s="39" t="str">
        <f>IF(ISERROR(FIND('112'!$M$9,G66,1)),"",IF((AND(LEFT(G66,2)=LEFT('112'!$M$9,2),B66&lt;'112'!$N$8,$L66='112'!$I$6)),"x",""))</f>
        <v/>
      </c>
      <c r="T66" s="39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39" t="str">
        <f>IF(OR(TH!L66=TH!$V$7,M66=TH!$V$7),"x","")</f>
        <v/>
      </c>
      <c r="W66" s="39" t="str">
        <f>IF(AND(B66&gt;='IN-NX'!$P$3,B66&lt;='IN-NX'!$Q$3,'IN-NX'!$D$7=D66,OR(LEFT(L66,2)="15",AND(LEFT(M66,2)&lt;&gt;"15",LEFT(M66,2)&lt;&gt;"33"))),"x","")</f>
        <v/>
      </c>
      <c r="X66" s="39" t="str">
        <f>IF(AND(OR(LEFT(TH!L66,2)="15",LEFT(TH!M66,2)="15"),'152-CT'!$J$8=TH!F66),"x","")</f>
        <v/>
      </c>
      <c r="Y66" s="39" t="str">
        <f>IF(AND(OR(LEFT(TH!L66,2)="15",LEFT(TH!M66,2)="15"),TK!$E$7=TH!F66),"x","")</f>
        <v/>
      </c>
      <c r="Z66" s="39" t="str">
        <f>IF(AND(B66&lt;=NKC!$N$8,B66&gt;=NKC!$M$8),"x","")</f>
        <v/>
      </c>
      <c r="AA66" s="894"/>
    </row>
    <row r="67" spans="1:30" s="598" customFormat="1" ht="15.75" customHeight="1">
      <c r="A67" s="199" t="str">
        <f>IF(B67&lt;&gt;"",IF(AND(B67&gt;=_TM1,B67&lt;=_TM2,OR(TH!L67="1111",TH!M67="1111")),TH!D67,""),"")</f>
        <v/>
      </c>
      <c r="B67" s="36">
        <f t="shared" si="3"/>
        <v>1</v>
      </c>
      <c r="C67" s="183">
        <f t="shared" si="4"/>
        <v>0</v>
      </c>
      <c r="D67" s="183"/>
      <c r="E67" s="183"/>
      <c r="F67" s="188"/>
      <c r="G67" s="489"/>
      <c r="H67" s="7"/>
      <c r="I67" s="253"/>
      <c r="J67" s="253"/>
      <c r="K67" s="606"/>
      <c r="L67" s="607"/>
      <c r="M67" s="607"/>
      <c r="N67" s="39" t="str">
        <f>IF(AND('331-CT'!$E$7=TH!H67,OR(L67="331",M67="331")),"331",IF(AND(OR(L67="131",M67="131"),H67='131-CT'!$E$7),"131",""))</f>
        <v/>
      </c>
      <c r="O67" s="39" t="str">
        <f>IF(AND($B67&gt;='111'!$N$11,$B67&lt;='111'!$O$11,OR($L67=$O$7,$M67=$O$7)),"x","")</f>
        <v/>
      </c>
      <c r="P67" s="39" t="str">
        <f>IF(AND($L67=$O$7,$B67&lt;'111'!$N$11),"x","")</f>
        <v/>
      </c>
      <c r="Q67" s="39" t="str">
        <f>IF(AND($M67=$O$7,$B67&lt;'111'!$N$11),"x","")</f>
        <v/>
      </c>
      <c r="R67" s="39" t="str">
        <f>IF(ISERROR(FIND('112'!$M$9,G67,1)),"",IF((AND(FIND('112'!$M$9,G67,1)&gt;=1,$B67&gt;='112'!$N$8,$B67&lt;='112'!$O$8,OR($L67='112'!$I$6,$M67='112'!$I$6))),"x",""))</f>
        <v/>
      </c>
      <c r="S67" s="39" t="str">
        <f>IF(ISERROR(FIND('112'!$M$9,G67,1)),"",IF((AND(LEFT(G67,2)=LEFT('112'!$M$9,2),B67&lt;'112'!$N$8,$L67='112'!$I$6)),"x",""))</f>
        <v/>
      </c>
      <c r="T67" s="39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39" t="str">
        <f>IF(OR(TH!L67=TH!$V$7,M67=TH!$V$7),"x","")</f>
        <v/>
      </c>
      <c r="W67" s="39" t="str">
        <f>IF(AND(B67&gt;='IN-NX'!$P$3,B67&lt;='IN-NX'!$Q$3,'IN-NX'!$D$7=D67,OR(LEFT(L67,2)="15",AND(LEFT(M67,2)&lt;&gt;"15",LEFT(M67,2)&lt;&gt;"33"))),"x","")</f>
        <v/>
      </c>
      <c r="X67" s="39" t="str">
        <f>IF(AND(OR(LEFT(TH!L67,2)="15",LEFT(TH!M67,2)="15"),'152-CT'!$J$8=TH!F67),"x","")</f>
        <v/>
      </c>
      <c r="Y67" s="39" t="str">
        <f>IF(AND(OR(LEFT(TH!L67,2)="15",LEFT(TH!M67,2)="15"),TK!$E$7=TH!F67),"x","")</f>
        <v/>
      </c>
      <c r="Z67" s="39" t="str">
        <f>IF(AND(B67&lt;=NKC!$N$8,B67&gt;=NKC!$M$8),"x","")</f>
        <v/>
      </c>
      <c r="AA67" s="894"/>
    </row>
    <row r="68" spans="1:30" s="598" customFormat="1" ht="15.75" customHeight="1">
      <c r="A68" s="199" t="str">
        <f>IF(B68&lt;&gt;"",IF(AND(B68&gt;=_TM1,B68&lt;=_TM2,OR(TH!L68="1111",TH!M68="1111")),TH!D68,""),"")</f>
        <v/>
      </c>
      <c r="B68" s="36">
        <f t="shared" si="3"/>
        <v>1</v>
      </c>
      <c r="C68" s="183">
        <f t="shared" si="4"/>
        <v>0</v>
      </c>
      <c r="D68" s="183"/>
      <c r="E68" s="183"/>
      <c r="F68" s="188"/>
      <c r="G68" s="489"/>
      <c r="H68" s="192"/>
      <c r="I68" s="253"/>
      <c r="J68" s="253"/>
      <c r="K68" s="606"/>
      <c r="L68" s="607"/>
      <c r="M68" s="607"/>
      <c r="N68" s="39" t="str">
        <f>IF(AND('331-CT'!$E$7=TH!H68,OR(L68="331",M68="331")),"331",IF(AND(OR(L68="131",M68="131"),H68='131-CT'!$E$7),"131",""))</f>
        <v/>
      </c>
      <c r="O68" s="39" t="str">
        <f>IF(AND($B68&gt;='111'!$N$11,$B68&lt;='111'!$O$11,OR($L68=$O$7,$M68=$O$7)),"x","")</f>
        <v/>
      </c>
      <c r="P68" s="39" t="str">
        <f>IF(AND($L68=$O$7,$B68&lt;'111'!$N$11),"x","")</f>
        <v/>
      </c>
      <c r="Q68" s="39" t="str">
        <f>IF(AND($M68=$O$7,$B68&lt;'111'!$N$11),"x","")</f>
        <v/>
      </c>
      <c r="R68" s="39" t="str">
        <f>IF(ISERROR(FIND('112'!$M$9,G68,1)),"",IF((AND(FIND('112'!$M$9,G68,1)&gt;=1,$B68&gt;='112'!$N$8,$B68&lt;='112'!$O$8,OR($L68='112'!$I$6,$M68='112'!$I$6))),"x",""))</f>
        <v/>
      </c>
      <c r="S68" s="39" t="str">
        <f>IF(ISERROR(FIND('112'!$M$9,G68,1)),"",IF((AND(LEFT(G68,2)=LEFT('112'!$M$9,2),B68&lt;'112'!$N$8,$L68='112'!$I$6)),"x",""))</f>
        <v/>
      </c>
      <c r="T68" s="39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39" t="str">
        <f>IF(OR(TH!L68=TH!$V$7,M68=TH!$V$7),"x","")</f>
        <v/>
      </c>
      <c r="W68" s="39" t="str">
        <f>IF(AND(B68&gt;='IN-NX'!$P$3,B68&lt;='IN-NX'!$Q$3,'IN-NX'!$D$7=D68,OR(LEFT(L68,2)="15",AND(LEFT(M68,2)&lt;&gt;"15",LEFT(M68,2)&lt;&gt;"33"))),"x","")</f>
        <v/>
      </c>
      <c r="X68" s="39" t="str">
        <f>IF(AND(OR(LEFT(TH!L68,2)="15",LEFT(TH!M68,2)="15"),'152-CT'!$J$8=TH!F68),"x","")</f>
        <v/>
      </c>
      <c r="Y68" s="39" t="str">
        <f>IF(AND(OR(LEFT(TH!L68,2)="15",LEFT(TH!M68,2)="15"),TK!$E$7=TH!F68),"x","")</f>
        <v/>
      </c>
      <c r="Z68" s="39" t="str">
        <f>IF(AND(B68&lt;=NKC!$N$8,B68&gt;=NKC!$M$8),"x","")</f>
        <v/>
      </c>
      <c r="AA68" s="894"/>
    </row>
    <row r="69" spans="1:30" s="598" customFormat="1" ht="15.75" customHeight="1">
      <c r="A69" s="199" t="str">
        <f>IF(B69&lt;&gt;"",IF(AND(B69&gt;=_TM1,B69&lt;=_TM2,OR(TH!L69="1111",TH!M69="1111")),TH!D69,""),"")</f>
        <v/>
      </c>
      <c r="B69" s="36">
        <f t="shared" si="3"/>
        <v>1</v>
      </c>
      <c r="C69" s="183">
        <f t="shared" si="4"/>
        <v>0</v>
      </c>
      <c r="D69" s="183"/>
      <c r="E69" s="183"/>
      <c r="F69" s="188"/>
      <c r="G69" s="489"/>
      <c r="H69" s="7"/>
      <c r="I69" s="253"/>
      <c r="J69" s="253"/>
      <c r="K69" s="606"/>
      <c r="L69" s="607"/>
      <c r="M69" s="607"/>
      <c r="N69" s="39" t="str">
        <f>IF(AND('331-CT'!$E$7=TH!H69,OR(L69="331",M69="331")),"331",IF(AND(OR(L69="131",M69="131"),H69='131-CT'!$E$7),"131",""))</f>
        <v/>
      </c>
      <c r="O69" s="39" t="str">
        <f>IF(AND($B69&gt;='111'!$N$11,$B69&lt;='111'!$O$11,OR($L69=$O$7,$M69=$O$7)),"x","")</f>
        <v/>
      </c>
      <c r="P69" s="39" t="str">
        <f>IF(AND($L69=$O$7,$B69&lt;'111'!$N$11),"x","")</f>
        <v/>
      </c>
      <c r="Q69" s="39" t="str">
        <f>IF(AND($M69=$O$7,$B69&lt;'111'!$N$11),"x","")</f>
        <v/>
      </c>
      <c r="R69" s="39" t="str">
        <f>IF(ISERROR(FIND('112'!$M$9,G69,1)),"",IF((AND(FIND('112'!$M$9,G69,1)&gt;=1,$B69&gt;='112'!$N$8,$B69&lt;='112'!$O$8,OR($L69='112'!$I$6,$M69='112'!$I$6))),"x",""))</f>
        <v/>
      </c>
      <c r="S69" s="39" t="str">
        <f>IF(ISERROR(FIND('112'!$M$9,G69,1)),"",IF((AND(LEFT(G69,2)=LEFT('112'!$M$9,2),B69&lt;'112'!$N$8,$L69='112'!$I$6)),"x",""))</f>
        <v/>
      </c>
      <c r="T69" s="39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39" t="str">
        <f>IF(OR(TH!L69=TH!$V$7,M69=TH!$V$7),"x","")</f>
        <v/>
      </c>
      <c r="W69" s="39" t="str">
        <f>IF(AND(B69&gt;='IN-NX'!$P$3,B69&lt;='IN-NX'!$Q$3,'IN-NX'!$D$7=D69,OR(LEFT(L69,2)="15",AND(LEFT(M69,2)&lt;&gt;"15",LEFT(M69,2)&lt;&gt;"33"))),"x","")</f>
        <v/>
      </c>
      <c r="X69" s="39" t="str">
        <f>IF(AND(OR(LEFT(TH!L69,2)="15",LEFT(TH!M69,2)="15"),'152-CT'!$J$8=TH!F69),"x","")</f>
        <v/>
      </c>
      <c r="Y69" s="39" t="str">
        <f>IF(AND(OR(LEFT(TH!L69,2)="15",LEFT(TH!M69,2)="15"),TK!$E$7=TH!F69),"x","")</f>
        <v/>
      </c>
      <c r="Z69" s="39" t="str">
        <f>IF(AND(B69&lt;=NKC!$N$8,B69&gt;=NKC!$M$8),"x","")</f>
        <v/>
      </c>
      <c r="AA69" s="894"/>
    </row>
    <row r="70" spans="1:30" s="598" customFormat="1" ht="15.75" customHeight="1">
      <c r="A70" s="199" t="str">
        <f>IF(B70&lt;&gt;"",IF(AND(B70&gt;=_TM1,B70&lt;=_TM2,OR(TH!L70="1111",TH!M70="1111")),TH!D70,""),"")</f>
        <v/>
      </c>
      <c r="B70" s="36">
        <f t="shared" si="3"/>
        <v>1</v>
      </c>
      <c r="C70" s="183">
        <f t="shared" si="4"/>
        <v>0</v>
      </c>
      <c r="D70" s="183"/>
      <c r="E70" s="183"/>
      <c r="F70" s="188"/>
      <c r="G70" s="489"/>
      <c r="H70" s="7"/>
      <c r="I70" s="253"/>
      <c r="J70" s="253"/>
      <c r="K70" s="606"/>
      <c r="L70" s="607"/>
      <c r="M70" s="607"/>
      <c r="N70" s="39" t="str">
        <f>IF(AND('331-CT'!$E$7=TH!H70,OR(L70="331",M70="331")),"331",IF(AND(OR(L70="131",M70="131"),H70='131-CT'!$E$7),"131",""))</f>
        <v/>
      </c>
      <c r="O70" s="39" t="str">
        <f>IF(AND($B70&gt;='111'!$N$11,$B70&lt;='111'!$O$11,OR($L70=$O$7,$M70=$O$7)),"x","")</f>
        <v/>
      </c>
      <c r="P70" s="39" t="str">
        <f>IF(AND($L70=$O$7,$B70&lt;'111'!$N$11),"x","")</f>
        <v/>
      </c>
      <c r="Q70" s="39" t="str">
        <f>IF(AND($M70=$O$7,$B70&lt;'111'!$N$11),"x","")</f>
        <v/>
      </c>
      <c r="R70" s="39" t="str">
        <f>IF(ISERROR(FIND('112'!$M$9,G70,1)),"",IF((AND(FIND('112'!$M$9,G70,1)&gt;=1,$B70&gt;='112'!$N$8,$B70&lt;='112'!$O$8,OR($L70='112'!$I$6,$M70='112'!$I$6))),"x",""))</f>
        <v/>
      </c>
      <c r="S70" s="39" t="str">
        <f>IF(ISERROR(FIND('112'!$M$9,G70,1)),"",IF((AND(LEFT(G70,2)=LEFT('112'!$M$9,2),B70&lt;'112'!$N$8,$L70='112'!$I$6)),"x",""))</f>
        <v/>
      </c>
      <c r="T70" s="39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39" t="str">
        <f>IF(OR(TH!L70=TH!$V$7,M70=TH!$V$7),"x","")</f>
        <v/>
      </c>
      <c r="W70" s="39" t="str">
        <f>IF(AND(B70&gt;='IN-NX'!$P$3,B70&lt;='IN-NX'!$Q$3,'IN-NX'!$D$7=D70,OR(LEFT(L70,2)="15",AND(LEFT(M70,2)&lt;&gt;"15",LEFT(M70,2)&lt;&gt;"33"))),"x","")</f>
        <v/>
      </c>
      <c r="X70" s="39" t="str">
        <f>IF(AND(OR(LEFT(TH!L70,2)="15",LEFT(TH!M70,2)="15"),'152-CT'!$J$8=TH!F70),"x","")</f>
        <v/>
      </c>
      <c r="Y70" s="39" t="str">
        <f>IF(AND(OR(LEFT(TH!L70,2)="15",LEFT(TH!M70,2)="15"),TK!$E$7=TH!F70),"x","")</f>
        <v/>
      </c>
      <c r="Z70" s="39" t="str">
        <f>IF(AND(B70&lt;=NKC!$N$8,B70&gt;=NKC!$M$8),"x","")</f>
        <v/>
      </c>
      <c r="AA70" s="894"/>
    </row>
    <row r="71" spans="1:30" s="598" customFormat="1" ht="15.75" customHeight="1">
      <c r="A71" s="199" t="str">
        <f>IF(B71&lt;&gt;"",IF(AND(B71&gt;=_TM1,B71&lt;=_TM2,OR(TH!L71="1111",TH!M71="1111")),TH!D71,""),"")</f>
        <v/>
      </c>
      <c r="B71" s="36">
        <f t="shared" si="3"/>
        <v>1</v>
      </c>
      <c r="C71" s="183">
        <f t="shared" si="4"/>
        <v>0</v>
      </c>
      <c r="D71" s="183"/>
      <c r="E71" s="183"/>
      <c r="F71" s="188"/>
      <c r="G71" s="489"/>
      <c r="H71" s="192"/>
      <c r="I71" s="253"/>
      <c r="J71" s="253"/>
      <c r="K71" s="606"/>
      <c r="L71" s="607"/>
      <c r="M71" s="607"/>
      <c r="N71" s="39" t="str">
        <f>IF(AND('331-CT'!$E$7=TH!H71,OR(L71="331",M71="331")),"331",IF(AND(OR(L71="131",M71="131"),H71='131-CT'!$E$7),"131",""))</f>
        <v/>
      </c>
      <c r="O71" s="39" t="str">
        <f>IF(AND($B71&gt;='111'!$N$11,$B71&lt;='111'!$O$11,OR($L71=$O$7,$M71=$O$7)),"x","")</f>
        <v/>
      </c>
      <c r="P71" s="39" t="str">
        <f>IF(AND($L71=$O$7,$B71&lt;'111'!$N$11),"x","")</f>
        <v/>
      </c>
      <c r="Q71" s="39" t="str">
        <f>IF(AND($M71=$O$7,$B71&lt;'111'!$N$11),"x","")</f>
        <v/>
      </c>
      <c r="R71" s="39" t="str">
        <f>IF(ISERROR(FIND('112'!$M$9,G71,1)),"",IF((AND(FIND('112'!$M$9,G71,1)&gt;=1,$B71&gt;='112'!$N$8,$B71&lt;='112'!$O$8,OR($L71='112'!$I$6,$M71='112'!$I$6))),"x",""))</f>
        <v/>
      </c>
      <c r="S71" s="39" t="str">
        <f>IF(ISERROR(FIND('112'!$M$9,G71,1)),"",IF((AND(LEFT(G71,2)=LEFT('112'!$M$9,2),B71&lt;'112'!$N$8,$L71='112'!$I$6)),"x",""))</f>
        <v/>
      </c>
      <c r="T71" s="39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39" t="str">
        <f>IF(OR(TH!L71=TH!$V$7,M71=TH!$V$7),"x","")</f>
        <v/>
      </c>
      <c r="W71" s="39" t="str">
        <f>IF(AND(B71&gt;='IN-NX'!$P$3,B71&lt;='IN-NX'!$Q$3,'IN-NX'!$D$7=D71,OR(LEFT(L71,2)="15",AND(LEFT(M71,2)&lt;&gt;"15",LEFT(M71,2)&lt;&gt;"33"))),"x","")</f>
        <v/>
      </c>
      <c r="X71" s="39" t="str">
        <f>IF(AND(OR(LEFT(TH!L71,2)="15",LEFT(TH!M71,2)="15"),'152-CT'!$J$8=TH!F71),"x","")</f>
        <v/>
      </c>
      <c r="Y71" s="39" t="str">
        <f>IF(AND(OR(LEFT(TH!L71,2)="15",LEFT(TH!M71,2)="15"),TK!$E$7=TH!F71),"x","")</f>
        <v/>
      </c>
      <c r="Z71" s="39" t="str">
        <f>IF(AND(B71&lt;=NKC!$N$8,B71&gt;=NKC!$M$8),"x","")</f>
        <v/>
      </c>
      <c r="AA71" s="894"/>
    </row>
    <row r="72" spans="1:30" s="598" customFormat="1" ht="15.75" customHeight="1">
      <c r="A72" s="199" t="str">
        <f>IF(B72&lt;&gt;"",IF(AND(B72&gt;=_TM1,B72&lt;=_TM2,OR(TH!L72="1111",TH!M72="1111")),TH!D72,""),"")</f>
        <v/>
      </c>
      <c r="B72" s="36">
        <f t="shared" si="3"/>
        <v>1</v>
      </c>
      <c r="C72" s="183">
        <f t="shared" si="4"/>
        <v>0</v>
      </c>
      <c r="D72" s="183"/>
      <c r="E72" s="183"/>
      <c r="F72" s="188"/>
      <c r="G72" s="489"/>
      <c r="H72" s="817"/>
      <c r="I72" s="253"/>
      <c r="J72" s="253"/>
      <c r="K72" s="606"/>
      <c r="L72" s="607"/>
      <c r="M72" s="607"/>
      <c r="N72" s="39" t="str">
        <f>IF(AND('331-CT'!$E$7=TH!H72,OR(L72="331",M72="331")),"331",IF(AND(OR(L72="131",M72="131"),H72='131-CT'!$E$7),"131",""))</f>
        <v/>
      </c>
      <c r="O72" s="39" t="str">
        <f>IF(AND($B72&gt;='111'!$N$11,$B72&lt;='111'!$O$11,OR($L72=$O$7,$M72=$O$7)),"x","")</f>
        <v/>
      </c>
      <c r="P72" s="39" t="str">
        <f>IF(AND($L72=$O$7,$B72&lt;'111'!$N$11),"x","")</f>
        <v/>
      </c>
      <c r="Q72" s="39" t="str">
        <f>IF(AND($M72=$O$7,$B72&lt;'111'!$N$11),"x","")</f>
        <v/>
      </c>
      <c r="R72" s="39" t="str">
        <f>IF(ISERROR(FIND('112'!$M$9,G72,1)),"",IF((AND(FIND('112'!$M$9,G72,1)&gt;=1,$B72&gt;='112'!$N$8,$B72&lt;='112'!$O$8,OR($L72='112'!$I$6,$M72='112'!$I$6))),"x",""))</f>
        <v/>
      </c>
      <c r="S72" s="39" t="str">
        <f>IF(ISERROR(FIND('112'!$M$9,G72,1)),"",IF((AND(LEFT(G72,2)=LEFT('112'!$M$9,2),B72&lt;'112'!$N$8,$L72='112'!$I$6)),"x",""))</f>
        <v/>
      </c>
      <c r="T72" s="39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39" t="str">
        <f>IF(OR(TH!L72=TH!$V$7,M72=TH!$V$7),"x","")</f>
        <v/>
      </c>
      <c r="W72" s="39" t="str">
        <f>IF(AND(B72&gt;='IN-NX'!$P$3,B72&lt;='IN-NX'!$Q$3,'IN-NX'!$D$7=D72,OR(LEFT(L72,2)="15",AND(LEFT(M72,2)&lt;&gt;"15",LEFT(M72,2)&lt;&gt;"33"))),"x","")</f>
        <v/>
      </c>
      <c r="X72" s="39" t="str">
        <f>IF(AND(OR(LEFT(TH!L72,2)="15",LEFT(TH!M72,2)="15"),'152-CT'!$J$8=TH!F72),"x","")</f>
        <v/>
      </c>
      <c r="Y72" s="39" t="str">
        <f>IF(AND(OR(LEFT(TH!L72,2)="15",LEFT(TH!M72,2)="15"),TK!$E$7=TH!F72),"x","")</f>
        <v/>
      </c>
      <c r="Z72" s="39" t="str">
        <f>IF(AND(B72&lt;=NKC!$N$8,B72&gt;=NKC!$M$8),"x","")</f>
        <v/>
      </c>
      <c r="AA72" s="894"/>
    </row>
    <row r="73" spans="1:30" s="598" customFormat="1" ht="15.75" customHeight="1">
      <c r="A73" s="199" t="str">
        <f>IF(B73&lt;&gt;"",IF(AND(B73&gt;=_TM1,B73&lt;=_TM2,OR(TH!L73="1111",TH!M73="1111")),TH!D73,""),"")</f>
        <v/>
      </c>
      <c r="B73" s="36">
        <f t="shared" si="3"/>
        <v>1</v>
      </c>
      <c r="C73" s="183">
        <f t="shared" si="4"/>
        <v>0</v>
      </c>
      <c r="D73" s="183"/>
      <c r="E73" s="183"/>
      <c r="F73" s="188"/>
      <c r="G73" s="489"/>
      <c r="H73" s="192"/>
      <c r="I73" s="253"/>
      <c r="J73" s="253"/>
      <c r="K73" s="606"/>
      <c r="L73" s="607"/>
      <c r="M73" s="607"/>
      <c r="N73" s="39" t="str">
        <f>IF(AND('331-CT'!$E$7=TH!H73,OR(L73="331",M73="331")),"331",IF(AND(OR(L73="131",M73="131"),H73='131-CT'!$E$7),"131",""))</f>
        <v/>
      </c>
      <c r="O73" s="39" t="str">
        <f>IF(AND($B73&gt;='111'!$N$11,$B73&lt;='111'!$O$11,OR($L73=$O$7,$M73=$O$7)),"x","")</f>
        <v/>
      </c>
      <c r="P73" s="39" t="str">
        <f>IF(AND($L73=$O$7,$B73&lt;'111'!$N$11),"x","")</f>
        <v/>
      </c>
      <c r="Q73" s="39" t="str">
        <f>IF(AND($M73=$O$7,$B73&lt;'111'!$N$11),"x","")</f>
        <v/>
      </c>
      <c r="R73" s="39" t="str">
        <f>IF(ISERROR(FIND('112'!$M$9,G73,1)),"",IF((AND(FIND('112'!$M$9,G73,1)&gt;=1,$B73&gt;='112'!$N$8,$B73&lt;='112'!$O$8,OR($L73='112'!$I$6,$M73='112'!$I$6))),"x",""))</f>
        <v/>
      </c>
      <c r="S73" s="39" t="str">
        <f>IF(ISERROR(FIND('112'!$M$9,G73,1)),"",IF((AND(LEFT(G73,2)=LEFT('112'!$M$9,2),B73&lt;'112'!$N$8,$L73='112'!$I$6)),"x",""))</f>
        <v/>
      </c>
      <c r="T73" s="39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39" t="str">
        <f>IF(OR(TH!L73=TH!$V$7,M73=TH!$V$7),"x","")</f>
        <v/>
      </c>
      <c r="W73" s="39" t="str">
        <f>IF(AND(B73&gt;='IN-NX'!$P$3,B73&lt;='IN-NX'!$Q$3,'IN-NX'!$D$7=D73,OR(LEFT(L73,2)="15",AND(LEFT(M73,2)&lt;&gt;"15",LEFT(M73,2)&lt;&gt;"33"))),"x","")</f>
        <v/>
      </c>
      <c r="X73" s="39" t="str">
        <f>IF(AND(OR(LEFT(TH!L73,2)="15",LEFT(TH!M73,2)="15"),'152-CT'!$J$8=TH!F73),"x","")</f>
        <v/>
      </c>
      <c r="Y73" s="39" t="str">
        <f>IF(AND(OR(LEFT(TH!L73,2)="15",LEFT(TH!M73,2)="15"),TK!$E$7=TH!F73),"x","")</f>
        <v/>
      </c>
      <c r="Z73" s="39" t="str">
        <f>IF(AND(B73&lt;=NKC!$N$8,B73&gt;=NKC!$M$8),"x","")</f>
        <v/>
      </c>
      <c r="AA73" s="894"/>
    </row>
    <row r="74" spans="1:30" s="598" customFormat="1" ht="15.75" customHeight="1">
      <c r="A74" s="199" t="str">
        <f>IF(B74&lt;&gt;"",IF(AND(B74&gt;=_TM1,B74&lt;=_TM2,OR(TH!L74="1111",TH!M74="1111")),TH!D74,""),"")</f>
        <v/>
      </c>
      <c r="B74" s="36">
        <f t="shared" si="3"/>
        <v>1</v>
      </c>
      <c r="C74" s="183">
        <f t="shared" si="4"/>
        <v>0</v>
      </c>
      <c r="D74" s="183"/>
      <c r="E74" s="183"/>
      <c r="F74" s="188"/>
      <c r="G74" s="489"/>
      <c r="H74" s="192"/>
      <c r="I74" s="253"/>
      <c r="J74" s="253"/>
      <c r="K74" s="606"/>
      <c r="L74" s="607"/>
      <c r="M74" s="607"/>
      <c r="N74" s="39" t="str">
        <f>IF(AND('331-CT'!$E$7=TH!H74,OR(L74="331",M74="331")),"331",IF(AND(OR(L74="131",M74="131"),H74='131-CT'!$E$7),"131",""))</f>
        <v/>
      </c>
      <c r="O74" s="39" t="str">
        <f>IF(AND($B74&gt;='111'!$N$11,$B74&lt;='111'!$O$11,OR($L74=$O$7,$M74=$O$7)),"x","")</f>
        <v/>
      </c>
      <c r="P74" s="39" t="str">
        <f>IF(AND($L74=$O$7,$B74&lt;'111'!$N$11),"x","")</f>
        <v/>
      </c>
      <c r="Q74" s="39" t="str">
        <f>IF(AND($M74=$O$7,$B74&lt;'111'!$N$11),"x","")</f>
        <v/>
      </c>
      <c r="R74" s="39" t="str">
        <f>IF(ISERROR(FIND('112'!$M$9,G74,1)),"",IF((AND(FIND('112'!$M$9,G74,1)&gt;=1,$B74&gt;='112'!$N$8,$B74&lt;='112'!$O$8,OR($L74='112'!$I$6,$M74='112'!$I$6))),"x",""))</f>
        <v/>
      </c>
      <c r="S74" s="39" t="str">
        <f>IF(ISERROR(FIND('112'!$M$9,G74,1)),"",IF((AND(LEFT(G74,2)=LEFT('112'!$M$9,2),B74&lt;'112'!$N$8,$L74='112'!$I$6)),"x",""))</f>
        <v/>
      </c>
      <c r="T74" s="39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39" t="str">
        <f>IF(OR(TH!L74=TH!$V$7,M74=TH!$V$7),"x","")</f>
        <v/>
      </c>
      <c r="W74" s="39" t="str">
        <f>IF(AND(B74&gt;='IN-NX'!$P$3,B74&lt;='IN-NX'!$Q$3,'IN-NX'!$D$7=D74,OR(LEFT(L74,2)="15",AND(LEFT(M74,2)&lt;&gt;"15",LEFT(M74,2)&lt;&gt;"33"))),"x","")</f>
        <v/>
      </c>
      <c r="X74" s="39" t="str">
        <f>IF(AND(OR(LEFT(TH!L74,2)="15",LEFT(TH!M74,2)="15"),'152-CT'!$J$8=TH!F74),"x","")</f>
        <v/>
      </c>
      <c r="Y74" s="39" t="str">
        <f>IF(AND(OR(LEFT(TH!L74,2)="15",LEFT(TH!M74,2)="15"),TK!$E$7=TH!F74),"x","")</f>
        <v/>
      </c>
      <c r="Z74" s="39" t="str">
        <f>IF(AND(B74&lt;=NKC!$N$8,B74&gt;=NKC!$M$8),"x","")</f>
        <v/>
      </c>
      <c r="AA74" s="894"/>
    </row>
    <row r="75" spans="1:30" s="598" customFormat="1" ht="15.75" customHeight="1">
      <c r="A75" s="199" t="str">
        <f>IF(B75&lt;&gt;"",IF(AND(B75&gt;=_TM1,B75&lt;=_TM2,OR(TH!L75="1111",TH!M75="1111")),TH!D75,""),"")</f>
        <v/>
      </c>
      <c r="B75" s="36">
        <f t="shared" si="3"/>
        <v>1</v>
      </c>
      <c r="C75" s="183">
        <f t="shared" si="4"/>
        <v>0</v>
      </c>
      <c r="D75" s="183"/>
      <c r="E75" s="183"/>
      <c r="F75" s="188"/>
      <c r="G75" s="489"/>
      <c r="H75" s="7"/>
      <c r="I75" s="253"/>
      <c r="J75" s="253"/>
      <c r="K75" s="606"/>
      <c r="L75" s="607"/>
      <c r="M75" s="607"/>
      <c r="N75" s="39" t="str">
        <f>IF(AND('331-CT'!$E$7=TH!H75,OR(L75="331",M75="331")),"331",IF(AND(OR(L75="131",M75="131"),H75='131-CT'!$E$7),"131",""))</f>
        <v/>
      </c>
      <c r="O75" s="39" t="str">
        <f>IF(AND($B75&gt;='111'!$N$11,$B75&lt;='111'!$O$11,OR($L75=$O$7,$M75=$O$7)),"x","")</f>
        <v/>
      </c>
      <c r="P75" s="39" t="str">
        <f>IF(AND($L75=$O$7,$B75&lt;'111'!$N$11),"x","")</f>
        <v/>
      </c>
      <c r="Q75" s="39" t="str">
        <f>IF(AND($M75=$O$7,$B75&lt;'111'!$N$11),"x","")</f>
        <v/>
      </c>
      <c r="R75" s="39" t="str">
        <f>IF(ISERROR(FIND('112'!$M$9,G75,1)),"",IF((AND(FIND('112'!$M$9,G75,1)&gt;=1,$B75&gt;='112'!$N$8,$B75&lt;='112'!$O$8,OR($L75='112'!$I$6,$M75='112'!$I$6))),"x",""))</f>
        <v/>
      </c>
      <c r="S75" s="39" t="str">
        <f>IF(ISERROR(FIND('112'!$M$9,G75,1)),"",IF((AND(LEFT(G75,2)=LEFT('112'!$M$9,2),B75&lt;'112'!$N$8,$L75='112'!$I$6)),"x",""))</f>
        <v/>
      </c>
      <c r="T75" s="39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39" t="str">
        <f>IF(OR(TH!L75=TH!$V$7,M75=TH!$V$7),"x","")</f>
        <v/>
      </c>
      <c r="W75" s="39" t="str">
        <f>IF(AND(B75&gt;='IN-NX'!$P$3,B75&lt;='IN-NX'!$Q$3,'IN-NX'!$D$7=D75,OR(LEFT(L75,2)="15",AND(LEFT(M75,2)&lt;&gt;"15",LEFT(M75,2)&lt;&gt;"33"))),"x","")</f>
        <v/>
      </c>
      <c r="X75" s="39" t="str">
        <f>IF(AND(OR(LEFT(TH!L75,2)="15",LEFT(TH!M75,2)="15"),'152-CT'!$J$8=TH!F75),"x","")</f>
        <v/>
      </c>
      <c r="Y75" s="39" t="str">
        <f>IF(AND(OR(LEFT(TH!L75,2)="15",LEFT(TH!M75,2)="15"),TK!$E$7=TH!F75),"x","")</f>
        <v/>
      </c>
      <c r="Z75" s="39" t="str">
        <f>IF(AND(B75&lt;=NKC!$N$8,B75&gt;=NKC!$M$8),"x","")</f>
        <v/>
      </c>
      <c r="AA75" s="894"/>
    </row>
    <row r="76" spans="1:30" s="598" customFormat="1" ht="15.75" customHeight="1">
      <c r="A76" s="199" t="str">
        <f>IF(B76&lt;&gt;"",IF(AND(B76&gt;=_TM1,B76&lt;=_TM2,OR(TH!L76="1111",TH!M76="1111")),TH!D76,""),"")</f>
        <v/>
      </c>
      <c r="B76" s="36">
        <f t="shared" si="3"/>
        <v>1</v>
      </c>
      <c r="C76" s="190">
        <f t="shared" si="4"/>
        <v>0</v>
      </c>
      <c r="D76" s="183"/>
      <c r="E76" s="190"/>
      <c r="F76" s="188"/>
      <c r="G76" s="489"/>
      <c r="H76" s="7"/>
      <c r="I76" s="253"/>
      <c r="J76" s="889"/>
      <c r="K76" s="606"/>
      <c r="L76" s="607"/>
      <c r="M76" s="607"/>
      <c r="N76" s="39" t="str">
        <f>IF(AND('331-CT'!$E$7=TH!H76,OR(L76="331",M76="331")),"331",IF(AND(OR(L76="131",M76="131"),H76='131-CT'!$E$7),"131",""))</f>
        <v/>
      </c>
      <c r="O76" s="39" t="str">
        <f>IF(AND($B76&gt;='111'!$N$11,$B76&lt;='111'!$O$11,OR($L76=$O$7,$M76=$O$7)),"x","")</f>
        <v/>
      </c>
      <c r="P76" s="39" t="str">
        <f>IF(AND($L76=$O$7,$B76&lt;'111'!$N$11),"x","")</f>
        <v/>
      </c>
      <c r="Q76" s="39" t="str">
        <f>IF(AND($M76=$O$7,$B76&lt;'111'!$N$11),"x","")</f>
        <v/>
      </c>
      <c r="R76" s="39" t="str">
        <f>IF(ISERROR(FIND('112'!$M$9,G76,1)),"",IF((AND(FIND('112'!$M$9,G76,1)&gt;=1,$B76&gt;='112'!$N$8,$B76&lt;='112'!$O$8,OR($L76='112'!$I$6,$M76='112'!$I$6))),"x",""))</f>
        <v/>
      </c>
      <c r="S76" s="39" t="str">
        <f>IF(ISERROR(FIND('112'!$M$9,G76,1)),"",IF((AND(LEFT(G76,2)=LEFT('112'!$M$9,2),B76&lt;'112'!$N$8,$L76='112'!$I$6)),"x",""))</f>
        <v/>
      </c>
      <c r="T76" s="39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39" t="str">
        <f>IF(OR(TH!L76=TH!$V$7,M76=TH!$V$7),"x","")</f>
        <v/>
      </c>
      <c r="W76" s="39" t="str">
        <f>IF(AND(B76&gt;='IN-NX'!$P$3,B76&lt;='IN-NX'!$Q$3,'IN-NX'!$D$7=D76,OR(LEFT(L76,2)="15",AND(LEFT(M76,2)&lt;&gt;"15",LEFT(M76,2)&lt;&gt;"33"))),"x","")</f>
        <v/>
      </c>
      <c r="X76" s="39" t="str">
        <f>IF(AND(OR(LEFT(TH!L76,2)="15",LEFT(TH!M76,2)="15"),'152-CT'!$J$8=TH!F76),"x","")</f>
        <v/>
      </c>
      <c r="Y76" s="39" t="str">
        <f>IF(AND(OR(LEFT(TH!L76,2)="15",LEFT(TH!M76,2)="15"),TK!$E$7=TH!F76),"x","")</f>
        <v/>
      </c>
      <c r="Z76" s="39" t="str">
        <f>IF(AND(B76&lt;=NKC!$N$8,B76&gt;=NKC!$M$8),"x","")</f>
        <v/>
      </c>
      <c r="AA76" s="894"/>
      <c r="AB76" s="205"/>
      <c r="AC76" s="205"/>
      <c r="AD76" s="205"/>
    </row>
    <row r="77" spans="1:30" s="598" customFormat="1" ht="15.75" customHeight="1">
      <c r="A77" s="199" t="str">
        <f>IF(B77&lt;&gt;"",IF(AND(B77&gt;=_TM1,B77&lt;=_TM2,OR(TH!L77="1111",TH!M77="1111")),TH!D77,""),"")</f>
        <v/>
      </c>
      <c r="B77" s="36">
        <f t="shared" si="3"/>
        <v>1</v>
      </c>
      <c r="C77" s="190">
        <f t="shared" si="4"/>
        <v>0</v>
      </c>
      <c r="D77" s="183"/>
      <c r="E77" s="190"/>
      <c r="F77" s="188"/>
      <c r="G77" s="489"/>
      <c r="H77" s="7"/>
      <c r="I77" s="253"/>
      <c r="J77" s="889"/>
      <c r="K77" s="606"/>
      <c r="L77" s="607"/>
      <c r="M77" s="607"/>
      <c r="N77" s="39" t="str">
        <f>IF(AND('331-CT'!$E$7=TH!H77,OR(L77="331",M77="331")),"331",IF(AND(OR(L77="131",M77="131"),H77='131-CT'!$E$7),"131",""))</f>
        <v/>
      </c>
      <c r="O77" s="39" t="str">
        <f>IF(AND($B77&gt;='111'!$N$11,$B77&lt;='111'!$O$11,OR($L77=$O$7,$M77=$O$7)),"x","")</f>
        <v/>
      </c>
      <c r="P77" s="39" t="str">
        <f>IF(AND($L77=$O$7,$B77&lt;'111'!$N$11),"x","")</f>
        <v/>
      </c>
      <c r="Q77" s="39" t="str">
        <f>IF(AND($M77=$O$7,$B77&lt;'111'!$N$11),"x","")</f>
        <v/>
      </c>
      <c r="R77" s="39" t="str">
        <f>IF(ISERROR(FIND('112'!$M$9,G77,1)),"",IF((AND(FIND('112'!$M$9,G77,1)&gt;=1,$B77&gt;='112'!$N$8,$B77&lt;='112'!$O$8,OR($L77='112'!$I$6,$M77='112'!$I$6))),"x",""))</f>
        <v/>
      </c>
      <c r="S77" s="39" t="str">
        <f>IF(ISERROR(FIND('112'!$M$9,G77,1)),"",IF((AND(LEFT(G77,2)=LEFT('112'!$M$9,2),B77&lt;'112'!$N$8,$L77='112'!$I$6)),"x",""))</f>
        <v/>
      </c>
      <c r="T77" s="39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39" t="str">
        <f>IF(OR(TH!L77=TH!$V$7,M77=TH!$V$7),"x","")</f>
        <v/>
      </c>
      <c r="W77" s="39" t="str">
        <f>IF(AND(B77&gt;='IN-NX'!$P$3,B77&lt;='IN-NX'!$Q$3,'IN-NX'!$D$7=D77,OR(LEFT(L77,2)="15",AND(LEFT(M77,2)&lt;&gt;"15",LEFT(M77,2)&lt;&gt;"33"))),"x","")</f>
        <v/>
      </c>
      <c r="X77" s="39" t="str">
        <f>IF(AND(OR(LEFT(TH!L77,2)="15",LEFT(TH!M77,2)="15"),'152-CT'!$J$8=TH!F77),"x","")</f>
        <v/>
      </c>
      <c r="Y77" s="39" t="str">
        <f>IF(AND(OR(LEFT(TH!L77,2)="15",LEFT(TH!M77,2)="15"),TK!$E$7=TH!F77),"x","")</f>
        <v/>
      </c>
      <c r="Z77" s="39" t="str">
        <f>IF(AND(B77&lt;=NKC!$N$8,B77&gt;=NKC!$M$8),"x","")</f>
        <v/>
      </c>
      <c r="AA77" s="894"/>
      <c r="AB77" s="205"/>
      <c r="AC77" s="205"/>
      <c r="AD77" s="205"/>
    </row>
    <row r="78" spans="1:30" s="598" customFormat="1" ht="15.75" customHeight="1">
      <c r="A78" s="199" t="str">
        <f>IF(B78&lt;&gt;"",IF(AND(B78&gt;=_TM1,B78&lt;=_TM2,OR(TH!L78="1111",TH!M78="1111")),TH!D78,""),"")</f>
        <v/>
      </c>
      <c r="B78" s="36">
        <f t="shared" si="3"/>
        <v>1</v>
      </c>
      <c r="C78" s="190">
        <f t="shared" si="4"/>
        <v>0</v>
      </c>
      <c r="D78" s="183"/>
      <c r="E78" s="190"/>
      <c r="F78" s="188"/>
      <c r="G78" s="489"/>
      <c r="H78" s="7"/>
      <c r="I78" s="253"/>
      <c r="J78" s="889"/>
      <c r="K78" s="606"/>
      <c r="L78" s="607"/>
      <c r="M78" s="607"/>
      <c r="N78" s="39" t="str">
        <f>IF(AND('331-CT'!$E$7=TH!H78,OR(L78="331",M78="331")),"331",IF(AND(OR(L78="131",M78="131"),H78='131-CT'!$E$7),"131",""))</f>
        <v/>
      </c>
      <c r="O78" s="39" t="str">
        <f>IF(AND($B78&gt;='111'!$N$11,$B78&lt;='111'!$O$11,OR($L78=$O$7,$M78=$O$7)),"x","")</f>
        <v/>
      </c>
      <c r="P78" s="39" t="str">
        <f>IF(AND($L78=$O$7,$B78&lt;'111'!$N$11),"x","")</f>
        <v/>
      </c>
      <c r="Q78" s="39" t="str">
        <f>IF(AND($M78=$O$7,$B78&lt;'111'!$N$11),"x","")</f>
        <v/>
      </c>
      <c r="R78" s="39" t="str">
        <f>IF(ISERROR(FIND('112'!$M$9,G78,1)),"",IF((AND(FIND('112'!$M$9,G78,1)&gt;=1,$B78&gt;='112'!$N$8,$B78&lt;='112'!$O$8,OR($L78='112'!$I$6,$M78='112'!$I$6))),"x",""))</f>
        <v/>
      </c>
      <c r="S78" s="39" t="str">
        <f>IF(ISERROR(FIND('112'!$M$9,G78,1)),"",IF((AND(LEFT(G78,2)=LEFT('112'!$M$9,2),B78&lt;'112'!$N$8,$L78='112'!$I$6)),"x",""))</f>
        <v/>
      </c>
      <c r="T78" s="39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39" t="str">
        <f>IF(OR(TH!L78=TH!$V$7,M78=TH!$V$7),"x","")</f>
        <v/>
      </c>
      <c r="W78" s="39" t="str">
        <f>IF(AND(B78&gt;='IN-NX'!$P$3,B78&lt;='IN-NX'!$Q$3,'IN-NX'!$D$7=D78,OR(LEFT(L78,2)="15",AND(LEFT(M78,2)&lt;&gt;"15",LEFT(M78,2)&lt;&gt;"33"))),"x","")</f>
        <v/>
      </c>
      <c r="X78" s="39" t="str">
        <f>IF(AND(OR(LEFT(TH!L78,2)="15",LEFT(TH!M78,2)="15"),'152-CT'!$J$8=TH!F78),"x","")</f>
        <v/>
      </c>
      <c r="Y78" s="39" t="str">
        <f>IF(AND(OR(LEFT(TH!L78,2)="15",LEFT(TH!M78,2)="15"),TK!$E$7=TH!F78),"x","")</f>
        <v/>
      </c>
      <c r="Z78" s="39" t="str">
        <f>IF(AND(B78&lt;=NKC!$N$8,B78&gt;=NKC!$M$8),"x","")</f>
        <v/>
      </c>
      <c r="AA78" s="894"/>
    </row>
    <row r="79" spans="1:30" s="598" customFormat="1" ht="15.75" customHeight="1">
      <c r="A79" s="199" t="str">
        <f>IF(B79&lt;&gt;"",IF(AND(B79&gt;=_TM1,B79&lt;=_TM2,OR(TH!L79="1111",TH!M79="1111")),TH!D79,""),"")</f>
        <v/>
      </c>
      <c r="B79" s="36">
        <f t="shared" si="3"/>
        <v>1</v>
      </c>
      <c r="C79" s="190">
        <f t="shared" si="4"/>
        <v>0</v>
      </c>
      <c r="D79" s="183"/>
      <c r="E79" s="190"/>
      <c r="F79" s="188"/>
      <c r="G79" s="489"/>
      <c r="H79" s="192"/>
      <c r="I79" s="253"/>
      <c r="J79" s="889"/>
      <c r="K79" s="606"/>
      <c r="L79" s="607"/>
      <c r="M79" s="607"/>
      <c r="N79" s="39" t="str">
        <f>IF(AND('331-CT'!$E$7=TH!H79,OR(L79="331",M79="331")),"331",IF(AND(OR(L79="131",M79="131"),H79='131-CT'!$E$7),"131",""))</f>
        <v/>
      </c>
      <c r="O79" s="39" t="str">
        <f>IF(AND($B79&gt;='111'!$N$11,$B79&lt;='111'!$O$11,OR($L79=$O$7,$M79=$O$7)),"x","")</f>
        <v/>
      </c>
      <c r="P79" s="39" t="str">
        <f>IF(AND($L79=$O$7,$B79&lt;'111'!$N$11),"x","")</f>
        <v/>
      </c>
      <c r="Q79" s="39" t="str">
        <f>IF(AND($M79=$O$7,$B79&lt;'111'!$N$11),"x","")</f>
        <v/>
      </c>
      <c r="R79" s="39" t="str">
        <f>IF(ISERROR(FIND('112'!$M$9,G79,1)),"",IF((AND(FIND('112'!$M$9,G79,1)&gt;=1,$B79&gt;='112'!$N$8,$B79&lt;='112'!$O$8,OR($L79='112'!$I$6,$M79='112'!$I$6))),"x",""))</f>
        <v/>
      </c>
      <c r="S79" s="39" t="str">
        <f>IF(ISERROR(FIND('112'!$M$9,G79,1)),"",IF((AND(LEFT(G79,2)=LEFT('112'!$M$9,2),B79&lt;'112'!$N$8,$L79='112'!$I$6)),"x",""))</f>
        <v/>
      </c>
      <c r="T79" s="39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39" t="str">
        <f>IF(OR(TH!L79=TH!$V$7,M79=TH!$V$7),"x","")</f>
        <v/>
      </c>
      <c r="W79" s="39" t="str">
        <f>IF(AND(B79&gt;='IN-NX'!$P$3,B79&lt;='IN-NX'!$Q$3,'IN-NX'!$D$7=D79,OR(LEFT(L79,2)="15",AND(LEFT(M79,2)&lt;&gt;"15",LEFT(M79,2)&lt;&gt;"33"))),"x","")</f>
        <v/>
      </c>
      <c r="X79" s="39" t="str">
        <f>IF(AND(OR(LEFT(TH!L79,2)="15",LEFT(TH!M79,2)="15"),'152-CT'!$J$8=TH!F79),"x","")</f>
        <v/>
      </c>
      <c r="Y79" s="39" t="str">
        <f>IF(AND(OR(LEFT(TH!L79,2)="15",LEFT(TH!M79,2)="15"),TK!$E$7=TH!F79),"x","")</f>
        <v/>
      </c>
      <c r="Z79" s="39" t="str">
        <f>IF(AND(B79&lt;=NKC!$N$8,B79&gt;=NKC!$M$8),"x","")</f>
        <v/>
      </c>
      <c r="AA79" s="894"/>
    </row>
    <row r="80" spans="1:30" s="598" customFormat="1" ht="15.75" customHeight="1">
      <c r="A80" s="199" t="str">
        <f>IF(B80&lt;&gt;"",IF(AND(B80&gt;=_TM1,B80&lt;=_TM2,OR(TH!L80="1111",TH!M80="1111")),TH!D80,""),"")</f>
        <v/>
      </c>
      <c r="B80" s="36">
        <f t="shared" si="3"/>
        <v>1</v>
      </c>
      <c r="C80" s="190">
        <f t="shared" si="4"/>
        <v>0</v>
      </c>
      <c r="D80" s="183"/>
      <c r="E80" s="190"/>
      <c r="F80" s="188"/>
      <c r="G80" s="489"/>
      <c r="H80" s="7"/>
      <c r="I80" s="253"/>
      <c r="J80" s="253"/>
      <c r="K80" s="38"/>
      <c r="L80" s="607"/>
      <c r="M80" s="607"/>
      <c r="N80" s="39" t="str">
        <f>IF(AND('331-CT'!$E$7=TH!H80,OR(L80="331",M80="331")),"331",IF(AND(OR(L80="131",M80="131"),H80='131-CT'!$E$7),"131",""))</f>
        <v/>
      </c>
      <c r="O80" s="39" t="str">
        <f>IF(AND($B80&gt;='111'!$N$11,$B80&lt;='111'!$O$11,OR($L80=$O$7,$M80=$O$7)),"x","")</f>
        <v/>
      </c>
      <c r="P80" s="39" t="str">
        <f>IF(AND($L80=$O$7,$B80&lt;'111'!$N$11),"x","")</f>
        <v/>
      </c>
      <c r="Q80" s="39" t="str">
        <f>IF(AND($M80=$O$7,$B80&lt;'111'!$N$11),"x","")</f>
        <v/>
      </c>
      <c r="R80" s="39" t="str">
        <f>IF(ISERROR(FIND('112'!$M$9,G80,1)),"",IF((AND(FIND('112'!$M$9,G80,1)&gt;=1,$B80&gt;='112'!$N$8,$B80&lt;='112'!$O$8,OR($L80='112'!$I$6,$M80='112'!$I$6))),"x",""))</f>
        <v/>
      </c>
      <c r="S80" s="39" t="str">
        <f>IF(ISERROR(FIND('112'!$M$9,G80,1)),"",IF((AND(LEFT(G80,2)=LEFT('112'!$M$9,2),B80&lt;'112'!$N$8,$L80='112'!$I$6)),"x",""))</f>
        <v/>
      </c>
      <c r="T80" s="39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39" t="str">
        <f>IF(OR(TH!L80=TH!$V$7,M80=TH!$V$7),"x","")</f>
        <v/>
      </c>
      <c r="W80" s="39" t="str">
        <f>IF(AND(B80&gt;='IN-NX'!$P$3,B80&lt;='IN-NX'!$Q$3,'IN-NX'!$D$7=D80,OR(LEFT(L80,2)="15",AND(LEFT(M80,2)&lt;&gt;"15",LEFT(M80,2)&lt;&gt;"33"))),"x","")</f>
        <v/>
      </c>
      <c r="X80" s="39" t="str">
        <f>IF(AND(OR(LEFT(TH!L80,2)="15",LEFT(TH!M80,2)="15"),'152-CT'!$J$8=TH!F80),"x","")</f>
        <v/>
      </c>
      <c r="Y80" s="39" t="str">
        <f>IF(AND(OR(LEFT(TH!L80,2)="15",LEFT(TH!M80,2)="15"),TK!$E$7=TH!F80),"x","")</f>
        <v/>
      </c>
      <c r="Z80" s="39" t="str">
        <f>IF(AND(B80&lt;=NKC!$N$8,B80&gt;=NKC!$M$8),"x","")</f>
        <v/>
      </c>
      <c r="AA80" s="894"/>
    </row>
    <row r="81" spans="1:30" s="598" customFormat="1" ht="15.75" customHeight="1">
      <c r="A81" s="199" t="str">
        <f>IF(B81&lt;&gt;"",IF(AND(B81&gt;=_TM1,B81&lt;=_TM2,OR(TH!L81="1111",TH!M81="1111")),TH!D81,""),"")</f>
        <v/>
      </c>
      <c r="B81" s="36">
        <f t="shared" si="3"/>
        <v>1</v>
      </c>
      <c r="C81" s="190">
        <f t="shared" si="4"/>
        <v>0</v>
      </c>
      <c r="D81" s="183"/>
      <c r="E81" s="190"/>
      <c r="F81" s="188"/>
      <c r="G81" s="489"/>
      <c r="H81" s="7"/>
      <c r="I81" s="253"/>
      <c r="J81" s="253"/>
      <c r="K81" s="38"/>
      <c r="L81" s="607"/>
      <c r="M81" s="607"/>
      <c r="N81" s="39" t="str">
        <f>IF(AND('331-CT'!$E$7=TH!H81,OR(L81="331",M81="331")),"331",IF(AND(OR(L81="131",M81="131"),H81='131-CT'!$E$7),"131",""))</f>
        <v/>
      </c>
      <c r="O81" s="39" t="str">
        <f>IF(AND($B81&gt;='111'!$N$11,$B81&lt;='111'!$O$11,OR($L81=$O$7,$M81=$O$7)),"x","")</f>
        <v/>
      </c>
      <c r="P81" s="39" t="str">
        <f>IF(AND($L81=$O$7,$B81&lt;'111'!$N$11),"x","")</f>
        <v/>
      </c>
      <c r="Q81" s="39" t="str">
        <f>IF(AND($M81=$O$7,$B81&lt;'111'!$N$11),"x","")</f>
        <v/>
      </c>
      <c r="R81" s="39" t="str">
        <f>IF(ISERROR(FIND('112'!$M$9,G81,1)),"",IF((AND(FIND('112'!$M$9,G81,1)&gt;=1,$B81&gt;='112'!$N$8,$B81&lt;='112'!$O$8,OR($L81='112'!$I$6,$M81='112'!$I$6))),"x",""))</f>
        <v/>
      </c>
      <c r="S81" s="39" t="str">
        <f>IF(ISERROR(FIND('112'!$M$9,G81,1)),"",IF((AND(LEFT(G81,2)=LEFT('112'!$M$9,2),B81&lt;'112'!$N$8,$L81='112'!$I$6)),"x",""))</f>
        <v/>
      </c>
      <c r="T81" s="39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39" t="str">
        <f>IF(OR(TH!L81=TH!$V$7,M81=TH!$V$7),"x","")</f>
        <v/>
      </c>
      <c r="W81" s="39" t="str">
        <f>IF(AND(B81&gt;='IN-NX'!$P$3,B81&lt;='IN-NX'!$Q$3,'IN-NX'!$D$7=D81,OR(LEFT(L81,2)="15",AND(LEFT(M81,2)&lt;&gt;"15",LEFT(M81,2)&lt;&gt;"33"))),"x","")</f>
        <v/>
      </c>
      <c r="X81" s="39" t="str">
        <f>IF(AND(OR(LEFT(TH!L81,2)="15",LEFT(TH!M81,2)="15"),'152-CT'!$J$8=TH!F81),"x","")</f>
        <v/>
      </c>
      <c r="Y81" s="39" t="str">
        <f>IF(AND(OR(LEFT(TH!L81,2)="15",LEFT(TH!M81,2)="15"),TK!$E$7=TH!F81),"x","")</f>
        <v/>
      </c>
      <c r="Z81" s="39" t="str">
        <f>IF(AND(B81&lt;=NKC!$N$8,B81&gt;=NKC!$M$8),"x","")</f>
        <v/>
      </c>
      <c r="AA81" s="894"/>
    </row>
    <row r="82" spans="1:30" s="598" customFormat="1" ht="15.75" customHeight="1">
      <c r="A82" s="199" t="str">
        <f>IF(B82&lt;&gt;"",IF(AND(B82&gt;=_TM1,B82&lt;=_TM2,OR(TH!L82="1111",TH!M82="1111")),TH!D82,""),"")</f>
        <v/>
      </c>
      <c r="B82" s="36">
        <f t="shared" si="3"/>
        <v>1</v>
      </c>
      <c r="C82" s="190">
        <f t="shared" si="4"/>
        <v>0</v>
      </c>
      <c r="D82" s="183"/>
      <c r="E82" s="190"/>
      <c r="F82" s="188"/>
      <c r="G82" s="489"/>
      <c r="H82" s="7"/>
      <c r="I82" s="253"/>
      <c r="J82" s="253"/>
      <c r="K82" s="38"/>
      <c r="L82" s="607"/>
      <c r="M82" s="607"/>
      <c r="N82" s="39" t="str">
        <f>IF(AND('331-CT'!$E$7=TH!H82,OR(L82="331",M82="331")),"331",IF(AND(OR(L82="131",M82="131"),H82='131-CT'!$E$7),"131",""))</f>
        <v/>
      </c>
      <c r="O82" s="39" t="str">
        <f>IF(AND($B82&gt;='111'!$N$11,$B82&lt;='111'!$O$11,OR($L82=$O$7,$M82=$O$7)),"x","")</f>
        <v/>
      </c>
      <c r="P82" s="39" t="str">
        <f>IF(AND($L82=$O$7,$B82&lt;'111'!$N$11),"x","")</f>
        <v/>
      </c>
      <c r="Q82" s="39" t="str">
        <f>IF(AND($M82=$O$7,$B82&lt;'111'!$N$11),"x","")</f>
        <v/>
      </c>
      <c r="R82" s="39" t="str">
        <f>IF(ISERROR(FIND('112'!$M$9,G82,1)),"",IF((AND(FIND('112'!$M$9,G82,1)&gt;=1,$B82&gt;='112'!$N$8,$B82&lt;='112'!$O$8,OR($L82='112'!$I$6,$M82='112'!$I$6))),"x",""))</f>
        <v/>
      </c>
      <c r="S82" s="39" t="str">
        <f>IF(ISERROR(FIND('112'!$M$9,G82,1)),"",IF((AND(LEFT(G82,2)=LEFT('112'!$M$9,2),B82&lt;'112'!$N$8,$L82='112'!$I$6)),"x",""))</f>
        <v/>
      </c>
      <c r="T82" s="39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39" t="str">
        <f>IF(OR(TH!L82=TH!$V$7,M82=TH!$V$7),"x","")</f>
        <v/>
      </c>
      <c r="W82" s="39" t="str">
        <f>IF(AND(B82&gt;='IN-NX'!$P$3,B82&lt;='IN-NX'!$Q$3,'IN-NX'!$D$7=D82,OR(LEFT(L82,2)="15",AND(LEFT(M82,2)&lt;&gt;"15",LEFT(M82,2)&lt;&gt;"33"))),"x","")</f>
        <v/>
      </c>
      <c r="X82" s="39" t="str">
        <f>IF(AND(OR(LEFT(TH!L82,2)="15",LEFT(TH!M82,2)="15"),'152-CT'!$J$8=TH!F82),"x","")</f>
        <v/>
      </c>
      <c r="Y82" s="39" t="str">
        <f>IF(AND(OR(LEFT(TH!L82,2)="15",LEFT(TH!M82,2)="15"),TK!$E$7=TH!F82),"x","")</f>
        <v/>
      </c>
      <c r="Z82" s="39" t="str">
        <f>IF(AND(B82&lt;=NKC!$N$8,B82&gt;=NKC!$M$8),"x","")</f>
        <v/>
      </c>
      <c r="AA82" s="894"/>
      <c r="AB82" s="205"/>
      <c r="AC82" s="205"/>
      <c r="AD82" s="205"/>
    </row>
    <row r="83" spans="1:30" s="598" customFormat="1" ht="15.75" customHeight="1">
      <c r="A83" s="199" t="str">
        <f>IF(B83&lt;&gt;"",IF(AND(B83&gt;=_TM1,B83&lt;=_TM2,OR(TH!L83="1111",TH!M83="1111")),TH!D83,""),"")</f>
        <v/>
      </c>
      <c r="B83" s="36">
        <f t="shared" si="3"/>
        <v>1</v>
      </c>
      <c r="C83" s="190">
        <f t="shared" si="4"/>
        <v>0</v>
      </c>
      <c r="D83" s="183"/>
      <c r="E83" s="190"/>
      <c r="F83" s="188"/>
      <c r="G83" s="489"/>
      <c r="H83" s="7"/>
      <c r="I83" s="253"/>
      <c r="J83" s="253"/>
      <c r="K83" s="38"/>
      <c r="L83" s="607"/>
      <c r="M83" s="607"/>
      <c r="N83" s="39" t="str">
        <f>IF(AND('331-CT'!$E$7=TH!H83,OR(L83="331",M83="331")),"331",IF(AND(OR(L83="131",M83="131"),H83='131-CT'!$E$7),"131",""))</f>
        <v/>
      </c>
      <c r="O83" s="39" t="str">
        <f>IF(AND($B83&gt;='111'!$N$11,$B83&lt;='111'!$O$11,OR($L83=$O$7,$M83=$O$7)),"x","")</f>
        <v/>
      </c>
      <c r="P83" s="39" t="str">
        <f>IF(AND($L83=$O$7,$B83&lt;'111'!$N$11),"x","")</f>
        <v/>
      </c>
      <c r="Q83" s="39" t="str">
        <f>IF(AND($M83=$O$7,$B83&lt;'111'!$N$11),"x","")</f>
        <v/>
      </c>
      <c r="R83" s="39" t="str">
        <f>IF(ISERROR(FIND('112'!$M$9,G83,1)),"",IF((AND(FIND('112'!$M$9,G83,1)&gt;=1,$B83&gt;='112'!$N$8,$B83&lt;='112'!$O$8,OR($L83='112'!$I$6,$M83='112'!$I$6))),"x",""))</f>
        <v/>
      </c>
      <c r="S83" s="39" t="str">
        <f>IF(ISERROR(FIND('112'!$M$9,G83,1)),"",IF((AND(LEFT(G83,2)=LEFT('112'!$M$9,2),B83&lt;'112'!$N$8,$L83='112'!$I$6)),"x",""))</f>
        <v/>
      </c>
      <c r="T83" s="39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39" t="str">
        <f>IF(OR(TH!L83=TH!$V$7,M83=TH!$V$7),"x","")</f>
        <v/>
      </c>
      <c r="W83" s="39" t="str">
        <f>IF(AND(B83&gt;='IN-NX'!$P$3,B83&lt;='IN-NX'!$Q$3,'IN-NX'!$D$7=D83,OR(LEFT(L83,2)="15",AND(LEFT(M83,2)&lt;&gt;"15",LEFT(M83,2)&lt;&gt;"33"))),"x","")</f>
        <v/>
      </c>
      <c r="X83" s="39" t="str">
        <f>IF(AND(OR(LEFT(TH!L83,2)="15",LEFT(TH!M83,2)="15"),'152-CT'!$J$8=TH!F83),"x","")</f>
        <v/>
      </c>
      <c r="Y83" s="39" t="str">
        <f>IF(AND(OR(LEFT(TH!L83,2)="15",LEFT(TH!M83,2)="15"),TK!$E$7=TH!F83),"x","")</f>
        <v/>
      </c>
      <c r="Z83" s="39" t="str">
        <f>IF(AND(B83&lt;=NKC!$N$8,B83&gt;=NKC!$M$8),"x","")</f>
        <v/>
      </c>
      <c r="AA83" s="894"/>
      <c r="AB83" s="205"/>
      <c r="AC83" s="205"/>
      <c r="AD83" s="205"/>
    </row>
    <row r="84" spans="1:30" s="598" customFormat="1" ht="15.75" customHeight="1">
      <c r="A84" s="199" t="str">
        <f>IF(B84&lt;&gt;"",IF(AND(B84&gt;=_TM1,B84&lt;=_TM2,OR(TH!L84="1111",TH!M84="1111")),TH!D84,""),"")</f>
        <v/>
      </c>
      <c r="B84" s="36">
        <f t="shared" si="3"/>
        <v>1</v>
      </c>
      <c r="C84" s="190">
        <f t="shared" si="4"/>
        <v>0</v>
      </c>
      <c r="D84" s="183"/>
      <c r="E84" s="190"/>
      <c r="F84" s="188"/>
      <c r="G84" s="489"/>
      <c r="H84" s="7"/>
      <c r="I84" s="253"/>
      <c r="J84" s="253"/>
      <c r="K84" s="38"/>
      <c r="L84" s="607"/>
      <c r="M84" s="607"/>
      <c r="N84" s="39" t="str">
        <f>IF(AND('331-CT'!$E$7=TH!H84,OR(L84="331",M84="331")),"331",IF(AND(OR(L84="131",M84="131"),H84='131-CT'!$E$7),"131",""))</f>
        <v/>
      </c>
      <c r="O84" s="39" t="str">
        <f>IF(AND($B84&gt;='111'!$N$11,$B84&lt;='111'!$O$11,OR($L84=$O$7,$M84=$O$7)),"x","")</f>
        <v/>
      </c>
      <c r="P84" s="39" t="str">
        <f>IF(AND($L84=$O$7,$B84&lt;'111'!$N$11),"x","")</f>
        <v/>
      </c>
      <c r="Q84" s="39" t="str">
        <f>IF(AND($M84=$O$7,$B84&lt;'111'!$N$11),"x","")</f>
        <v/>
      </c>
      <c r="R84" s="39" t="str">
        <f>IF(ISERROR(FIND('112'!$M$9,G84,1)),"",IF((AND(FIND('112'!$M$9,G84,1)&gt;=1,$B84&gt;='112'!$N$8,$B84&lt;='112'!$O$8,OR($L84='112'!$I$6,$M84='112'!$I$6))),"x",""))</f>
        <v/>
      </c>
      <c r="S84" s="39" t="str">
        <f>IF(ISERROR(FIND('112'!$M$9,G84,1)),"",IF((AND(LEFT(G84,2)=LEFT('112'!$M$9,2),B84&lt;'112'!$N$8,$L84='112'!$I$6)),"x",""))</f>
        <v/>
      </c>
      <c r="T84" s="39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39" t="str">
        <f>IF(OR(TH!L84=TH!$V$7,M84=TH!$V$7),"x","")</f>
        <v/>
      </c>
      <c r="W84" s="39" t="str">
        <f>IF(AND(B84&gt;='IN-NX'!$P$3,B84&lt;='IN-NX'!$Q$3,'IN-NX'!$D$7=D84,OR(LEFT(L84,2)="15",AND(LEFT(M84,2)&lt;&gt;"15",LEFT(M84,2)&lt;&gt;"33"))),"x","")</f>
        <v/>
      </c>
      <c r="X84" s="39" t="str">
        <f>IF(AND(OR(LEFT(TH!L84,2)="15",LEFT(TH!M84,2)="15"),'152-CT'!$J$8=TH!F84),"x","")</f>
        <v/>
      </c>
      <c r="Y84" s="39" t="str">
        <f>IF(AND(OR(LEFT(TH!L84,2)="15",LEFT(TH!M84,2)="15"),TK!$E$7=TH!F84),"x","")</f>
        <v/>
      </c>
      <c r="Z84" s="39" t="str">
        <f>IF(AND(B84&lt;=NKC!$N$8,B84&gt;=NKC!$M$8),"x","")</f>
        <v/>
      </c>
      <c r="AA84" s="894"/>
      <c r="AB84" s="205"/>
      <c r="AC84" s="205"/>
      <c r="AD84" s="205"/>
    </row>
    <row r="85" spans="1:30" s="598" customFormat="1" ht="15.75" customHeight="1">
      <c r="A85" s="199" t="str">
        <f>IF(B85&lt;&gt;"",IF(AND(B85&gt;=_TM1,B85&lt;=_TM2,OR(TH!L85="1111",TH!M85="1111")),TH!D85,""),"")</f>
        <v/>
      </c>
      <c r="B85" s="36">
        <f t="shared" si="3"/>
        <v>1</v>
      </c>
      <c r="C85" s="190">
        <f t="shared" si="4"/>
        <v>0</v>
      </c>
      <c r="D85" s="183"/>
      <c r="E85" s="190"/>
      <c r="F85" s="188"/>
      <c r="G85" s="489"/>
      <c r="H85" s="7"/>
      <c r="I85" s="253"/>
      <c r="J85" s="253"/>
      <c r="K85" s="38"/>
      <c r="L85" s="607"/>
      <c r="M85" s="607"/>
      <c r="N85" s="39" t="str">
        <f>IF(AND('331-CT'!$E$7=TH!H85,OR(L85="331",M85="331")),"331",IF(AND(OR(L85="131",M85="131"),H85='131-CT'!$E$7),"131",""))</f>
        <v/>
      </c>
      <c r="O85" s="39" t="str">
        <f>IF(AND($B85&gt;='111'!$N$11,$B85&lt;='111'!$O$11,OR($L85=$O$7,$M85=$O$7)),"x","")</f>
        <v/>
      </c>
      <c r="P85" s="39" t="str">
        <f>IF(AND($L85=$O$7,$B85&lt;'111'!$N$11),"x","")</f>
        <v/>
      </c>
      <c r="Q85" s="39" t="str">
        <f>IF(AND($M85=$O$7,$B85&lt;'111'!$N$11),"x","")</f>
        <v/>
      </c>
      <c r="R85" s="39" t="str">
        <f>IF(ISERROR(FIND('112'!$M$9,G85,1)),"",IF((AND(FIND('112'!$M$9,G85,1)&gt;=1,$B85&gt;='112'!$N$8,$B85&lt;='112'!$O$8,OR($L85='112'!$I$6,$M85='112'!$I$6))),"x",""))</f>
        <v/>
      </c>
      <c r="S85" s="39" t="str">
        <f>IF(ISERROR(FIND('112'!$M$9,G85,1)),"",IF((AND(LEFT(G85,2)=LEFT('112'!$M$9,2),B85&lt;'112'!$N$8,$L85='112'!$I$6)),"x",""))</f>
        <v/>
      </c>
      <c r="T85" s="39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39" t="str">
        <f>IF(OR(TH!L85=TH!$V$7,M85=TH!$V$7),"x","")</f>
        <v/>
      </c>
      <c r="W85" s="39" t="str">
        <f>IF(AND(B85&gt;='IN-NX'!$P$3,B85&lt;='IN-NX'!$Q$3,'IN-NX'!$D$7=D85,OR(LEFT(L85,2)="15",AND(LEFT(M85,2)&lt;&gt;"15",LEFT(M85,2)&lt;&gt;"33"))),"x","")</f>
        <v/>
      </c>
      <c r="X85" s="39" t="str">
        <f>IF(AND(OR(LEFT(TH!L85,2)="15",LEFT(TH!M85,2)="15"),'152-CT'!$J$8=TH!F85),"x","")</f>
        <v/>
      </c>
      <c r="Y85" s="39" t="str">
        <f>IF(AND(OR(LEFT(TH!L85,2)="15",LEFT(TH!M85,2)="15"),TK!$E$7=TH!F85),"x","")</f>
        <v/>
      </c>
      <c r="Z85" s="39" t="str">
        <f>IF(AND(B85&lt;=NKC!$N$8,B85&gt;=NKC!$M$8),"x","")</f>
        <v/>
      </c>
      <c r="AA85" s="894"/>
      <c r="AB85" s="205"/>
      <c r="AC85" s="205"/>
      <c r="AD85" s="205"/>
    </row>
    <row r="86" spans="1:30" s="598" customFormat="1" ht="15.75" customHeight="1">
      <c r="A86" s="199" t="str">
        <f>IF(B86&lt;&gt;"",IF(AND(B86&gt;=_TM1,B86&lt;=_TM2,OR(TH!L86="1111",TH!M86="1111")),TH!D86,""),"")</f>
        <v/>
      </c>
      <c r="B86" s="36">
        <f t="shared" si="3"/>
        <v>1</v>
      </c>
      <c r="C86" s="190">
        <f t="shared" si="4"/>
        <v>0</v>
      </c>
      <c r="D86" s="183"/>
      <c r="E86" s="190"/>
      <c r="F86" s="188"/>
      <c r="G86" s="489"/>
      <c r="H86" s="7"/>
      <c r="I86" s="253"/>
      <c r="J86" s="253"/>
      <c r="K86" s="38"/>
      <c r="L86" s="607"/>
      <c r="M86" s="607"/>
      <c r="N86" s="39" t="str">
        <f>IF(AND('331-CT'!$E$7=TH!H86,OR(L86="331",M86="331")),"331",IF(AND(OR(L86="131",M86="131"),H86='131-CT'!$E$7),"131",""))</f>
        <v/>
      </c>
      <c r="O86" s="39" t="str">
        <f>IF(AND($B86&gt;='111'!$N$11,$B86&lt;='111'!$O$11,OR($L86=$O$7,$M86=$O$7)),"x","")</f>
        <v/>
      </c>
      <c r="P86" s="39" t="str">
        <f>IF(AND($L86=$O$7,$B86&lt;'111'!$N$11),"x","")</f>
        <v/>
      </c>
      <c r="Q86" s="39" t="str">
        <f>IF(AND($M86=$O$7,$B86&lt;'111'!$N$11),"x","")</f>
        <v/>
      </c>
      <c r="R86" s="39" t="str">
        <f>IF(ISERROR(FIND('112'!$M$9,G86,1)),"",IF((AND(FIND('112'!$M$9,G86,1)&gt;=1,$B86&gt;='112'!$N$8,$B86&lt;='112'!$O$8,OR($L86='112'!$I$6,$M86='112'!$I$6))),"x",""))</f>
        <v/>
      </c>
      <c r="S86" s="39" t="str">
        <f>IF(ISERROR(FIND('112'!$M$9,G86,1)),"",IF((AND(LEFT(G86,2)=LEFT('112'!$M$9,2),B86&lt;'112'!$N$8,$L86='112'!$I$6)),"x",""))</f>
        <v/>
      </c>
      <c r="T86" s="39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39" t="str">
        <f>IF(OR(TH!L86=TH!$V$7,M86=TH!$V$7),"x","")</f>
        <v/>
      </c>
      <c r="W86" s="39" t="str">
        <f>IF(AND(B86&gt;='IN-NX'!$P$3,B86&lt;='IN-NX'!$Q$3,'IN-NX'!$D$7=D86,OR(LEFT(L86,2)="15",AND(LEFT(M86,2)&lt;&gt;"15",LEFT(M86,2)&lt;&gt;"33"))),"x","")</f>
        <v/>
      </c>
      <c r="X86" s="39" t="str">
        <f>IF(AND(OR(LEFT(TH!L86,2)="15",LEFT(TH!M86,2)="15"),'152-CT'!$J$8=TH!F86),"x","")</f>
        <v/>
      </c>
      <c r="Y86" s="39" t="str">
        <f>IF(AND(OR(LEFT(TH!L86,2)="15",LEFT(TH!M86,2)="15"),TK!$E$7=TH!F86),"x","")</f>
        <v/>
      </c>
      <c r="Z86" s="39" t="str">
        <f>IF(AND(B86&lt;=NKC!$N$8,B86&gt;=NKC!$M$8),"x","")</f>
        <v/>
      </c>
      <c r="AA86" s="894"/>
      <c r="AB86" s="205"/>
      <c r="AC86" s="205"/>
      <c r="AD86" s="205"/>
    </row>
    <row r="87" spans="1:30" s="598" customFormat="1" ht="15.75" customHeight="1">
      <c r="A87" s="199" t="str">
        <f>IF(B87&lt;&gt;"",IF(AND(B87&gt;=_TM1,B87&lt;=_TM2,OR(TH!L87="1111",TH!M87="1111")),TH!D87,""),"")</f>
        <v/>
      </c>
      <c r="B87" s="36">
        <f t="shared" si="3"/>
        <v>1</v>
      </c>
      <c r="C87" s="190">
        <f t="shared" si="4"/>
        <v>0</v>
      </c>
      <c r="D87" s="183"/>
      <c r="E87" s="190"/>
      <c r="F87" s="188"/>
      <c r="G87" s="489"/>
      <c r="H87" s="7"/>
      <c r="I87" s="253"/>
      <c r="J87" s="253"/>
      <c r="K87" s="38"/>
      <c r="L87" s="607"/>
      <c r="M87" s="607"/>
      <c r="N87" s="39" t="str">
        <f>IF(AND('331-CT'!$E$7=TH!H87,OR(L87="331",M87="331")),"331",IF(AND(OR(L87="131",M87="131"),H87='131-CT'!$E$7),"131",""))</f>
        <v/>
      </c>
      <c r="O87" s="39" t="str">
        <f>IF(AND($B87&gt;='111'!$N$11,$B87&lt;='111'!$O$11,OR($L87=$O$7,$M87=$O$7)),"x","")</f>
        <v/>
      </c>
      <c r="P87" s="39" t="str">
        <f>IF(AND($L87=$O$7,$B87&lt;'111'!$N$11),"x","")</f>
        <v/>
      </c>
      <c r="Q87" s="39" t="str">
        <f>IF(AND($M87=$O$7,$B87&lt;'111'!$N$11),"x","")</f>
        <v/>
      </c>
      <c r="R87" s="39" t="str">
        <f>IF(ISERROR(FIND('112'!$M$9,G87,1)),"",IF((AND(FIND('112'!$M$9,G87,1)&gt;=1,$B87&gt;='112'!$N$8,$B87&lt;='112'!$O$8,OR($L87='112'!$I$6,$M87='112'!$I$6))),"x",""))</f>
        <v/>
      </c>
      <c r="S87" s="39" t="str">
        <f>IF(ISERROR(FIND('112'!$M$9,G87,1)),"",IF((AND(LEFT(G87,2)=LEFT('112'!$M$9,2),B87&lt;'112'!$N$8,$L87='112'!$I$6)),"x",""))</f>
        <v/>
      </c>
      <c r="T87" s="39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39" t="str">
        <f>IF(OR(TH!L87=TH!$V$7,M87=TH!$V$7),"x","")</f>
        <v/>
      </c>
      <c r="W87" s="39" t="str">
        <f>IF(AND(B87&gt;='IN-NX'!$P$3,B87&lt;='IN-NX'!$Q$3,'IN-NX'!$D$7=D87,OR(LEFT(L87,2)="15",AND(LEFT(M87,2)&lt;&gt;"15",LEFT(M87,2)&lt;&gt;"33"))),"x","")</f>
        <v/>
      </c>
      <c r="X87" s="39" t="str">
        <f>IF(AND(OR(LEFT(TH!L87,2)="15",LEFT(TH!M87,2)="15"),'152-CT'!$J$8=TH!F87),"x","")</f>
        <v/>
      </c>
      <c r="Y87" s="39" t="str">
        <f>IF(AND(OR(LEFT(TH!L87,2)="15",LEFT(TH!M87,2)="15"),TK!$E$7=TH!F87),"x","")</f>
        <v/>
      </c>
      <c r="Z87" s="39" t="str">
        <f>IF(AND(B87&lt;=NKC!$N$8,B87&gt;=NKC!$M$8),"x","")</f>
        <v/>
      </c>
      <c r="AA87" s="894"/>
      <c r="AB87" s="205"/>
      <c r="AC87" s="205"/>
      <c r="AD87" s="205"/>
    </row>
    <row r="88" spans="1:30" s="598" customFormat="1" ht="15.75" customHeight="1">
      <c r="A88" s="199" t="str">
        <f>IF(B88&lt;&gt;"",IF(AND(B88&gt;=_TM1,B88&lt;=_TM2,OR(TH!L88="1111",TH!M88="1111")),TH!D88,""),"")</f>
        <v/>
      </c>
      <c r="B88" s="36">
        <f t="shared" si="3"/>
        <v>1</v>
      </c>
      <c r="C88" s="190">
        <f t="shared" si="4"/>
        <v>0</v>
      </c>
      <c r="D88" s="183"/>
      <c r="E88" s="190"/>
      <c r="F88" s="188"/>
      <c r="G88" s="489"/>
      <c r="H88" s="7"/>
      <c r="I88" s="253"/>
      <c r="J88" s="253"/>
      <c r="K88" s="38"/>
      <c r="L88" s="607"/>
      <c r="M88" s="607"/>
      <c r="N88" s="39" t="str">
        <f>IF(AND('331-CT'!$E$7=TH!H88,OR(L88="331",M88="331")),"331",IF(AND(OR(L88="131",M88="131"),H88='131-CT'!$E$7),"131",""))</f>
        <v/>
      </c>
      <c r="O88" s="39" t="str">
        <f>IF(AND($B88&gt;='111'!$N$11,$B88&lt;='111'!$O$11,OR($L88=$O$7,$M88=$O$7)),"x","")</f>
        <v/>
      </c>
      <c r="P88" s="39" t="str">
        <f>IF(AND($L88=$O$7,$B88&lt;'111'!$N$11),"x","")</f>
        <v/>
      </c>
      <c r="Q88" s="39" t="str">
        <f>IF(AND($M88=$O$7,$B88&lt;'111'!$N$11),"x","")</f>
        <v/>
      </c>
      <c r="R88" s="39" t="str">
        <f>IF(ISERROR(FIND('112'!$M$9,G88,1)),"",IF((AND(FIND('112'!$M$9,G88,1)&gt;=1,$B88&gt;='112'!$N$8,$B88&lt;='112'!$O$8,OR($L88='112'!$I$6,$M88='112'!$I$6))),"x",""))</f>
        <v/>
      </c>
      <c r="S88" s="39" t="str">
        <f>IF(ISERROR(FIND('112'!$M$9,G88,1)),"",IF((AND(LEFT(G88,2)=LEFT('112'!$M$9,2),B88&lt;'112'!$N$8,$L88='112'!$I$6)),"x",""))</f>
        <v/>
      </c>
      <c r="T88" s="39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39" t="str">
        <f>IF(OR(TH!L88=TH!$V$7,M88=TH!$V$7),"x","")</f>
        <v/>
      </c>
      <c r="W88" s="39" t="str">
        <f>IF(AND(B88&gt;='IN-NX'!$P$3,B88&lt;='IN-NX'!$Q$3,'IN-NX'!$D$7=D88,OR(LEFT(L88,2)="15",AND(LEFT(M88,2)&lt;&gt;"15",LEFT(M88,2)&lt;&gt;"33"))),"x","")</f>
        <v/>
      </c>
      <c r="X88" s="39" t="str">
        <f>IF(AND(OR(LEFT(TH!L88,2)="15",LEFT(TH!M88,2)="15"),'152-CT'!$J$8=TH!F88),"x","")</f>
        <v/>
      </c>
      <c r="Y88" s="39" t="str">
        <f>IF(AND(OR(LEFT(TH!L88,2)="15",LEFT(TH!M88,2)="15"),TK!$E$7=TH!F88),"x","")</f>
        <v/>
      </c>
      <c r="Z88" s="39" t="str">
        <f>IF(AND(B88&lt;=NKC!$N$8,B88&gt;=NKC!$M$8),"x","")</f>
        <v/>
      </c>
      <c r="AA88" s="894"/>
      <c r="AB88" s="205"/>
      <c r="AC88" s="205"/>
      <c r="AD88" s="205"/>
    </row>
    <row r="89" spans="1:30" s="598" customFormat="1" ht="15.75" customHeight="1">
      <c r="A89" s="199" t="str">
        <f>IF(B89&lt;&gt;"",IF(AND(B89&gt;=_TM1,B89&lt;=_TM2,OR(TH!L89="1111",TH!M89="1111")),TH!D89,""),"")</f>
        <v/>
      </c>
      <c r="B89" s="36">
        <f t="shared" ref="B89:B152" si="5">IF(C89&lt;&gt;"",MONTH(C89),"")</f>
        <v>1</v>
      </c>
      <c r="C89" s="190">
        <f t="shared" si="4"/>
        <v>0</v>
      </c>
      <c r="D89" s="183"/>
      <c r="E89" s="190"/>
      <c r="F89" s="188"/>
      <c r="G89" s="489"/>
      <c r="H89" s="192"/>
      <c r="I89" s="253"/>
      <c r="J89" s="253"/>
      <c r="K89" s="38"/>
      <c r="L89" s="607"/>
      <c r="M89" s="607"/>
      <c r="N89" s="39" t="str">
        <f>IF(AND('331-CT'!$E$7=TH!H89,OR(L89="331",M89="331")),"331",IF(AND(OR(L89="131",M89="131"),H89='131-CT'!$E$7),"131",""))</f>
        <v/>
      </c>
      <c r="O89" s="39" t="str">
        <f>IF(AND($B89&gt;='111'!$N$11,$B89&lt;='111'!$O$11,OR($L89=$O$7,$M89=$O$7)),"x","")</f>
        <v/>
      </c>
      <c r="P89" s="39" t="str">
        <f>IF(AND($L89=$O$7,$B89&lt;'111'!$N$11),"x","")</f>
        <v/>
      </c>
      <c r="Q89" s="39" t="str">
        <f>IF(AND($M89=$O$7,$B89&lt;'111'!$N$11),"x","")</f>
        <v/>
      </c>
      <c r="R89" s="39" t="str">
        <f>IF(ISERROR(FIND('112'!$M$9,G89,1)),"",IF((AND(FIND('112'!$M$9,G89,1)&gt;=1,$B89&gt;='112'!$N$8,$B89&lt;='112'!$O$8,OR($L89='112'!$I$6,$M89='112'!$I$6))),"x",""))</f>
        <v/>
      </c>
      <c r="S89" s="39" t="str">
        <f>IF(ISERROR(FIND('112'!$M$9,G89,1)),"",IF((AND(LEFT(G89,2)=LEFT('112'!$M$9,2),B89&lt;'112'!$N$8,$L89='112'!$I$6)),"x",""))</f>
        <v/>
      </c>
      <c r="T89" s="39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39" t="str">
        <f>IF(OR(TH!L89=TH!$V$7,M89=TH!$V$7),"x","")</f>
        <v/>
      </c>
      <c r="W89" s="39" t="str">
        <f>IF(AND(B89&gt;='IN-NX'!$P$3,B89&lt;='IN-NX'!$Q$3,'IN-NX'!$D$7=D89,OR(LEFT(L89,2)="15",AND(LEFT(M89,2)&lt;&gt;"15",LEFT(M89,2)&lt;&gt;"33"))),"x","")</f>
        <v/>
      </c>
      <c r="X89" s="39" t="str">
        <f>IF(AND(OR(LEFT(TH!L89,2)="15",LEFT(TH!M89,2)="15"),'152-CT'!$J$8=TH!F89),"x","")</f>
        <v/>
      </c>
      <c r="Y89" s="39" t="str">
        <f>IF(AND(OR(LEFT(TH!L89,2)="15",LEFT(TH!M89,2)="15"),TK!$E$7=TH!F89),"x","")</f>
        <v/>
      </c>
      <c r="Z89" s="39" t="str">
        <f>IF(AND(B89&lt;=NKC!$N$8,B89&gt;=NKC!$M$8),"x","")</f>
        <v/>
      </c>
      <c r="AA89" s="894"/>
      <c r="AB89" s="205"/>
      <c r="AC89" s="205"/>
      <c r="AD89" s="205"/>
    </row>
    <row r="90" spans="1:30" s="598" customFormat="1" ht="15.75" customHeight="1">
      <c r="A90" s="199" t="str">
        <f>IF(B90&lt;&gt;"",IF(AND(B90&gt;=_TM1,B90&lt;=_TM2,OR(TH!L90="1111",TH!M90="1111")),TH!D90,""),"")</f>
        <v/>
      </c>
      <c r="B90" s="36">
        <f t="shared" si="5"/>
        <v>1</v>
      </c>
      <c r="C90" s="190">
        <f t="shared" ref="C90:C153" si="6">E90</f>
        <v>0</v>
      </c>
      <c r="D90" s="183"/>
      <c r="E90" s="190"/>
      <c r="F90" s="188"/>
      <c r="G90" s="489"/>
      <c r="H90" s="7"/>
      <c r="I90" s="253"/>
      <c r="J90" s="253"/>
      <c r="K90" s="38"/>
      <c r="L90" s="607"/>
      <c r="M90" s="607"/>
      <c r="N90" s="39" t="str">
        <f>IF(AND('331-CT'!$E$7=TH!H90,OR(L90="331",M90="331")),"331",IF(AND(OR(L90="131",M90="131"),H90='131-CT'!$E$7),"131",""))</f>
        <v/>
      </c>
      <c r="O90" s="39" t="str">
        <f>IF(AND($B90&gt;='111'!$N$11,$B90&lt;='111'!$O$11,OR($L90=$O$7,$M90=$O$7)),"x","")</f>
        <v/>
      </c>
      <c r="P90" s="39" t="str">
        <f>IF(AND($L90=$O$7,$B90&lt;'111'!$N$11),"x","")</f>
        <v/>
      </c>
      <c r="Q90" s="39" t="str">
        <f>IF(AND($M90=$O$7,$B90&lt;'111'!$N$11),"x","")</f>
        <v/>
      </c>
      <c r="R90" s="39" t="str">
        <f>IF(ISERROR(FIND('112'!$M$9,G90,1)),"",IF((AND(FIND('112'!$M$9,G90,1)&gt;=1,$B90&gt;='112'!$N$8,$B90&lt;='112'!$O$8,OR($L90='112'!$I$6,$M90='112'!$I$6))),"x",""))</f>
        <v/>
      </c>
      <c r="S90" s="39" t="str">
        <f>IF(ISERROR(FIND('112'!$M$9,G90,1)),"",IF((AND(LEFT(G90,2)=LEFT('112'!$M$9,2),B90&lt;'112'!$N$8,$L90='112'!$I$6)),"x",""))</f>
        <v/>
      </c>
      <c r="T90" s="39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39" t="str">
        <f>IF(OR(TH!L90=TH!$V$7,M90=TH!$V$7),"x","")</f>
        <v/>
      </c>
      <c r="W90" s="39" t="str">
        <f>IF(AND(B90&gt;='IN-NX'!$P$3,B90&lt;='IN-NX'!$Q$3,'IN-NX'!$D$7=D90,OR(LEFT(L90,2)="15",AND(LEFT(M90,2)&lt;&gt;"15",LEFT(M90,2)&lt;&gt;"33"))),"x","")</f>
        <v/>
      </c>
      <c r="X90" s="39" t="str">
        <f>IF(AND(OR(LEFT(TH!L90,2)="15",LEFT(TH!M90,2)="15"),'152-CT'!$J$8=TH!F90),"x","")</f>
        <v/>
      </c>
      <c r="Y90" s="39" t="str">
        <f>IF(AND(OR(LEFT(TH!L90,2)="15",LEFT(TH!M90,2)="15"),TK!$E$7=TH!F90),"x","")</f>
        <v/>
      </c>
      <c r="Z90" s="39" t="str">
        <f>IF(AND(B90&lt;=NKC!$N$8,B90&gt;=NKC!$M$8),"x","")</f>
        <v/>
      </c>
      <c r="AA90" s="894"/>
      <c r="AB90" s="205"/>
      <c r="AC90" s="205"/>
      <c r="AD90" s="205"/>
    </row>
    <row r="91" spans="1:30" s="598" customFormat="1" ht="15.75" customHeight="1">
      <c r="A91" s="199" t="str">
        <f>IF(B91&lt;&gt;"",IF(AND(B91&gt;=_TM1,B91&lt;=_TM2,OR(TH!L91="1111",TH!M91="1111")),TH!D91,""),"")</f>
        <v/>
      </c>
      <c r="B91" s="36">
        <f t="shared" si="5"/>
        <v>1</v>
      </c>
      <c r="C91" s="190">
        <f t="shared" si="6"/>
        <v>0</v>
      </c>
      <c r="D91" s="183"/>
      <c r="E91" s="190"/>
      <c r="F91" s="188"/>
      <c r="G91" s="489"/>
      <c r="H91" s="192"/>
      <c r="I91" s="253"/>
      <c r="J91" s="253"/>
      <c r="K91" s="38"/>
      <c r="L91" s="607"/>
      <c r="M91" s="607"/>
      <c r="N91" s="39" t="str">
        <f>IF(AND('331-CT'!$E$7=TH!H91,OR(L91="331",M91="331")),"331",IF(AND(OR(L91="131",M91="131"),H91='131-CT'!$E$7),"131",""))</f>
        <v/>
      </c>
      <c r="O91" s="39" t="str">
        <f>IF(AND($B91&gt;='111'!$N$11,$B91&lt;='111'!$O$11,OR($L91=$O$7,$M91=$O$7)),"x","")</f>
        <v/>
      </c>
      <c r="P91" s="39" t="str">
        <f>IF(AND($L91=$O$7,$B91&lt;'111'!$N$11),"x","")</f>
        <v/>
      </c>
      <c r="Q91" s="39" t="str">
        <f>IF(AND($M91=$O$7,$B91&lt;'111'!$N$11),"x","")</f>
        <v/>
      </c>
      <c r="R91" s="39" t="str">
        <f>IF(ISERROR(FIND('112'!$M$9,G91,1)),"",IF((AND(FIND('112'!$M$9,G91,1)&gt;=1,$B91&gt;='112'!$N$8,$B91&lt;='112'!$O$8,OR($L91='112'!$I$6,$M91='112'!$I$6))),"x",""))</f>
        <v/>
      </c>
      <c r="S91" s="39" t="str">
        <f>IF(ISERROR(FIND('112'!$M$9,G91,1)),"",IF((AND(LEFT(G91,2)=LEFT('112'!$M$9,2),B91&lt;'112'!$N$8,$L91='112'!$I$6)),"x",""))</f>
        <v/>
      </c>
      <c r="T91" s="39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39" t="str">
        <f>IF(OR(TH!L91=TH!$V$7,M91=TH!$V$7),"x","")</f>
        <v/>
      </c>
      <c r="W91" s="39" t="str">
        <f>IF(AND(B91&gt;='IN-NX'!$P$3,B91&lt;='IN-NX'!$Q$3,'IN-NX'!$D$7=D91,OR(LEFT(L91,2)="15",AND(LEFT(M91,2)&lt;&gt;"15",LEFT(M91,2)&lt;&gt;"33"))),"x","")</f>
        <v/>
      </c>
      <c r="X91" s="39" t="str">
        <f>IF(AND(OR(LEFT(TH!L91,2)="15",LEFT(TH!M91,2)="15"),'152-CT'!$J$8=TH!F91),"x","")</f>
        <v/>
      </c>
      <c r="Y91" s="39" t="str">
        <f>IF(AND(OR(LEFT(TH!L91,2)="15",LEFT(TH!M91,2)="15"),TK!$E$7=TH!F91),"x","")</f>
        <v/>
      </c>
      <c r="Z91" s="39" t="str">
        <f>IF(AND(B91&lt;=NKC!$N$8,B91&gt;=NKC!$M$8),"x","")</f>
        <v/>
      </c>
      <c r="AA91" s="894"/>
      <c r="AB91" s="205"/>
      <c r="AC91" s="205"/>
      <c r="AD91" s="205"/>
    </row>
    <row r="92" spans="1:30" ht="15.75" customHeight="1">
      <c r="A92" s="199" t="str">
        <f>IF(B92&lt;&gt;"",IF(AND(B92&gt;=_TM1,B92&lt;=_TM2,OR(TH!L92="1111",TH!M92="1111")),TH!D92,""),"")</f>
        <v/>
      </c>
      <c r="B92" s="36">
        <f t="shared" si="5"/>
        <v>1</v>
      </c>
      <c r="C92" s="190">
        <f t="shared" si="6"/>
        <v>0</v>
      </c>
      <c r="D92" s="190"/>
      <c r="E92" s="190"/>
      <c r="F92" s="188"/>
      <c r="G92" s="489"/>
      <c r="H92" s="204"/>
      <c r="I92" s="253"/>
      <c r="J92" s="253"/>
      <c r="K92" s="38"/>
      <c r="L92" s="607"/>
      <c r="M92" s="607"/>
      <c r="N92" s="39" t="str">
        <f>IF(AND('331-CT'!$E$7=TH!H92,OR(L92="331",M92="331")),"331",IF(AND(OR(L92="131",M92="131"),H92='131-CT'!$E$7),"131",""))</f>
        <v/>
      </c>
      <c r="O92" s="39" t="str">
        <f>IF(AND($B92&gt;='111'!$N$11,$B92&lt;='111'!$O$11,OR($L92=$O$7,$M92=$O$7)),"x","")</f>
        <v/>
      </c>
      <c r="P92" s="39" t="str">
        <f>IF(AND($L92=$O$7,$B92&lt;'111'!$N$11),"x","")</f>
        <v/>
      </c>
      <c r="Q92" s="39" t="str">
        <f>IF(AND($M92=$O$7,$B92&lt;'111'!$N$11),"x","")</f>
        <v/>
      </c>
      <c r="R92" s="39" t="str">
        <f>IF(ISERROR(FIND('112'!$M$9,G92,1)),"",IF((AND(FIND('112'!$M$9,G92,1)&gt;=1,$B92&gt;='112'!$N$8,$B92&lt;='112'!$O$8,OR($L92='112'!$I$6,$M92='112'!$I$6))),"x",""))</f>
        <v/>
      </c>
      <c r="S92" s="39" t="str">
        <f>IF(ISERROR(FIND('112'!$M$9,G92,1)),"",IF((AND(LEFT(G92,2)=LEFT('112'!$M$9,2),B92&lt;'112'!$N$8,$L92='112'!$I$6)),"x",""))</f>
        <v/>
      </c>
      <c r="T92" s="39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39" t="str">
        <f>IF(OR(TH!L92=TH!$V$7,M92=TH!$V$7),"x","")</f>
        <v/>
      </c>
      <c r="W92" s="39" t="str">
        <f>IF(AND(B92&gt;='IN-NX'!$P$3,B92&lt;='IN-NX'!$Q$3,'IN-NX'!$D$7=D92,OR(LEFT(L92,2)="15",AND(LEFT(M92,2)&lt;&gt;"15",LEFT(M92,2)&lt;&gt;"33"))),"x","")</f>
        <v/>
      </c>
      <c r="X92" s="39" t="str">
        <f>IF(AND(OR(LEFT(TH!L92,2)="15",LEFT(TH!M92,2)="15"),'152-CT'!$J$8=TH!F92),"x","")</f>
        <v/>
      </c>
      <c r="Y92" s="39" t="str">
        <f>IF(AND(OR(LEFT(TH!L92,2)="15",LEFT(TH!M92,2)="15"),TK!$E$7=TH!F92),"x","")</f>
        <v/>
      </c>
      <c r="Z92" s="39" t="str">
        <f>IF(AND(B92&lt;=NKC!$N$8,B92&gt;=NKC!$M$8),"x","")</f>
        <v/>
      </c>
      <c r="AA92" s="894"/>
    </row>
    <row r="93" spans="1:30" ht="15.75" customHeight="1">
      <c r="A93" s="199" t="str">
        <f>IF(B93&lt;&gt;"",IF(AND(B93&gt;=_TM1,B93&lt;=_TM2,OR(TH!L93="1111",TH!M93="1111")),TH!D93,""),"")</f>
        <v/>
      </c>
      <c r="B93" s="36">
        <f t="shared" si="5"/>
        <v>1</v>
      </c>
      <c r="C93" s="190">
        <f t="shared" si="6"/>
        <v>0</v>
      </c>
      <c r="D93" s="190"/>
      <c r="E93" s="190"/>
      <c r="F93" s="191"/>
      <c r="G93" s="489"/>
      <c r="H93" s="7"/>
      <c r="I93" s="253"/>
      <c r="J93" s="253"/>
      <c r="K93" s="38"/>
      <c r="L93" s="193"/>
      <c r="M93" s="607"/>
      <c r="N93" s="39" t="str">
        <f>IF(AND('331-CT'!$E$7=TH!H93,OR(L93="331",M93="331")),"331",IF(AND(OR(L93="131",M93="131"),H93='131-CT'!$E$7),"131",""))</f>
        <v/>
      </c>
      <c r="O93" s="39" t="str">
        <f>IF(AND($B93&gt;='111'!$N$11,$B93&lt;='111'!$O$11,OR($L93=$O$7,$M93=$O$7)),"x","")</f>
        <v/>
      </c>
      <c r="P93" s="39" t="str">
        <f>IF(AND($L93=$O$7,$B93&lt;'111'!$N$11),"x","")</f>
        <v/>
      </c>
      <c r="Q93" s="39" t="str">
        <f>IF(AND($M93=$O$7,$B93&lt;'111'!$N$11),"x","")</f>
        <v/>
      </c>
      <c r="R93" s="39" t="str">
        <f>IF(ISERROR(FIND('112'!$M$9,G93,1)),"",IF((AND(FIND('112'!$M$9,G93,1)&gt;=1,$B93&gt;='112'!$N$8,$B93&lt;='112'!$O$8,OR($L93='112'!$I$6,$M93='112'!$I$6))),"x",""))</f>
        <v/>
      </c>
      <c r="S93" s="39" t="str">
        <f>IF(ISERROR(FIND('112'!$M$9,G93,1)),"",IF((AND(LEFT(G93,2)=LEFT('112'!$M$9,2),B93&lt;'112'!$N$8,$L93='112'!$I$6)),"x",""))</f>
        <v/>
      </c>
      <c r="T93" s="39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39" t="str">
        <f>IF(OR(TH!L93=TH!$V$7,M93=TH!$V$7),"x","")</f>
        <v/>
      </c>
      <c r="W93" s="39" t="str">
        <f>IF(AND(B93&gt;='IN-NX'!$P$3,B93&lt;='IN-NX'!$Q$3,'IN-NX'!$D$7=D93,OR(LEFT(L93,2)="15",AND(LEFT(M93,2)&lt;&gt;"15",LEFT(M93,2)&lt;&gt;"33"))),"x","")</f>
        <v/>
      </c>
      <c r="X93" s="39" t="str">
        <f>IF(AND(OR(LEFT(TH!L93,2)="15",LEFT(TH!M93,2)="15"),'152-CT'!$J$8=TH!F93),"x","")</f>
        <v/>
      </c>
      <c r="Y93" s="39" t="str">
        <f>IF(AND(OR(LEFT(TH!L93,2)="15",LEFT(TH!M93,2)="15"),TK!$E$7=TH!F93),"x","")</f>
        <v/>
      </c>
      <c r="Z93" s="39" t="str">
        <f>IF(AND(B93&lt;=NKC!$N$8,B93&gt;=NKC!$M$8),"x","")</f>
        <v/>
      </c>
      <c r="AA93" s="894"/>
    </row>
    <row r="94" spans="1:30" ht="15.75" customHeight="1">
      <c r="A94" s="199" t="str">
        <f>IF(B94&lt;&gt;"",IF(AND(B94&gt;=_TM1,B94&lt;=_TM2,OR(TH!L94="1111",TH!M94="1111")),TH!D94,""),"")</f>
        <v/>
      </c>
      <c r="B94" s="36">
        <f t="shared" si="5"/>
        <v>1</v>
      </c>
      <c r="C94" s="190">
        <f t="shared" si="6"/>
        <v>0</v>
      </c>
      <c r="D94" s="190"/>
      <c r="E94" s="190"/>
      <c r="F94" s="191"/>
      <c r="G94" s="489"/>
      <c r="H94" s="192"/>
      <c r="I94" s="253"/>
      <c r="J94" s="253"/>
      <c r="K94" s="38"/>
      <c r="L94" s="193"/>
      <c r="M94" s="607"/>
      <c r="N94" s="39" t="str">
        <f>IF(AND('331-CT'!$E$7=TH!H94,OR(L94="331",M94="331")),"331",IF(AND(OR(L94="131",M94="131"),H94='131-CT'!$E$7),"131",""))</f>
        <v/>
      </c>
      <c r="O94" s="39" t="str">
        <f>IF(AND($B94&gt;='111'!$N$11,$B94&lt;='111'!$O$11,OR($L94=$O$7,$M94=$O$7)),"x","")</f>
        <v/>
      </c>
      <c r="P94" s="39" t="str">
        <f>IF(AND($L94=$O$7,$B94&lt;'111'!$N$11),"x","")</f>
        <v/>
      </c>
      <c r="Q94" s="39" t="str">
        <f>IF(AND($M94=$O$7,$B94&lt;'111'!$N$11),"x","")</f>
        <v/>
      </c>
      <c r="R94" s="39" t="str">
        <f>IF(ISERROR(FIND('112'!$M$9,G94,1)),"",IF((AND(FIND('112'!$M$9,G94,1)&gt;=1,$B94&gt;='112'!$N$8,$B94&lt;='112'!$O$8,OR($L94='112'!$I$6,$M94='112'!$I$6))),"x",""))</f>
        <v/>
      </c>
      <c r="S94" s="39" t="str">
        <f>IF(ISERROR(FIND('112'!$M$9,G94,1)),"",IF((AND(LEFT(G94,2)=LEFT('112'!$M$9,2),B94&lt;'112'!$N$8,$L94='112'!$I$6)),"x",""))</f>
        <v/>
      </c>
      <c r="T94" s="39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39" t="str">
        <f>IF(OR(TH!L94=TH!$V$7,M94=TH!$V$7),"x","")</f>
        <v/>
      </c>
      <c r="W94" s="39" t="str">
        <f>IF(AND(B94&gt;='IN-NX'!$P$3,B94&lt;='IN-NX'!$Q$3,'IN-NX'!$D$7=D94,OR(LEFT(L94,2)="15",AND(LEFT(M94,2)&lt;&gt;"15",LEFT(M94,2)&lt;&gt;"33"))),"x","")</f>
        <v/>
      </c>
      <c r="X94" s="39" t="str">
        <f>IF(AND(OR(LEFT(TH!L94,2)="15",LEFT(TH!M94,2)="15"),'152-CT'!$J$8=TH!F94),"x","")</f>
        <v/>
      </c>
      <c r="Y94" s="39" t="str">
        <f>IF(AND(OR(LEFT(TH!L94,2)="15",LEFT(TH!M94,2)="15"),TK!$E$7=TH!F94),"x","")</f>
        <v/>
      </c>
      <c r="Z94" s="39" t="str">
        <f>IF(AND(B94&lt;=NKC!$N$8,B94&gt;=NKC!$M$8),"x","")</f>
        <v/>
      </c>
      <c r="AA94" s="894"/>
    </row>
    <row r="95" spans="1:30" ht="15.75" customHeight="1">
      <c r="A95" s="199" t="str">
        <f>IF(B95&lt;&gt;"",IF(AND(B95&gt;=_TM1,B95&lt;=_TM2,OR(TH!L95="1111",TH!M95="1111")),TH!D95,""),"")</f>
        <v/>
      </c>
      <c r="B95" s="36">
        <f t="shared" si="5"/>
        <v>1</v>
      </c>
      <c r="C95" s="190">
        <f t="shared" si="6"/>
        <v>0</v>
      </c>
      <c r="D95" s="190"/>
      <c r="E95" s="190"/>
      <c r="F95" s="188"/>
      <c r="G95" s="489"/>
      <c r="H95" s="192"/>
      <c r="I95" s="253"/>
      <c r="J95" s="253"/>
      <c r="K95" s="38"/>
      <c r="L95" s="193"/>
      <c r="M95" s="607"/>
      <c r="N95" s="39" t="str">
        <f>IF(AND('331-CT'!$E$7=TH!H95,OR(L95="331",M95="331")),"331",IF(AND(OR(L95="131",M95="131"),H95='131-CT'!$E$7),"131",""))</f>
        <v/>
      </c>
      <c r="O95" s="39" t="str">
        <f>IF(AND($B95&gt;='111'!$N$11,$B95&lt;='111'!$O$11,OR($L95=$O$7,$M95=$O$7)),"x","")</f>
        <v/>
      </c>
      <c r="P95" s="39" t="str">
        <f>IF(AND($L95=$O$7,$B95&lt;'111'!$N$11),"x","")</f>
        <v/>
      </c>
      <c r="Q95" s="39" t="str">
        <f>IF(AND($M95=$O$7,$B95&lt;'111'!$N$11),"x","")</f>
        <v/>
      </c>
      <c r="R95" s="39" t="str">
        <f>IF(ISERROR(FIND('112'!$M$9,G95,1)),"",IF((AND(FIND('112'!$M$9,G95,1)&gt;=1,$B95&gt;='112'!$N$8,$B95&lt;='112'!$O$8,OR($L95='112'!$I$6,$M95='112'!$I$6))),"x",""))</f>
        <v/>
      </c>
      <c r="S95" s="39" t="str">
        <f>IF(ISERROR(FIND('112'!$M$9,G95,1)),"",IF((AND(LEFT(G95,2)=LEFT('112'!$M$9,2),B95&lt;'112'!$N$8,$L95='112'!$I$6)),"x",""))</f>
        <v/>
      </c>
      <c r="T95" s="39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39" t="str">
        <f>IF(OR(TH!L95=TH!$V$7,M95=TH!$V$7),"x","")</f>
        <v/>
      </c>
      <c r="W95" s="39" t="str">
        <f>IF(AND(B95&gt;='IN-NX'!$P$3,B95&lt;='IN-NX'!$Q$3,'IN-NX'!$D$7=D95,OR(LEFT(L95,2)="15",AND(LEFT(M95,2)&lt;&gt;"15",LEFT(M95,2)&lt;&gt;"33"))),"x","")</f>
        <v/>
      </c>
      <c r="X95" s="39" t="str">
        <f>IF(AND(OR(LEFT(TH!L95,2)="15",LEFT(TH!M95,2)="15"),'152-CT'!$J$8=TH!F95),"x","")</f>
        <v/>
      </c>
      <c r="Y95" s="39" t="str">
        <f>IF(AND(OR(LEFT(TH!L95,2)="15",LEFT(TH!M95,2)="15"),TK!$E$7=TH!F95),"x","")</f>
        <v/>
      </c>
      <c r="Z95" s="39" t="str">
        <f>IF(AND(B95&lt;=NKC!$N$8,B95&gt;=NKC!$M$8),"x","")</f>
        <v/>
      </c>
      <c r="AA95" s="894"/>
      <c r="AB95" s="598"/>
      <c r="AC95" s="598"/>
      <c r="AD95" s="598"/>
    </row>
    <row r="96" spans="1:30" ht="15.75" customHeight="1">
      <c r="A96" s="199" t="str">
        <f>IF(B96&lt;&gt;"",IF(AND(B96&gt;=_TM1,B96&lt;=_TM2,OR(TH!L96="1111",TH!M96="1111")),TH!D96,""),"")</f>
        <v/>
      </c>
      <c r="B96" s="36">
        <f t="shared" si="5"/>
        <v>1</v>
      </c>
      <c r="C96" s="190">
        <f t="shared" si="6"/>
        <v>0</v>
      </c>
      <c r="D96" s="190"/>
      <c r="E96" s="190"/>
      <c r="F96" s="188"/>
      <c r="G96" s="489"/>
      <c r="H96" s="192"/>
      <c r="I96" s="253"/>
      <c r="J96" s="253"/>
      <c r="K96" s="38"/>
      <c r="L96" s="193"/>
      <c r="M96" s="607"/>
      <c r="N96" s="39" t="str">
        <f>IF(AND('331-CT'!$E$7=TH!H96,OR(L96="331",M96="331")),"331",IF(AND(OR(L96="131",M96="131"),H96='131-CT'!$E$7),"131",""))</f>
        <v/>
      </c>
      <c r="O96" s="39" t="str">
        <f>IF(AND($B96&gt;='111'!$N$11,$B96&lt;='111'!$O$11,OR($L96=$O$7,$M96=$O$7)),"x","")</f>
        <v/>
      </c>
      <c r="P96" s="39" t="str">
        <f>IF(AND($L96=$O$7,$B96&lt;'111'!$N$11),"x","")</f>
        <v/>
      </c>
      <c r="Q96" s="39" t="str">
        <f>IF(AND($M96=$O$7,$B96&lt;'111'!$N$11),"x","")</f>
        <v/>
      </c>
      <c r="R96" s="39" t="str">
        <f>IF(ISERROR(FIND('112'!$M$9,G96,1)),"",IF((AND(FIND('112'!$M$9,G96,1)&gt;=1,$B96&gt;='112'!$N$8,$B96&lt;='112'!$O$8,OR($L96='112'!$I$6,$M96='112'!$I$6))),"x",""))</f>
        <v/>
      </c>
      <c r="S96" s="39" t="str">
        <f>IF(ISERROR(FIND('112'!$M$9,G96,1)),"",IF((AND(LEFT(G96,2)=LEFT('112'!$M$9,2),B96&lt;'112'!$N$8,$L96='112'!$I$6)),"x",""))</f>
        <v/>
      </c>
      <c r="T96" s="39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39" t="str">
        <f>IF(OR(TH!L96=TH!$V$7,M96=TH!$V$7),"x","")</f>
        <v/>
      </c>
      <c r="W96" s="39" t="str">
        <f>IF(AND(B96&gt;='IN-NX'!$P$3,B96&lt;='IN-NX'!$Q$3,'IN-NX'!$D$7=D96,OR(LEFT(L96,2)="15",AND(LEFT(M96,2)&lt;&gt;"15",LEFT(M96,2)&lt;&gt;"33"))),"x","")</f>
        <v/>
      </c>
      <c r="X96" s="39" t="str">
        <f>IF(AND(OR(LEFT(TH!L96,2)="15",LEFT(TH!M96,2)="15"),'152-CT'!$J$8=TH!F96),"x","")</f>
        <v/>
      </c>
      <c r="Y96" s="39" t="str">
        <f>IF(AND(OR(LEFT(TH!L96,2)="15",LEFT(TH!M96,2)="15"),TK!$E$7=TH!F96),"x","")</f>
        <v/>
      </c>
      <c r="Z96" s="39" t="str">
        <f>IF(AND(B96&lt;=NKC!$N$8,B96&gt;=NKC!$M$8),"x","")</f>
        <v/>
      </c>
      <c r="AA96" s="894"/>
      <c r="AB96" s="598"/>
      <c r="AC96" s="598"/>
      <c r="AD96" s="598"/>
    </row>
    <row r="97" spans="1:30" s="598" customFormat="1" ht="15.75" customHeight="1">
      <c r="A97" s="199" t="str">
        <f>IF(B97&lt;&gt;"",IF(AND(B97&gt;=_TM1,B97&lt;=_TM2,OR(TH!L97="1111",TH!M97="1111")),TH!D97,""),"")</f>
        <v/>
      </c>
      <c r="B97" s="36">
        <f t="shared" si="5"/>
        <v>1</v>
      </c>
      <c r="C97" s="190">
        <f t="shared" si="6"/>
        <v>0</v>
      </c>
      <c r="D97" s="190"/>
      <c r="E97" s="190"/>
      <c r="F97" s="191"/>
      <c r="G97" s="489"/>
      <c r="H97" s="7"/>
      <c r="I97" s="253"/>
      <c r="J97" s="253"/>
      <c r="K97" s="38"/>
      <c r="L97" s="193"/>
      <c r="M97" s="607"/>
      <c r="N97" s="39" t="str">
        <f>IF(AND('331-CT'!$E$7=TH!H97,OR(L97="331",M97="331")),"331",IF(AND(OR(L97="131",M97="131"),H97='131-CT'!$E$7),"131",""))</f>
        <v/>
      </c>
      <c r="O97" s="39" t="str">
        <f>IF(AND($B97&gt;='111'!$N$11,$B97&lt;='111'!$O$11,OR($L97=$O$7,$M97=$O$7)),"x","")</f>
        <v/>
      </c>
      <c r="P97" s="39" t="str">
        <f>IF(AND($L97=$O$7,$B97&lt;'111'!$N$11),"x","")</f>
        <v/>
      </c>
      <c r="Q97" s="39" t="str">
        <f>IF(AND($M97=$O$7,$B97&lt;'111'!$N$11),"x","")</f>
        <v/>
      </c>
      <c r="R97" s="39" t="str">
        <f>IF(ISERROR(FIND('112'!$M$9,G97,1)),"",IF((AND(FIND('112'!$M$9,G97,1)&gt;=1,$B97&gt;='112'!$N$8,$B97&lt;='112'!$O$8,OR($L97='112'!$I$6,$M97='112'!$I$6))),"x",""))</f>
        <v/>
      </c>
      <c r="S97" s="39" t="str">
        <f>IF(ISERROR(FIND('112'!$M$9,G97,1)),"",IF((AND(LEFT(G97,2)=LEFT('112'!$M$9,2),B97&lt;'112'!$N$8,$L97='112'!$I$6)),"x",""))</f>
        <v/>
      </c>
      <c r="T97" s="39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39" t="str">
        <f>IF(OR(TH!L97=TH!$V$7,M97=TH!$V$7),"x","")</f>
        <v/>
      </c>
      <c r="W97" s="39" t="str">
        <f>IF(AND(B97&gt;='IN-NX'!$P$3,B97&lt;='IN-NX'!$Q$3,'IN-NX'!$D$7=D97,OR(LEFT(L97,2)="15",AND(LEFT(M97,2)&lt;&gt;"15",LEFT(M97,2)&lt;&gt;"33"))),"x","")</f>
        <v/>
      </c>
      <c r="X97" s="39" t="str">
        <f>IF(AND(OR(LEFT(TH!L97,2)="15",LEFT(TH!M97,2)="15"),'152-CT'!$J$8=TH!F97),"x","")</f>
        <v/>
      </c>
      <c r="Y97" s="39" t="str">
        <f>IF(AND(OR(LEFT(TH!L97,2)="15",LEFT(TH!M97,2)="15"),TK!$E$7=TH!F97),"x","")</f>
        <v/>
      </c>
      <c r="Z97" s="39" t="str">
        <f>IF(AND(B97&lt;=NKC!$N$8,B97&gt;=NKC!$M$8),"x","")</f>
        <v/>
      </c>
      <c r="AA97" s="894"/>
    </row>
    <row r="98" spans="1:30" s="598" customFormat="1" ht="15.75" customHeight="1">
      <c r="A98" s="199" t="str">
        <f>IF(B98&lt;&gt;"",IF(AND(B98&gt;=_TM1,B98&lt;=_TM2,OR(TH!L98="1111",TH!M98="1111")),TH!D98,""),"")</f>
        <v/>
      </c>
      <c r="B98" s="36">
        <f t="shared" si="5"/>
        <v>1</v>
      </c>
      <c r="C98" s="190">
        <f t="shared" si="6"/>
        <v>0</v>
      </c>
      <c r="D98" s="190"/>
      <c r="E98" s="190"/>
      <c r="F98" s="188"/>
      <c r="G98" s="489"/>
      <c r="H98" s="192"/>
      <c r="I98" s="253"/>
      <c r="J98" s="253"/>
      <c r="K98" s="38"/>
      <c r="L98" s="193"/>
      <c r="M98" s="607"/>
      <c r="N98" s="39" t="str">
        <f>IF(AND('331-CT'!$E$7=TH!H98,OR(L98="331",M98="331")),"331",IF(AND(OR(L98="131",M98="131"),H98='131-CT'!$E$7),"131",""))</f>
        <v/>
      </c>
      <c r="O98" s="39" t="str">
        <f>IF(AND($B98&gt;='111'!$N$11,$B98&lt;='111'!$O$11,OR($L98=$O$7,$M98=$O$7)),"x","")</f>
        <v/>
      </c>
      <c r="P98" s="39" t="str">
        <f>IF(AND($L98=$O$7,$B98&lt;'111'!$N$11),"x","")</f>
        <v/>
      </c>
      <c r="Q98" s="39" t="str">
        <f>IF(AND($M98=$O$7,$B98&lt;'111'!$N$11),"x","")</f>
        <v/>
      </c>
      <c r="R98" s="39" t="str">
        <f>IF(ISERROR(FIND('112'!$M$9,G98,1)),"",IF((AND(FIND('112'!$M$9,G98,1)&gt;=1,$B98&gt;='112'!$N$8,$B98&lt;='112'!$O$8,OR($L98='112'!$I$6,$M98='112'!$I$6))),"x",""))</f>
        <v/>
      </c>
      <c r="S98" s="39" t="str">
        <f>IF(ISERROR(FIND('112'!$M$9,G98,1)),"",IF((AND(LEFT(G98,2)=LEFT('112'!$M$9,2),B98&lt;'112'!$N$8,$L98='112'!$I$6)),"x",""))</f>
        <v/>
      </c>
      <c r="T98" s="39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39" t="str">
        <f>IF(OR(TH!L98=TH!$V$7,M98=TH!$V$7),"x","")</f>
        <v/>
      </c>
      <c r="W98" s="39" t="str">
        <f>IF(AND(B98&gt;='IN-NX'!$P$3,B98&lt;='IN-NX'!$Q$3,'IN-NX'!$D$7=D98,OR(LEFT(L98,2)="15",AND(LEFT(M98,2)&lt;&gt;"15",LEFT(M98,2)&lt;&gt;"33"))),"x","")</f>
        <v/>
      </c>
      <c r="X98" s="39" t="str">
        <f>IF(AND(OR(LEFT(TH!L98,2)="15",LEFT(TH!M98,2)="15"),'152-CT'!$J$8=TH!F98),"x","")</f>
        <v/>
      </c>
      <c r="Y98" s="39" t="str">
        <f>IF(AND(OR(LEFT(TH!L98,2)="15",LEFT(TH!M98,2)="15"),TK!$E$7=TH!F98),"x","")</f>
        <v/>
      </c>
      <c r="Z98" s="39" t="str">
        <f>IF(AND(B98&lt;=NKC!$N$8,B98&gt;=NKC!$M$8),"x","")</f>
        <v/>
      </c>
      <c r="AA98" s="894"/>
      <c r="AB98" s="205"/>
      <c r="AC98" s="205"/>
      <c r="AD98" s="205"/>
    </row>
    <row r="99" spans="1:30" s="598" customFormat="1" ht="15.75" customHeight="1">
      <c r="A99" s="199" t="str">
        <f>IF(B99&lt;&gt;"",IF(AND(B99&gt;=_TM1,B99&lt;=_TM2,OR(TH!L99="1111",TH!M99="1111")),TH!D99,""),"")</f>
        <v/>
      </c>
      <c r="B99" s="36">
        <f t="shared" si="5"/>
        <v>1</v>
      </c>
      <c r="C99" s="190">
        <f t="shared" si="6"/>
        <v>0</v>
      </c>
      <c r="D99" s="190"/>
      <c r="E99" s="190"/>
      <c r="F99" s="188"/>
      <c r="G99" s="489"/>
      <c r="H99" s="192"/>
      <c r="I99" s="253"/>
      <c r="J99" s="253"/>
      <c r="K99" s="38"/>
      <c r="L99" s="193"/>
      <c r="M99" s="607"/>
      <c r="N99" s="39" t="str">
        <f>IF(AND('331-CT'!$E$7=TH!H99,OR(L99="331",M99="331")),"331",IF(AND(OR(L99="131",M99="131"),H99='131-CT'!$E$7),"131",""))</f>
        <v/>
      </c>
      <c r="O99" s="39" t="str">
        <f>IF(AND($B99&gt;='111'!$N$11,$B99&lt;='111'!$O$11,OR($L99=$O$7,$M99=$O$7)),"x","")</f>
        <v/>
      </c>
      <c r="P99" s="39" t="str">
        <f>IF(AND($L99=$O$7,$B99&lt;'111'!$N$11),"x","")</f>
        <v/>
      </c>
      <c r="Q99" s="39" t="str">
        <f>IF(AND($M99=$O$7,$B99&lt;'111'!$N$11),"x","")</f>
        <v/>
      </c>
      <c r="R99" s="39" t="str">
        <f>IF(ISERROR(FIND('112'!$M$9,G99,1)),"",IF((AND(FIND('112'!$M$9,G99,1)&gt;=1,$B99&gt;='112'!$N$8,$B99&lt;='112'!$O$8,OR($L99='112'!$I$6,$M99='112'!$I$6))),"x",""))</f>
        <v/>
      </c>
      <c r="S99" s="39" t="str">
        <f>IF(ISERROR(FIND('112'!$M$9,G99,1)),"",IF((AND(LEFT(G99,2)=LEFT('112'!$M$9,2),B99&lt;'112'!$N$8,$L99='112'!$I$6)),"x",""))</f>
        <v/>
      </c>
      <c r="T99" s="39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39" t="str">
        <f>IF(OR(TH!L99=TH!$V$7,M99=TH!$V$7),"x","")</f>
        <v/>
      </c>
      <c r="W99" s="39" t="str">
        <f>IF(AND(B99&gt;='IN-NX'!$P$3,B99&lt;='IN-NX'!$Q$3,'IN-NX'!$D$7=D99,OR(LEFT(L99,2)="15",AND(LEFT(M99,2)&lt;&gt;"15",LEFT(M99,2)&lt;&gt;"33"))),"x","")</f>
        <v/>
      </c>
      <c r="X99" s="39" t="str">
        <f>IF(AND(OR(LEFT(TH!L99,2)="15",LEFT(TH!M99,2)="15"),'152-CT'!$J$8=TH!F99),"x","")</f>
        <v/>
      </c>
      <c r="Y99" s="39" t="str">
        <f>IF(AND(OR(LEFT(TH!L99,2)="15",LEFT(TH!M99,2)="15"),TK!$E$7=TH!F99),"x","")</f>
        <v/>
      </c>
      <c r="Z99" s="39" t="str">
        <f>IF(AND(B99&lt;=NKC!$N$8,B99&gt;=NKC!$M$8),"x","")</f>
        <v/>
      </c>
      <c r="AA99" s="894"/>
    </row>
    <row r="100" spans="1:30" s="598" customFormat="1" ht="15.75" customHeight="1">
      <c r="A100" s="199" t="str">
        <f>IF(B100&lt;&gt;"",IF(AND(B100&gt;=_TM1,B100&lt;=_TM2,OR(TH!L100="1111",TH!M100="1111")),TH!D100,""),"")</f>
        <v/>
      </c>
      <c r="B100" s="36">
        <f t="shared" si="5"/>
        <v>1</v>
      </c>
      <c r="C100" s="190">
        <f t="shared" si="6"/>
        <v>0</v>
      </c>
      <c r="D100" s="190"/>
      <c r="E100" s="190"/>
      <c r="F100" s="188"/>
      <c r="G100" s="489"/>
      <c r="H100" s="192"/>
      <c r="I100" s="253"/>
      <c r="J100" s="253"/>
      <c r="K100" s="38"/>
      <c r="L100" s="193"/>
      <c r="M100" s="607"/>
      <c r="N100" s="39" t="str">
        <f>IF(AND('331-CT'!$E$7=TH!H100,OR(L100="331",M100="331")),"331",IF(AND(OR(L100="131",M100="131"),H100='131-CT'!$E$7),"131",""))</f>
        <v/>
      </c>
      <c r="O100" s="39" t="str">
        <f>IF(AND($B100&gt;='111'!$N$11,$B100&lt;='111'!$O$11,OR($L100=$O$7,$M100=$O$7)),"x","")</f>
        <v/>
      </c>
      <c r="P100" s="39" t="str">
        <f>IF(AND($L100=$O$7,$B100&lt;'111'!$N$11),"x","")</f>
        <v/>
      </c>
      <c r="Q100" s="39" t="str">
        <f>IF(AND($M100=$O$7,$B100&lt;'111'!$N$11),"x","")</f>
        <v/>
      </c>
      <c r="R100" s="39" t="str">
        <f>IF(ISERROR(FIND('112'!$M$9,G100,1)),"",IF((AND(FIND('112'!$M$9,G100,1)&gt;=1,$B100&gt;='112'!$N$8,$B100&lt;='112'!$O$8,OR($L100='112'!$I$6,$M100='112'!$I$6))),"x",""))</f>
        <v/>
      </c>
      <c r="S100" s="39" t="str">
        <f>IF(ISERROR(FIND('112'!$M$9,G100,1)),"",IF((AND(LEFT(G100,2)=LEFT('112'!$M$9,2),B100&lt;'112'!$N$8,$L100='112'!$I$6)),"x",""))</f>
        <v/>
      </c>
      <c r="T100" s="39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39" t="str">
        <f>IF(OR(TH!L100=TH!$V$7,M100=TH!$V$7),"x","")</f>
        <v/>
      </c>
      <c r="W100" s="39" t="str">
        <f>IF(AND(B100&gt;='IN-NX'!$P$3,B100&lt;='IN-NX'!$Q$3,'IN-NX'!$D$7=D100,OR(LEFT(L100,2)="15",AND(LEFT(M100,2)&lt;&gt;"15",LEFT(M100,2)&lt;&gt;"33"))),"x","")</f>
        <v/>
      </c>
      <c r="X100" s="39" t="str">
        <f>IF(AND(OR(LEFT(TH!L100,2)="15",LEFT(TH!M100,2)="15"),'152-CT'!$J$8=TH!F100),"x","")</f>
        <v/>
      </c>
      <c r="Y100" s="39" t="str">
        <f>IF(AND(OR(LEFT(TH!L100,2)="15",LEFT(TH!M100,2)="15"),TK!$E$7=TH!F100),"x","")</f>
        <v/>
      </c>
      <c r="Z100" s="39" t="str">
        <f>IF(AND(B100&lt;=NKC!$N$8,B100&gt;=NKC!$M$8),"x","")</f>
        <v/>
      </c>
      <c r="AA100" s="894"/>
    </row>
    <row r="101" spans="1:30" s="598" customFormat="1" ht="15.75" customHeight="1">
      <c r="A101" s="199" t="str">
        <f>IF(B101&lt;&gt;"",IF(AND(B101&gt;=_TM1,B101&lt;=_TM2,OR(TH!L101="1111",TH!M101="1111")),TH!D101,""),"")</f>
        <v/>
      </c>
      <c r="B101" s="36">
        <f t="shared" si="5"/>
        <v>1</v>
      </c>
      <c r="C101" s="190">
        <f t="shared" si="6"/>
        <v>0</v>
      </c>
      <c r="D101" s="190"/>
      <c r="E101" s="190"/>
      <c r="F101" s="191"/>
      <c r="G101" s="489"/>
      <c r="H101" s="192"/>
      <c r="I101" s="253"/>
      <c r="J101" s="253"/>
      <c r="K101" s="38"/>
      <c r="L101" s="193"/>
      <c r="M101" s="607"/>
      <c r="N101" s="39" t="str">
        <f>IF(AND('331-CT'!$E$7=TH!H101,OR(L101="331",M101="331")),"331",IF(AND(OR(L101="131",M101="131"),H101='131-CT'!$E$7),"131",""))</f>
        <v/>
      </c>
      <c r="O101" s="39" t="str">
        <f>IF(AND($B101&gt;='111'!$N$11,$B101&lt;='111'!$O$11,OR($L101=$O$7,$M101=$O$7)),"x","")</f>
        <v/>
      </c>
      <c r="P101" s="39" t="str">
        <f>IF(AND($L101=$O$7,$B101&lt;'111'!$N$11),"x","")</f>
        <v/>
      </c>
      <c r="Q101" s="39" t="str">
        <f>IF(AND($M101=$O$7,$B101&lt;'111'!$N$11),"x","")</f>
        <v/>
      </c>
      <c r="R101" s="39" t="str">
        <f>IF(ISERROR(FIND('112'!$M$9,G101,1)),"",IF((AND(FIND('112'!$M$9,G101,1)&gt;=1,$B101&gt;='112'!$N$8,$B101&lt;='112'!$O$8,OR($L101='112'!$I$6,$M101='112'!$I$6))),"x",""))</f>
        <v/>
      </c>
      <c r="S101" s="39" t="str">
        <f>IF(ISERROR(FIND('112'!$M$9,G101,1)),"",IF((AND(LEFT(G101,2)=LEFT('112'!$M$9,2),B101&lt;'112'!$N$8,$L101='112'!$I$6)),"x",""))</f>
        <v/>
      </c>
      <c r="T101" s="39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39" t="str">
        <f>IF(OR(TH!L101=TH!$V$7,M101=TH!$V$7),"x","")</f>
        <v/>
      </c>
      <c r="W101" s="39" t="str">
        <f>IF(AND(B101&gt;='IN-NX'!$P$3,B101&lt;='IN-NX'!$Q$3,'IN-NX'!$D$7=D101,OR(LEFT(L101,2)="15",AND(LEFT(M101,2)&lt;&gt;"15",LEFT(M101,2)&lt;&gt;"33"))),"x","")</f>
        <v/>
      </c>
      <c r="X101" s="39" t="str">
        <f>IF(AND(OR(LEFT(TH!L101,2)="15",LEFT(TH!M101,2)="15"),'152-CT'!$J$8=TH!F101),"x","")</f>
        <v/>
      </c>
      <c r="Y101" s="39" t="str">
        <f>IF(AND(OR(LEFT(TH!L101,2)="15",LEFT(TH!M101,2)="15"),TK!$E$7=TH!F101),"x","")</f>
        <v/>
      </c>
      <c r="Z101" s="39" t="str">
        <f>IF(AND(B101&lt;=NKC!$N$8,B101&gt;=NKC!$M$8),"x","")</f>
        <v/>
      </c>
      <c r="AA101" s="894"/>
    </row>
    <row r="102" spans="1:30" s="598" customFormat="1" ht="15.75" customHeight="1">
      <c r="A102" s="199" t="str">
        <f>IF(B102&lt;&gt;"",IF(AND(B102&gt;=_TM1,B102&lt;=_TM2,OR(TH!L102="1111",TH!M102="1111")),TH!D102,""),"")</f>
        <v/>
      </c>
      <c r="B102" s="36">
        <f t="shared" si="5"/>
        <v>1</v>
      </c>
      <c r="C102" s="190">
        <f t="shared" si="6"/>
        <v>0</v>
      </c>
      <c r="D102" s="190"/>
      <c r="E102" s="190"/>
      <c r="F102" s="191"/>
      <c r="G102" s="489"/>
      <c r="H102" s="7"/>
      <c r="I102" s="253"/>
      <c r="J102" s="253"/>
      <c r="K102" s="38"/>
      <c r="L102" s="193"/>
      <c r="M102" s="607"/>
      <c r="N102" s="39" t="str">
        <f>IF(AND('331-CT'!$E$7=TH!H102,OR(L102="331",M102="331")),"331",IF(AND(OR(L102="131",M102="131"),H102='131-CT'!$E$7),"131",""))</f>
        <v/>
      </c>
      <c r="O102" s="39" t="str">
        <f>IF(AND($B102&gt;='111'!$N$11,$B102&lt;='111'!$O$11,OR($L102=$O$7,$M102=$O$7)),"x","")</f>
        <v/>
      </c>
      <c r="P102" s="39" t="str">
        <f>IF(AND($L102=$O$7,$B102&lt;'111'!$N$11),"x","")</f>
        <v/>
      </c>
      <c r="Q102" s="39" t="str">
        <f>IF(AND($M102=$O$7,$B102&lt;'111'!$N$11),"x","")</f>
        <v/>
      </c>
      <c r="R102" s="39" t="str">
        <f>IF(ISERROR(FIND('112'!$M$9,G102,1)),"",IF((AND(FIND('112'!$M$9,G102,1)&gt;=1,$B102&gt;='112'!$N$8,$B102&lt;='112'!$O$8,OR($L102='112'!$I$6,$M102='112'!$I$6))),"x",""))</f>
        <v/>
      </c>
      <c r="S102" s="39" t="str">
        <f>IF(ISERROR(FIND('112'!$M$9,G102,1)),"",IF((AND(LEFT(G102,2)=LEFT('112'!$M$9,2),B102&lt;'112'!$N$8,$L102='112'!$I$6)),"x",""))</f>
        <v/>
      </c>
      <c r="T102" s="39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39" t="str">
        <f>IF(OR(TH!L102=TH!$V$7,M102=TH!$V$7),"x","")</f>
        <v/>
      </c>
      <c r="W102" s="39" t="str">
        <f>IF(AND(B102&gt;='IN-NX'!$P$3,B102&lt;='IN-NX'!$Q$3,'IN-NX'!$D$7=D102,OR(LEFT(L102,2)="15",AND(LEFT(M102,2)&lt;&gt;"15",LEFT(M102,2)&lt;&gt;"33"))),"x","")</f>
        <v/>
      </c>
      <c r="X102" s="39" t="str">
        <f>IF(AND(OR(LEFT(TH!L102,2)="15",LEFT(TH!M102,2)="15"),'152-CT'!$J$8=TH!F102),"x","")</f>
        <v/>
      </c>
      <c r="Y102" s="39" t="str">
        <f>IF(AND(OR(LEFT(TH!L102,2)="15",LEFT(TH!M102,2)="15"),TK!$E$7=TH!F102),"x","")</f>
        <v/>
      </c>
      <c r="Z102" s="39" t="str">
        <f>IF(AND(B102&lt;=NKC!$N$8,B102&gt;=NKC!$M$8),"x","")</f>
        <v/>
      </c>
      <c r="AA102" s="894"/>
    </row>
    <row r="103" spans="1:30" s="598" customFormat="1" ht="15.75" customHeight="1">
      <c r="A103" s="199" t="str">
        <f>IF(B103&lt;&gt;"",IF(AND(B103&gt;=_TM1,B103&lt;=_TM2,OR(TH!L103="1111",TH!M103="1111")),TH!D103,""),"")</f>
        <v/>
      </c>
      <c r="B103" s="36">
        <f t="shared" si="5"/>
        <v>1</v>
      </c>
      <c r="C103" s="190">
        <f t="shared" si="6"/>
        <v>0</v>
      </c>
      <c r="D103" s="190"/>
      <c r="E103" s="190"/>
      <c r="F103" s="191"/>
      <c r="G103" s="489"/>
      <c r="H103" s="192"/>
      <c r="I103" s="253"/>
      <c r="J103" s="253"/>
      <c r="K103" s="38"/>
      <c r="L103" s="193"/>
      <c r="M103" s="607"/>
      <c r="N103" s="39" t="str">
        <f>IF(AND('331-CT'!$E$7=TH!H103,OR(L103="331",M103="331")),"331",IF(AND(OR(L103="131",M103="131"),H103='131-CT'!$E$7),"131",""))</f>
        <v/>
      </c>
      <c r="O103" s="39" t="str">
        <f>IF(AND($B103&gt;='111'!$N$11,$B103&lt;='111'!$O$11,OR($L103=$O$7,$M103=$O$7)),"x","")</f>
        <v/>
      </c>
      <c r="P103" s="39" t="str">
        <f>IF(AND($L103=$O$7,$B103&lt;'111'!$N$11),"x","")</f>
        <v/>
      </c>
      <c r="Q103" s="39" t="str">
        <f>IF(AND($M103=$O$7,$B103&lt;'111'!$N$11),"x","")</f>
        <v/>
      </c>
      <c r="R103" s="39" t="str">
        <f>IF(ISERROR(FIND('112'!$M$9,G103,1)),"",IF((AND(FIND('112'!$M$9,G103,1)&gt;=1,$B103&gt;='112'!$N$8,$B103&lt;='112'!$O$8,OR($L103='112'!$I$6,$M103='112'!$I$6))),"x",""))</f>
        <v/>
      </c>
      <c r="S103" s="39" t="str">
        <f>IF(ISERROR(FIND('112'!$M$9,G103,1)),"",IF((AND(LEFT(G103,2)=LEFT('112'!$M$9,2),B103&lt;'112'!$N$8,$L103='112'!$I$6)),"x",""))</f>
        <v/>
      </c>
      <c r="T103" s="39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39" t="str">
        <f>IF(OR(TH!L103=TH!$V$7,M103=TH!$V$7),"x","")</f>
        <v/>
      </c>
      <c r="W103" s="39" t="str">
        <f>IF(AND(B103&gt;='IN-NX'!$P$3,B103&lt;='IN-NX'!$Q$3,'IN-NX'!$D$7=D103,OR(LEFT(L103,2)="15",AND(LEFT(M103,2)&lt;&gt;"15",LEFT(M103,2)&lt;&gt;"33"))),"x","")</f>
        <v/>
      </c>
      <c r="X103" s="39" t="str">
        <f>IF(AND(OR(LEFT(TH!L103,2)="15",LEFT(TH!M103,2)="15"),'152-CT'!$J$8=TH!F103),"x","")</f>
        <v/>
      </c>
      <c r="Y103" s="39" t="str">
        <f>IF(AND(OR(LEFT(TH!L103,2)="15",LEFT(TH!M103,2)="15"),TK!$E$7=TH!F103),"x","")</f>
        <v/>
      </c>
      <c r="Z103" s="39" t="str">
        <f>IF(AND(B103&lt;=NKC!$N$8,B103&gt;=NKC!$M$8),"x","")</f>
        <v/>
      </c>
      <c r="AA103" s="894"/>
    </row>
    <row r="104" spans="1:30" s="598" customFormat="1" ht="15.75" customHeight="1">
      <c r="A104" s="199" t="str">
        <f>IF(B104&lt;&gt;"",IF(AND(B104&gt;=_TM1,B104&lt;=_TM2,OR(TH!L104="1111",TH!M104="1111")),TH!D104,""),"")</f>
        <v/>
      </c>
      <c r="B104" s="36">
        <f t="shared" si="5"/>
        <v>1</v>
      </c>
      <c r="C104" s="190">
        <f t="shared" si="6"/>
        <v>0</v>
      </c>
      <c r="D104" s="190"/>
      <c r="E104" s="190"/>
      <c r="F104" s="191"/>
      <c r="G104" s="489"/>
      <c r="H104" s="7"/>
      <c r="I104" s="253"/>
      <c r="J104" s="253"/>
      <c r="K104" s="38"/>
      <c r="L104" s="193"/>
      <c r="M104" s="607"/>
      <c r="N104" s="39" t="str">
        <f>IF(AND('331-CT'!$E$7=TH!H104,OR(L104="331",M104="331")),"331",IF(AND(OR(L104="131",M104="131"),H104='131-CT'!$E$7),"131",""))</f>
        <v/>
      </c>
      <c r="O104" s="39" t="str">
        <f>IF(AND($B104&gt;='111'!$N$11,$B104&lt;='111'!$O$11,OR($L104=$O$7,$M104=$O$7)),"x","")</f>
        <v/>
      </c>
      <c r="P104" s="39" t="str">
        <f>IF(AND($L104=$O$7,$B104&lt;'111'!$N$11),"x","")</f>
        <v/>
      </c>
      <c r="Q104" s="39" t="str">
        <f>IF(AND($M104=$O$7,$B104&lt;'111'!$N$11),"x","")</f>
        <v/>
      </c>
      <c r="R104" s="39" t="str">
        <f>IF(ISERROR(FIND('112'!$M$9,G104,1)),"",IF((AND(FIND('112'!$M$9,G104,1)&gt;=1,$B104&gt;='112'!$N$8,$B104&lt;='112'!$O$8,OR($L104='112'!$I$6,$M104='112'!$I$6))),"x",""))</f>
        <v/>
      </c>
      <c r="S104" s="39" t="str">
        <f>IF(ISERROR(FIND('112'!$M$9,G104,1)),"",IF((AND(LEFT(G104,2)=LEFT('112'!$M$9,2),B104&lt;'112'!$N$8,$L104='112'!$I$6)),"x",""))</f>
        <v/>
      </c>
      <c r="T104" s="39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39" t="str">
        <f>IF(OR(TH!L104=TH!$V$7,M104=TH!$V$7),"x","")</f>
        <v/>
      </c>
      <c r="W104" s="39" t="str">
        <f>IF(AND(B104&gt;='IN-NX'!$P$3,B104&lt;='IN-NX'!$Q$3,'IN-NX'!$D$7=D104,OR(LEFT(L104,2)="15",AND(LEFT(M104,2)&lt;&gt;"15",LEFT(M104,2)&lt;&gt;"33"))),"x","")</f>
        <v/>
      </c>
      <c r="X104" s="39" t="str">
        <f>IF(AND(OR(LEFT(TH!L104,2)="15",LEFT(TH!M104,2)="15"),'152-CT'!$J$8=TH!F104),"x","")</f>
        <v/>
      </c>
      <c r="Y104" s="39" t="str">
        <f>IF(AND(OR(LEFT(TH!L104,2)="15",LEFT(TH!M104,2)="15"),TK!$E$7=TH!F104),"x","")</f>
        <v/>
      </c>
      <c r="Z104" s="39" t="str">
        <f>IF(AND(B104&lt;=NKC!$N$8,B104&gt;=NKC!$M$8),"x","")</f>
        <v/>
      </c>
      <c r="AA104" s="894"/>
    </row>
    <row r="105" spans="1:30" s="598" customFormat="1" ht="15.75" customHeight="1">
      <c r="A105" s="199" t="str">
        <f>IF(B105&lt;&gt;"",IF(AND(B105&gt;=_TM1,B105&lt;=_TM2,OR(TH!L105="1111",TH!M105="1111")),TH!D105,""),"")</f>
        <v/>
      </c>
      <c r="B105" s="36">
        <f t="shared" si="5"/>
        <v>1</v>
      </c>
      <c r="C105" s="190">
        <f t="shared" si="6"/>
        <v>0</v>
      </c>
      <c r="D105" s="190"/>
      <c r="E105" s="190"/>
      <c r="F105" s="191"/>
      <c r="G105" s="489"/>
      <c r="H105" s="192"/>
      <c r="I105" s="253"/>
      <c r="J105" s="253"/>
      <c r="K105" s="38"/>
      <c r="L105" s="193"/>
      <c r="M105" s="607"/>
      <c r="N105" s="39" t="str">
        <f>IF(AND('331-CT'!$E$7=TH!H105,OR(L105="331",M105="331")),"331",IF(AND(OR(L105="131",M105="131"),H105='131-CT'!$E$7),"131",""))</f>
        <v/>
      </c>
      <c r="O105" s="39" t="str">
        <f>IF(AND($B105&gt;='111'!$N$11,$B105&lt;='111'!$O$11,OR($L105=$O$7,$M105=$O$7)),"x","")</f>
        <v/>
      </c>
      <c r="P105" s="39" t="str">
        <f>IF(AND($L105=$O$7,$B105&lt;'111'!$N$11),"x","")</f>
        <v/>
      </c>
      <c r="Q105" s="39" t="str">
        <f>IF(AND($M105=$O$7,$B105&lt;'111'!$N$11),"x","")</f>
        <v/>
      </c>
      <c r="R105" s="39" t="str">
        <f>IF(ISERROR(FIND('112'!$M$9,G105,1)),"",IF((AND(FIND('112'!$M$9,G105,1)&gt;=1,$B105&gt;='112'!$N$8,$B105&lt;='112'!$O$8,OR($L105='112'!$I$6,$M105='112'!$I$6))),"x",""))</f>
        <v/>
      </c>
      <c r="S105" s="39" t="str">
        <f>IF(ISERROR(FIND('112'!$M$9,G105,1)),"",IF((AND(LEFT(G105,2)=LEFT('112'!$M$9,2),B105&lt;'112'!$N$8,$L105='112'!$I$6)),"x",""))</f>
        <v/>
      </c>
      <c r="T105" s="39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39" t="str">
        <f>IF(OR(TH!L105=TH!$V$7,M105=TH!$V$7),"x","")</f>
        <v/>
      </c>
      <c r="W105" s="39" t="str">
        <f>IF(AND(B105&gt;='IN-NX'!$P$3,B105&lt;='IN-NX'!$Q$3,'IN-NX'!$D$7=D105,OR(LEFT(L105,2)="15",AND(LEFT(M105,2)&lt;&gt;"15",LEFT(M105,2)&lt;&gt;"33"))),"x","")</f>
        <v/>
      </c>
      <c r="X105" s="39" t="str">
        <f>IF(AND(OR(LEFT(TH!L105,2)="15",LEFT(TH!M105,2)="15"),'152-CT'!$J$8=TH!F105),"x","")</f>
        <v/>
      </c>
      <c r="Y105" s="39" t="str">
        <f>IF(AND(OR(LEFT(TH!L105,2)="15",LEFT(TH!M105,2)="15"),TK!$E$7=TH!F105),"x","")</f>
        <v/>
      </c>
      <c r="Z105" s="39" t="str">
        <f>IF(AND(B105&lt;=NKC!$N$8,B105&gt;=NKC!$M$8),"x","")</f>
        <v/>
      </c>
      <c r="AA105" s="894"/>
      <c r="AC105" s="205"/>
      <c r="AD105" s="205"/>
    </row>
    <row r="106" spans="1:30" s="598" customFormat="1" ht="15.75" customHeight="1">
      <c r="A106" s="199" t="str">
        <f>IF(B106&lt;&gt;"",IF(AND(B106&gt;=_TM1,B106&lt;=_TM2,OR(TH!L106="1111",TH!M106="1111")),TH!D106,""),"")</f>
        <v/>
      </c>
      <c r="B106" s="36">
        <f t="shared" si="5"/>
        <v>1</v>
      </c>
      <c r="C106" s="190">
        <f t="shared" si="6"/>
        <v>0</v>
      </c>
      <c r="D106" s="190"/>
      <c r="E106" s="190"/>
      <c r="F106" s="191"/>
      <c r="G106" s="489"/>
      <c r="H106" s="192"/>
      <c r="I106" s="253"/>
      <c r="J106" s="253"/>
      <c r="K106" s="38"/>
      <c r="L106" s="193"/>
      <c r="M106" s="607"/>
      <c r="N106" s="39" t="str">
        <f>IF(AND('331-CT'!$E$7=TH!H106,OR(L106="331",M106="331")),"331",IF(AND(OR(L106="131",M106="131"),H106='131-CT'!$E$7),"131",""))</f>
        <v/>
      </c>
      <c r="O106" s="39" t="str">
        <f>IF(AND($B106&gt;='111'!$N$11,$B106&lt;='111'!$O$11,OR($L106=$O$7,$M106=$O$7)),"x","")</f>
        <v/>
      </c>
      <c r="P106" s="39" t="str">
        <f>IF(AND($L106=$O$7,$B106&lt;'111'!$N$11),"x","")</f>
        <v/>
      </c>
      <c r="Q106" s="39" t="str">
        <f>IF(AND($M106=$O$7,$B106&lt;'111'!$N$11),"x","")</f>
        <v/>
      </c>
      <c r="R106" s="39" t="str">
        <f>IF(ISERROR(FIND('112'!$M$9,G106,1)),"",IF((AND(FIND('112'!$M$9,G106,1)&gt;=1,$B106&gt;='112'!$N$8,$B106&lt;='112'!$O$8,OR($L106='112'!$I$6,$M106='112'!$I$6))),"x",""))</f>
        <v/>
      </c>
      <c r="S106" s="39" t="str">
        <f>IF(ISERROR(FIND('112'!$M$9,G106,1)),"",IF((AND(LEFT(G106,2)=LEFT('112'!$M$9,2),B106&lt;'112'!$N$8,$L106='112'!$I$6)),"x",""))</f>
        <v/>
      </c>
      <c r="T106" s="39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39" t="str">
        <f>IF(OR(TH!L106=TH!$V$7,M106=TH!$V$7),"x","")</f>
        <v/>
      </c>
      <c r="W106" s="39" t="str">
        <f>IF(AND(B106&gt;='IN-NX'!$P$3,B106&lt;='IN-NX'!$Q$3,'IN-NX'!$D$7=D106,OR(LEFT(L106,2)="15",AND(LEFT(M106,2)&lt;&gt;"15",LEFT(M106,2)&lt;&gt;"33"))),"x","")</f>
        <v/>
      </c>
      <c r="X106" s="39" t="str">
        <f>IF(AND(OR(LEFT(TH!L106,2)="15",LEFT(TH!M106,2)="15"),'152-CT'!$J$8=TH!F106),"x","")</f>
        <v/>
      </c>
      <c r="Y106" s="39" t="str">
        <f>IF(AND(OR(LEFT(TH!L106,2)="15",LEFT(TH!M106,2)="15"),TK!$E$7=TH!F106),"x","")</f>
        <v/>
      </c>
      <c r="Z106" s="39" t="str">
        <f>IF(AND(B106&lt;=NKC!$N$8,B106&gt;=NKC!$M$8),"x","")</f>
        <v/>
      </c>
      <c r="AA106" s="894"/>
      <c r="AB106" s="205"/>
      <c r="AC106" s="205"/>
      <c r="AD106" s="205"/>
    </row>
    <row r="107" spans="1:30" s="598" customFormat="1" ht="15.75" customHeight="1">
      <c r="A107" s="199" t="str">
        <f>IF(B107&lt;&gt;"",IF(AND(B107&gt;=_TM1,B107&lt;=_TM2,OR(TH!L107="1111",TH!M107="1111")),TH!D107,""),"")</f>
        <v/>
      </c>
      <c r="B107" s="36">
        <f t="shared" si="5"/>
        <v>1</v>
      </c>
      <c r="C107" s="190">
        <f t="shared" si="6"/>
        <v>0</v>
      </c>
      <c r="D107" s="190"/>
      <c r="E107" s="190"/>
      <c r="F107" s="191"/>
      <c r="G107" s="489"/>
      <c r="H107" s="7"/>
      <c r="I107" s="253"/>
      <c r="J107" s="253"/>
      <c r="K107" s="38"/>
      <c r="L107" s="193"/>
      <c r="M107" s="607"/>
      <c r="N107" s="39" t="str">
        <f>IF(AND('331-CT'!$E$7=TH!H107,OR(L107="331",M107="331")),"331",IF(AND(OR(L107="131",M107="131"),H107='131-CT'!$E$7),"131",""))</f>
        <v/>
      </c>
      <c r="O107" s="39" t="str">
        <f>IF(AND($B107&gt;='111'!$N$11,$B107&lt;='111'!$O$11,OR($L107=$O$7,$M107=$O$7)),"x","")</f>
        <v/>
      </c>
      <c r="P107" s="39" t="str">
        <f>IF(AND($L107=$O$7,$B107&lt;'111'!$N$11),"x","")</f>
        <v/>
      </c>
      <c r="Q107" s="39" t="str">
        <f>IF(AND($M107=$O$7,$B107&lt;'111'!$N$11),"x","")</f>
        <v/>
      </c>
      <c r="R107" s="39" t="str">
        <f>IF(ISERROR(FIND('112'!$M$9,G107,1)),"",IF((AND(FIND('112'!$M$9,G107,1)&gt;=1,$B107&gt;='112'!$N$8,$B107&lt;='112'!$O$8,OR($L107='112'!$I$6,$M107='112'!$I$6))),"x",""))</f>
        <v/>
      </c>
      <c r="S107" s="39" t="str">
        <f>IF(ISERROR(FIND('112'!$M$9,G107,1)),"",IF((AND(LEFT(G107,2)=LEFT('112'!$M$9,2),B107&lt;'112'!$N$8,$L107='112'!$I$6)),"x",""))</f>
        <v/>
      </c>
      <c r="T107" s="39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39" t="str">
        <f>IF(OR(TH!L107=TH!$V$7,M107=TH!$V$7),"x","")</f>
        <v/>
      </c>
      <c r="W107" s="39" t="str">
        <f>IF(AND(B107&gt;='IN-NX'!$P$3,B107&lt;='IN-NX'!$Q$3,'IN-NX'!$D$7=D107,OR(LEFT(L107,2)="15",AND(LEFT(M107,2)&lt;&gt;"15",LEFT(M107,2)&lt;&gt;"33"))),"x","")</f>
        <v/>
      </c>
      <c r="X107" s="39" t="str">
        <f>IF(AND(OR(LEFT(TH!L107,2)="15",LEFT(TH!M107,2)="15"),'152-CT'!$J$8=TH!F107),"x","")</f>
        <v/>
      </c>
      <c r="Y107" s="39" t="str">
        <f>IF(AND(OR(LEFT(TH!L107,2)="15",LEFT(TH!M107,2)="15"),TK!$E$7=TH!F107),"x","")</f>
        <v/>
      </c>
      <c r="Z107" s="39" t="str">
        <f>IF(AND(B107&lt;=NKC!$N$8,B107&gt;=NKC!$M$8),"x","")</f>
        <v/>
      </c>
      <c r="AA107" s="894"/>
      <c r="AB107" s="205"/>
      <c r="AC107" s="205"/>
      <c r="AD107" s="205"/>
    </row>
    <row r="108" spans="1:30" s="598" customFormat="1" ht="15.75" customHeight="1">
      <c r="A108" s="199" t="str">
        <f>IF(B108&lt;&gt;"",IF(AND(B108&gt;=_TM1,B108&lt;=_TM2,OR(TH!L108="1111",TH!M108="1111")),TH!D108,""),"")</f>
        <v/>
      </c>
      <c r="B108" s="36">
        <f t="shared" si="5"/>
        <v>1</v>
      </c>
      <c r="C108" s="190">
        <f t="shared" si="6"/>
        <v>0</v>
      </c>
      <c r="D108" s="190"/>
      <c r="E108" s="190"/>
      <c r="F108" s="191"/>
      <c r="G108" s="489"/>
      <c r="H108" s="192"/>
      <c r="I108" s="253"/>
      <c r="J108" s="253"/>
      <c r="K108" s="38"/>
      <c r="L108" s="193"/>
      <c r="M108" s="607"/>
      <c r="N108" s="39" t="str">
        <f>IF(AND('331-CT'!$E$7=TH!H108,OR(L108="331",M108="331")),"331",IF(AND(OR(L108="131",M108="131"),H108='131-CT'!$E$7),"131",""))</f>
        <v/>
      </c>
      <c r="O108" s="39" t="str">
        <f>IF(AND($B108&gt;='111'!$N$11,$B108&lt;='111'!$O$11,OR($L108=$O$7,$M108=$O$7)),"x","")</f>
        <v/>
      </c>
      <c r="P108" s="39" t="str">
        <f>IF(AND($L108=$O$7,$B108&lt;'111'!$N$11),"x","")</f>
        <v/>
      </c>
      <c r="Q108" s="39" t="str">
        <f>IF(AND($M108=$O$7,$B108&lt;'111'!$N$11),"x","")</f>
        <v/>
      </c>
      <c r="R108" s="39" t="str">
        <f>IF(ISERROR(FIND('112'!$M$9,G108,1)),"",IF((AND(FIND('112'!$M$9,G108,1)&gt;=1,$B108&gt;='112'!$N$8,$B108&lt;='112'!$O$8,OR($L108='112'!$I$6,$M108='112'!$I$6))),"x",""))</f>
        <v/>
      </c>
      <c r="S108" s="39" t="str">
        <f>IF(ISERROR(FIND('112'!$M$9,G108,1)),"",IF((AND(LEFT(G108,2)=LEFT('112'!$M$9,2),B108&lt;'112'!$N$8,$L108='112'!$I$6)),"x",""))</f>
        <v/>
      </c>
      <c r="T108" s="39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39" t="str">
        <f>IF(OR(TH!L108=TH!$V$7,M108=TH!$V$7),"x","")</f>
        <v/>
      </c>
      <c r="W108" s="39" t="str">
        <f>IF(AND(B108&gt;='IN-NX'!$P$3,B108&lt;='IN-NX'!$Q$3,'IN-NX'!$D$7=D108,OR(LEFT(L108,2)="15",AND(LEFT(M108,2)&lt;&gt;"15",LEFT(M108,2)&lt;&gt;"33"))),"x","")</f>
        <v/>
      </c>
      <c r="X108" s="39" t="str">
        <f>IF(AND(OR(LEFT(TH!L108,2)="15",LEFT(TH!M108,2)="15"),'152-CT'!$J$8=TH!F108),"x","")</f>
        <v/>
      </c>
      <c r="Y108" s="39" t="str">
        <f>IF(AND(OR(LEFT(TH!L108,2)="15",LEFT(TH!M108,2)="15"),TK!$E$7=TH!F108),"x","")</f>
        <v/>
      </c>
      <c r="Z108" s="39" t="str">
        <f>IF(AND(B108&lt;=NKC!$N$8,B108&gt;=NKC!$M$8),"x","")</f>
        <v/>
      </c>
      <c r="AA108" s="894"/>
      <c r="AB108" s="205"/>
      <c r="AC108" s="205"/>
      <c r="AD108" s="205"/>
    </row>
    <row r="109" spans="1:30" s="598" customFormat="1" ht="15.75" customHeight="1">
      <c r="A109" s="199" t="str">
        <f>IF(B109&lt;&gt;"",IF(AND(B109&gt;=_TM1,B109&lt;=_TM2,OR(TH!L109="1111",TH!M109="1111")),TH!D109,""),"")</f>
        <v/>
      </c>
      <c r="B109" s="36">
        <f t="shared" si="5"/>
        <v>1</v>
      </c>
      <c r="C109" s="190">
        <f t="shared" si="6"/>
        <v>0</v>
      </c>
      <c r="D109" s="190"/>
      <c r="E109" s="190"/>
      <c r="F109" s="191"/>
      <c r="G109" s="489"/>
      <c r="H109" s="7"/>
      <c r="I109" s="253"/>
      <c r="J109" s="253"/>
      <c r="K109" s="38"/>
      <c r="L109" s="193"/>
      <c r="M109" s="607"/>
      <c r="N109" s="39" t="str">
        <f>IF(AND('331-CT'!$E$7=TH!H109,OR(L109="331",M109="331")),"331",IF(AND(OR(L109="131",M109="131"),H109='131-CT'!$E$7),"131",""))</f>
        <v/>
      </c>
      <c r="O109" s="39" t="str">
        <f>IF(AND($B109&gt;='111'!$N$11,$B109&lt;='111'!$O$11,OR($L109=$O$7,$M109=$O$7)),"x","")</f>
        <v/>
      </c>
      <c r="P109" s="39" t="str">
        <f>IF(AND($L109=$O$7,$B109&lt;'111'!$N$11),"x","")</f>
        <v/>
      </c>
      <c r="Q109" s="39" t="str">
        <f>IF(AND($M109=$O$7,$B109&lt;'111'!$N$11),"x","")</f>
        <v/>
      </c>
      <c r="R109" s="39" t="str">
        <f>IF(ISERROR(FIND('112'!$M$9,G109,1)),"",IF((AND(FIND('112'!$M$9,G109,1)&gt;=1,$B109&gt;='112'!$N$8,$B109&lt;='112'!$O$8,OR($L109='112'!$I$6,$M109='112'!$I$6))),"x",""))</f>
        <v/>
      </c>
      <c r="S109" s="39" t="str">
        <f>IF(ISERROR(FIND('112'!$M$9,G109,1)),"",IF((AND(LEFT(G109,2)=LEFT('112'!$M$9,2),B109&lt;'112'!$N$8,$L109='112'!$I$6)),"x",""))</f>
        <v/>
      </c>
      <c r="T109" s="39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39" t="str">
        <f>IF(OR(TH!L109=TH!$V$7,M109=TH!$V$7),"x","")</f>
        <v/>
      </c>
      <c r="W109" s="39" t="str">
        <f>IF(AND(B109&gt;='IN-NX'!$P$3,B109&lt;='IN-NX'!$Q$3,'IN-NX'!$D$7=D109,OR(LEFT(L109,2)="15",AND(LEFT(M109,2)&lt;&gt;"15",LEFT(M109,2)&lt;&gt;"33"))),"x","")</f>
        <v/>
      </c>
      <c r="X109" s="39" t="str">
        <f>IF(AND(OR(LEFT(TH!L109,2)="15",LEFT(TH!M109,2)="15"),'152-CT'!$J$8=TH!F109),"x","")</f>
        <v/>
      </c>
      <c r="Y109" s="39" t="str">
        <f>IF(AND(OR(LEFT(TH!L109,2)="15",LEFT(TH!M109,2)="15"),TK!$E$7=TH!F109),"x","")</f>
        <v/>
      </c>
      <c r="Z109" s="39" t="str">
        <f>IF(AND(B109&lt;=NKC!$N$8,B109&gt;=NKC!$M$8),"x","")</f>
        <v/>
      </c>
      <c r="AA109" s="894"/>
      <c r="AB109" s="205"/>
      <c r="AC109" s="205"/>
      <c r="AD109" s="205"/>
    </row>
    <row r="110" spans="1:30" s="598" customFormat="1" ht="15.75" customHeight="1">
      <c r="A110" s="199" t="str">
        <f>IF(B110&lt;&gt;"",IF(AND(B110&gt;=_TM1,B110&lt;=_TM2,OR(TH!L110="1111",TH!M110="1111")),TH!D110,""),"")</f>
        <v/>
      </c>
      <c r="B110" s="36">
        <f t="shared" si="5"/>
        <v>1</v>
      </c>
      <c r="C110" s="190">
        <f t="shared" si="6"/>
        <v>0</v>
      </c>
      <c r="D110" s="190"/>
      <c r="E110" s="190"/>
      <c r="F110" s="188"/>
      <c r="G110" s="489"/>
      <c r="H110" s="192"/>
      <c r="I110" s="253"/>
      <c r="J110" s="253"/>
      <c r="K110" s="38"/>
      <c r="L110" s="193"/>
      <c r="M110" s="607"/>
      <c r="N110" s="39" t="str">
        <f>IF(AND('331-CT'!$E$7=TH!H110,OR(L110="331",M110="331")),"331",IF(AND(OR(L110="131",M110="131"),H110='131-CT'!$E$7),"131",""))</f>
        <v/>
      </c>
      <c r="O110" s="39" t="str">
        <f>IF(AND($B110&gt;='111'!$N$11,$B110&lt;='111'!$O$11,OR($L110=$O$7,$M110=$O$7)),"x","")</f>
        <v/>
      </c>
      <c r="P110" s="39" t="str">
        <f>IF(AND($L110=$O$7,$B110&lt;'111'!$N$11),"x","")</f>
        <v/>
      </c>
      <c r="Q110" s="39" t="str">
        <f>IF(AND($M110=$O$7,$B110&lt;'111'!$N$11),"x","")</f>
        <v/>
      </c>
      <c r="R110" s="39" t="str">
        <f>IF(ISERROR(FIND('112'!$M$9,G110,1)),"",IF((AND(FIND('112'!$M$9,G110,1)&gt;=1,$B110&gt;='112'!$N$8,$B110&lt;='112'!$O$8,OR($L110='112'!$I$6,$M110='112'!$I$6))),"x",""))</f>
        <v/>
      </c>
      <c r="S110" s="39" t="str">
        <f>IF(ISERROR(FIND('112'!$M$9,G110,1)),"",IF((AND(LEFT(G110,2)=LEFT('112'!$M$9,2),B110&lt;'112'!$N$8,$L110='112'!$I$6)),"x",""))</f>
        <v/>
      </c>
      <c r="T110" s="39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39" t="str">
        <f>IF(OR(TH!L110=TH!$V$7,M110=TH!$V$7),"x","")</f>
        <v/>
      </c>
      <c r="W110" s="39" t="str">
        <f>IF(AND(B110&gt;='IN-NX'!$P$3,B110&lt;='IN-NX'!$Q$3,'IN-NX'!$D$7=D110,OR(LEFT(L110,2)="15",AND(LEFT(M110,2)&lt;&gt;"15",LEFT(M110,2)&lt;&gt;"33"))),"x","")</f>
        <v/>
      </c>
      <c r="X110" s="39" t="str">
        <f>IF(AND(OR(LEFT(TH!L110,2)="15",LEFT(TH!M110,2)="15"),'152-CT'!$J$8=TH!F110),"x","")</f>
        <v/>
      </c>
      <c r="Y110" s="39" t="str">
        <f>IF(AND(OR(LEFT(TH!L110,2)="15",LEFT(TH!M110,2)="15"),TK!$E$7=TH!F110),"x","")</f>
        <v/>
      </c>
      <c r="Z110" s="39" t="str">
        <f>IF(AND(B110&lt;=NKC!$N$8,B110&gt;=NKC!$M$8),"x","")</f>
        <v/>
      </c>
      <c r="AA110" s="894"/>
      <c r="AB110" s="205"/>
      <c r="AC110" s="205"/>
      <c r="AD110" s="205"/>
    </row>
    <row r="111" spans="1:30" s="598" customFormat="1" ht="15.75" customHeight="1">
      <c r="A111" s="199" t="str">
        <f>IF(B111&lt;&gt;"",IF(AND(B111&gt;=_TM1,B111&lt;=_TM2,OR(TH!L111="1111",TH!M111="1111")),TH!D111,""),"")</f>
        <v/>
      </c>
      <c r="B111" s="36">
        <f t="shared" si="5"/>
        <v>1</v>
      </c>
      <c r="C111" s="190">
        <f t="shared" si="6"/>
        <v>0</v>
      </c>
      <c r="D111" s="190"/>
      <c r="E111" s="190"/>
      <c r="F111" s="188"/>
      <c r="G111" s="489"/>
      <c r="H111" s="192"/>
      <c r="I111" s="253"/>
      <c r="J111" s="253"/>
      <c r="K111" s="38"/>
      <c r="L111" s="193"/>
      <c r="M111" s="607"/>
      <c r="N111" s="39" t="str">
        <f>IF(AND('331-CT'!$E$7=TH!H111,OR(L111="331",M111="331")),"331",IF(AND(OR(L111="131",M111="131"),H111='131-CT'!$E$7),"131",""))</f>
        <v/>
      </c>
      <c r="O111" s="39" t="str">
        <f>IF(AND($B111&gt;='111'!$N$11,$B111&lt;='111'!$O$11,OR($L111=$O$7,$M111=$O$7)),"x","")</f>
        <v/>
      </c>
      <c r="P111" s="39" t="str">
        <f>IF(AND($L111=$O$7,$B111&lt;'111'!$N$11),"x","")</f>
        <v/>
      </c>
      <c r="Q111" s="39" t="str">
        <f>IF(AND($M111=$O$7,$B111&lt;'111'!$N$11),"x","")</f>
        <v/>
      </c>
      <c r="R111" s="39" t="str">
        <f>IF(ISERROR(FIND('112'!$M$9,G111,1)),"",IF((AND(FIND('112'!$M$9,G111,1)&gt;=1,$B111&gt;='112'!$N$8,$B111&lt;='112'!$O$8,OR($L111='112'!$I$6,$M111='112'!$I$6))),"x",""))</f>
        <v/>
      </c>
      <c r="S111" s="39" t="str">
        <f>IF(ISERROR(FIND('112'!$M$9,G111,1)),"",IF((AND(LEFT(G111,2)=LEFT('112'!$M$9,2),B111&lt;'112'!$N$8,$L111='112'!$I$6)),"x",""))</f>
        <v/>
      </c>
      <c r="T111" s="39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39" t="str">
        <f>IF(OR(TH!L111=TH!$V$7,M111=TH!$V$7),"x","")</f>
        <v/>
      </c>
      <c r="W111" s="39" t="str">
        <f>IF(AND(B111&gt;='IN-NX'!$P$3,B111&lt;='IN-NX'!$Q$3,'IN-NX'!$D$7=D111,OR(LEFT(L111,2)="15",AND(LEFT(M111,2)&lt;&gt;"15",LEFT(M111,2)&lt;&gt;"33"))),"x","")</f>
        <v/>
      </c>
      <c r="X111" s="39" t="str">
        <f>IF(AND(OR(LEFT(TH!L111,2)="15",LEFT(TH!M111,2)="15"),'152-CT'!$J$8=TH!F111),"x","")</f>
        <v/>
      </c>
      <c r="Y111" s="39" t="str">
        <f>IF(AND(OR(LEFT(TH!L111,2)="15",LEFT(TH!M111,2)="15"),TK!$E$7=TH!F111),"x","")</f>
        <v/>
      </c>
      <c r="Z111" s="39" t="str">
        <f>IF(AND(B111&lt;=NKC!$N$8,B111&gt;=NKC!$M$8),"x","")</f>
        <v/>
      </c>
      <c r="AA111" s="894"/>
      <c r="AB111" s="205"/>
      <c r="AC111" s="205"/>
      <c r="AD111" s="205"/>
    </row>
    <row r="112" spans="1:30" s="598" customFormat="1" ht="15.75" customHeight="1">
      <c r="A112" s="199" t="str">
        <f>IF(B112&lt;&gt;"",IF(AND(B112&gt;=_TM1,B112&lt;=_TM2,OR(TH!L112="1111",TH!M112="1111")),TH!D112,""),"")</f>
        <v/>
      </c>
      <c r="B112" s="36">
        <f t="shared" si="5"/>
        <v>1</v>
      </c>
      <c r="C112" s="190">
        <f t="shared" si="6"/>
        <v>0</v>
      </c>
      <c r="D112" s="190"/>
      <c r="E112" s="190"/>
      <c r="F112" s="188"/>
      <c r="G112" s="489"/>
      <c r="H112" s="192"/>
      <c r="I112" s="253"/>
      <c r="J112" s="253"/>
      <c r="K112" s="38"/>
      <c r="L112" s="193"/>
      <c r="M112" s="607"/>
      <c r="N112" s="39" t="str">
        <f>IF(AND('331-CT'!$E$7=TH!H112,OR(L112="331",M112="331")),"331",IF(AND(OR(L112="131",M112="131"),H112='131-CT'!$E$7),"131",""))</f>
        <v/>
      </c>
      <c r="O112" s="39" t="str">
        <f>IF(AND($B112&gt;='111'!$N$11,$B112&lt;='111'!$O$11,OR($L112=$O$7,$M112=$O$7)),"x","")</f>
        <v/>
      </c>
      <c r="P112" s="39" t="str">
        <f>IF(AND($L112=$O$7,$B112&lt;'111'!$N$11),"x","")</f>
        <v/>
      </c>
      <c r="Q112" s="39" t="str">
        <f>IF(AND($M112=$O$7,$B112&lt;'111'!$N$11),"x","")</f>
        <v/>
      </c>
      <c r="R112" s="39" t="str">
        <f>IF(ISERROR(FIND('112'!$M$9,G112,1)),"",IF((AND(FIND('112'!$M$9,G112,1)&gt;=1,$B112&gt;='112'!$N$8,$B112&lt;='112'!$O$8,OR($L112='112'!$I$6,$M112='112'!$I$6))),"x",""))</f>
        <v/>
      </c>
      <c r="S112" s="39" t="str">
        <f>IF(ISERROR(FIND('112'!$M$9,G112,1)),"",IF((AND(LEFT(G112,2)=LEFT('112'!$M$9,2),B112&lt;'112'!$N$8,$L112='112'!$I$6)),"x",""))</f>
        <v/>
      </c>
      <c r="T112" s="39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39" t="str">
        <f>IF(OR(TH!L112=TH!$V$7,M112=TH!$V$7),"x","")</f>
        <v/>
      </c>
      <c r="W112" s="39" t="str">
        <f>IF(AND(B112&gt;='IN-NX'!$P$3,B112&lt;='IN-NX'!$Q$3,'IN-NX'!$D$7=D112,OR(LEFT(L112,2)="15",AND(LEFT(M112,2)&lt;&gt;"15",LEFT(M112,2)&lt;&gt;"33"))),"x","")</f>
        <v/>
      </c>
      <c r="X112" s="39" t="str">
        <f>IF(AND(OR(LEFT(TH!L112,2)="15",LEFT(TH!M112,2)="15"),'152-CT'!$J$8=TH!F112),"x","")</f>
        <v/>
      </c>
      <c r="Y112" s="39" t="str">
        <f>IF(AND(OR(LEFT(TH!L112,2)="15",LEFT(TH!M112,2)="15"),TK!$E$7=TH!F112),"x","")</f>
        <v/>
      </c>
      <c r="Z112" s="39" t="str">
        <f>IF(AND(B112&lt;=NKC!$N$8,B112&gt;=NKC!$M$8),"x","")</f>
        <v/>
      </c>
      <c r="AA112" s="894"/>
      <c r="AB112" s="205"/>
      <c r="AC112" s="205"/>
      <c r="AD112" s="205"/>
    </row>
    <row r="113" spans="1:30" s="598" customFormat="1" ht="15.75" customHeight="1">
      <c r="A113" s="199" t="str">
        <f>IF(B113&lt;&gt;"",IF(AND(B113&gt;=_TM1,B113&lt;=_TM2,OR(TH!L113="1111",TH!M113="1111")),TH!D113,""),"")</f>
        <v/>
      </c>
      <c r="B113" s="36">
        <f t="shared" si="5"/>
        <v>1</v>
      </c>
      <c r="C113" s="190">
        <f t="shared" si="6"/>
        <v>0</v>
      </c>
      <c r="D113" s="190"/>
      <c r="E113" s="190"/>
      <c r="F113" s="191"/>
      <c r="G113" s="489"/>
      <c r="H113" s="7"/>
      <c r="I113" s="253"/>
      <c r="J113" s="253"/>
      <c r="K113" s="38"/>
      <c r="L113" s="193"/>
      <c r="M113" s="607"/>
      <c r="N113" s="39" t="str">
        <f>IF(AND('331-CT'!$E$7=TH!H113,OR(L113="331",M113="331")),"331",IF(AND(OR(L113="131",M113="131"),H113='131-CT'!$E$7),"131",""))</f>
        <v/>
      </c>
      <c r="O113" s="39" t="str">
        <f>IF(AND($B113&gt;='111'!$N$11,$B113&lt;='111'!$O$11,OR($L113=$O$7,$M113=$O$7)),"x","")</f>
        <v/>
      </c>
      <c r="P113" s="39" t="str">
        <f>IF(AND($L113=$O$7,$B113&lt;'111'!$N$11),"x","")</f>
        <v/>
      </c>
      <c r="Q113" s="39" t="str">
        <f>IF(AND($M113=$O$7,$B113&lt;'111'!$N$11),"x","")</f>
        <v/>
      </c>
      <c r="R113" s="39" t="str">
        <f>IF(ISERROR(FIND('112'!$M$9,G113,1)),"",IF((AND(FIND('112'!$M$9,G113,1)&gt;=1,$B113&gt;='112'!$N$8,$B113&lt;='112'!$O$8,OR($L113='112'!$I$6,$M113='112'!$I$6))),"x",""))</f>
        <v/>
      </c>
      <c r="S113" s="39" t="str">
        <f>IF(ISERROR(FIND('112'!$M$9,G113,1)),"",IF((AND(LEFT(G113,2)=LEFT('112'!$M$9,2),B113&lt;'112'!$N$8,$L113='112'!$I$6)),"x",""))</f>
        <v/>
      </c>
      <c r="T113" s="39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39" t="str">
        <f>IF(OR(TH!L113=TH!$V$7,M113=TH!$V$7),"x","")</f>
        <v/>
      </c>
      <c r="W113" s="39" t="str">
        <f>IF(AND(B113&gt;='IN-NX'!$P$3,B113&lt;='IN-NX'!$Q$3,'IN-NX'!$D$7=D113,OR(LEFT(L113,2)="15",AND(LEFT(M113,2)&lt;&gt;"15",LEFT(M113,2)&lt;&gt;"33"))),"x","")</f>
        <v/>
      </c>
      <c r="X113" s="39" t="str">
        <f>IF(AND(OR(LEFT(TH!L113,2)="15",LEFT(TH!M113,2)="15"),'152-CT'!$J$8=TH!F113),"x","")</f>
        <v/>
      </c>
      <c r="Y113" s="39" t="str">
        <f>IF(AND(OR(LEFT(TH!L113,2)="15",LEFT(TH!M113,2)="15"),TK!$E$7=TH!F113),"x","")</f>
        <v/>
      </c>
      <c r="Z113" s="39" t="str">
        <f>IF(AND(B113&lt;=NKC!$N$8,B113&gt;=NKC!$M$8),"x","")</f>
        <v/>
      </c>
      <c r="AA113" s="894"/>
      <c r="AB113" s="205"/>
      <c r="AC113" s="205"/>
      <c r="AD113" s="205"/>
    </row>
    <row r="114" spans="1:30" s="598" customFormat="1" ht="15.75" customHeight="1">
      <c r="A114" s="199" t="str">
        <f>IF(B114&lt;&gt;"",IF(AND(B114&gt;=_TM1,B114&lt;=_TM2,OR(TH!L114="1111",TH!M114="1111")),TH!D114,""),"")</f>
        <v/>
      </c>
      <c r="B114" s="36">
        <f t="shared" si="5"/>
        <v>1</v>
      </c>
      <c r="C114" s="190">
        <f t="shared" si="6"/>
        <v>0</v>
      </c>
      <c r="D114" s="190"/>
      <c r="E114" s="190"/>
      <c r="F114" s="191"/>
      <c r="G114" s="489"/>
      <c r="H114" s="7"/>
      <c r="I114" s="253"/>
      <c r="J114" s="253"/>
      <c r="K114" s="38"/>
      <c r="L114" s="193"/>
      <c r="M114" s="607"/>
      <c r="N114" s="39" t="str">
        <f>IF(AND('331-CT'!$E$7=TH!H114,OR(L114="331",M114="331")),"331",IF(AND(OR(L114="131",M114="131"),H114='131-CT'!$E$7),"131",""))</f>
        <v/>
      </c>
      <c r="O114" s="39" t="str">
        <f>IF(AND($B114&gt;='111'!$N$11,$B114&lt;='111'!$O$11,OR($L114=$O$7,$M114=$O$7)),"x","")</f>
        <v/>
      </c>
      <c r="P114" s="39" t="str">
        <f>IF(AND($L114=$O$7,$B114&lt;'111'!$N$11),"x","")</f>
        <v/>
      </c>
      <c r="Q114" s="39" t="str">
        <f>IF(AND($M114=$O$7,$B114&lt;'111'!$N$11),"x","")</f>
        <v/>
      </c>
      <c r="R114" s="39" t="str">
        <f>IF(ISERROR(FIND('112'!$M$9,G114,1)),"",IF((AND(FIND('112'!$M$9,G114,1)&gt;=1,$B114&gt;='112'!$N$8,$B114&lt;='112'!$O$8,OR($L114='112'!$I$6,$M114='112'!$I$6))),"x",""))</f>
        <v/>
      </c>
      <c r="S114" s="39" t="str">
        <f>IF(ISERROR(FIND('112'!$M$9,G114,1)),"",IF((AND(LEFT(G114,2)=LEFT('112'!$M$9,2),B114&lt;'112'!$N$8,$L114='112'!$I$6)),"x",""))</f>
        <v/>
      </c>
      <c r="T114" s="39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39" t="str">
        <f>IF(OR(TH!L114=TH!$V$7,M114=TH!$V$7),"x","")</f>
        <v/>
      </c>
      <c r="W114" s="39" t="str">
        <f>IF(AND(B114&gt;='IN-NX'!$P$3,B114&lt;='IN-NX'!$Q$3,'IN-NX'!$D$7=D114,OR(LEFT(L114,2)="15",AND(LEFT(M114,2)&lt;&gt;"15",LEFT(M114,2)&lt;&gt;"33"))),"x","")</f>
        <v/>
      </c>
      <c r="X114" s="39" t="str">
        <f>IF(AND(OR(LEFT(TH!L114,2)="15",LEFT(TH!M114,2)="15"),'152-CT'!$J$8=TH!F114),"x","")</f>
        <v/>
      </c>
      <c r="Y114" s="39" t="str">
        <f>IF(AND(OR(LEFT(TH!L114,2)="15",LEFT(TH!M114,2)="15"),TK!$E$7=TH!F114),"x","")</f>
        <v/>
      </c>
      <c r="Z114" s="39" t="str">
        <f>IF(AND(B114&lt;=NKC!$N$8,B114&gt;=NKC!$M$8),"x","")</f>
        <v/>
      </c>
      <c r="AA114" s="894"/>
      <c r="AB114" s="205"/>
      <c r="AC114" s="205"/>
      <c r="AD114" s="205"/>
    </row>
    <row r="115" spans="1:30" ht="15.75" customHeight="1">
      <c r="A115" s="199" t="str">
        <f>IF(B115&lt;&gt;"",IF(AND(B115&gt;=_TM1,B115&lt;=_TM2,OR(TH!L115="1111",TH!M115="1111")),TH!D115,""),"")</f>
        <v/>
      </c>
      <c r="B115" s="36">
        <f t="shared" si="5"/>
        <v>1</v>
      </c>
      <c r="C115" s="190">
        <f t="shared" si="6"/>
        <v>0</v>
      </c>
      <c r="D115" s="190"/>
      <c r="E115" s="190"/>
      <c r="F115" s="191"/>
      <c r="G115" s="489"/>
      <c r="H115" s="45"/>
      <c r="I115" s="254"/>
      <c r="J115" s="254"/>
      <c r="K115" s="38"/>
      <c r="L115" s="193"/>
      <c r="M115" s="607"/>
      <c r="N115" s="39" t="str">
        <f>IF(AND('331-CT'!$E$7=TH!H115,OR(L115="331",M115="331")),"331",IF(AND(OR(L115="131",M115="131"),H115='131-CT'!$E$7),"131",""))</f>
        <v/>
      </c>
      <c r="O115" s="39" t="str">
        <f>IF(AND($B115&gt;='111'!$N$11,$B115&lt;='111'!$O$11,OR($L115=$O$7,$M115=$O$7)),"x","")</f>
        <v/>
      </c>
      <c r="P115" s="39" t="str">
        <f>IF(AND($L115=$O$7,$B115&lt;'111'!$N$11),"x","")</f>
        <v/>
      </c>
      <c r="Q115" s="39" t="str">
        <f>IF(AND($M115=$O$7,$B115&lt;'111'!$N$11),"x","")</f>
        <v/>
      </c>
      <c r="R115" s="39" t="str">
        <f>IF(ISERROR(FIND('112'!$M$9,G115,1)),"",IF((AND(FIND('112'!$M$9,G115,1)&gt;=1,$B115&gt;='112'!$N$8,$B115&lt;='112'!$O$8,OR($L115='112'!$I$6,$M115='112'!$I$6))),"x",""))</f>
        <v/>
      </c>
      <c r="S115" s="39" t="str">
        <f>IF(ISERROR(FIND('112'!$M$9,G115,1)),"",IF((AND(LEFT(G115,2)=LEFT('112'!$M$9,2),B115&lt;'112'!$N$8,$L115='112'!$I$6)),"x",""))</f>
        <v/>
      </c>
      <c r="T115" s="39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39" t="str">
        <f>IF(OR(TH!L115=TH!$V$7,M115=TH!$V$7),"x","")</f>
        <v/>
      </c>
      <c r="W115" s="39" t="str">
        <f>IF(AND(B115&gt;='IN-NX'!$P$3,B115&lt;='IN-NX'!$Q$3,'IN-NX'!$D$7=D115,OR(LEFT(L115,2)="15",AND(LEFT(M115,2)&lt;&gt;"15",LEFT(M115,2)&lt;&gt;"33"))),"x","")</f>
        <v/>
      </c>
      <c r="X115" s="39" t="str">
        <f>IF(AND(OR(LEFT(TH!L115,2)="15",LEFT(TH!M115,2)="15"),'152-CT'!$J$8=TH!F115),"x","")</f>
        <v/>
      </c>
      <c r="Y115" s="39" t="str">
        <f>IF(AND(OR(LEFT(TH!L115,2)="15",LEFT(TH!M115,2)="15"),TK!$E$7=TH!F115),"x","")</f>
        <v/>
      </c>
      <c r="Z115" s="39" t="str">
        <f>IF(AND(B115&lt;=NKC!$N$8,B115&gt;=NKC!$M$8),"x","")</f>
        <v/>
      </c>
      <c r="AA115" s="894"/>
      <c r="AB115" s="598"/>
      <c r="AC115" s="598"/>
      <c r="AD115" s="598"/>
    </row>
    <row r="116" spans="1:30" ht="15.75" customHeight="1">
      <c r="A116" s="199" t="str">
        <f>IF(B116&lt;&gt;"",IF(AND(B116&gt;=_TM1,B116&lt;=_TM2,OR(TH!L116="1111",TH!M116="1111")),TH!D116,""),"")</f>
        <v/>
      </c>
      <c r="B116" s="36">
        <f t="shared" si="5"/>
        <v>1</v>
      </c>
      <c r="C116" s="190">
        <f t="shared" si="6"/>
        <v>0</v>
      </c>
      <c r="D116" s="190"/>
      <c r="E116" s="190"/>
      <c r="F116" s="191"/>
      <c r="G116" s="489"/>
      <c r="H116" s="7"/>
      <c r="I116" s="254"/>
      <c r="J116" s="254"/>
      <c r="K116" s="38"/>
      <c r="L116" s="193"/>
      <c r="M116" s="607"/>
      <c r="N116" s="39" t="str">
        <f>IF(AND('331-CT'!$E$7=TH!H116,OR(L116="331",M116="331")),"331",IF(AND(OR(L116="131",M116="131"),H116='131-CT'!$E$7),"131",""))</f>
        <v/>
      </c>
      <c r="O116" s="39" t="str">
        <f>IF(AND($B116&gt;='111'!$N$11,$B116&lt;='111'!$O$11,OR($L116=$O$7,$M116=$O$7)),"x","")</f>
        <v/>
      </c>
      <c r="P116" s="39" t="str">
        <f>IF(AND($L116=$O$7,$B116&lt;'111'!$N$11),"x","")</f>
        <v/>
      </c>
      <c r="Q116" s="39" t="str">
        <f>IF(AND($M116=$O$7,$B116&lt;'111'!$N$11),"x","")</f>
        <v/>
      </c>
      <c r="R116" s="39" t="str">
        <f>IF(ISERROR(FIND('112'!$M$9,G116,1)),"",IF((AND(FIND('112'!$M$9,G116,1)&gt;=1,$B116&gt;='112'!$N$8,$B116&lt;='112'!$O$8,OR($L116='112'!$I$6,$M116='112'!$I$6))),"x",""))</f>
        <v/>
      </c>
      <c r="S116" s="39" t="str">
        <f>IF(ISERROR(FIND('112'!$M$9,G116,1)),"",IF((AND(LEFT(G116,2)=LEFT('112'!$M$9,2),B116&lt;'112'!$N$8,$L116='112'!$I$6)),"x",""))</f>
        <v/>
      </c>
      <c r="T116" s="39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39" t="str">
        <f>IF(OR(TH!L116=TH!$V$7,M116=TH!$V$7),"x","")</f>
        <v/>
      </c>
      <c r="W116" s="39" t="str">
        <f>IF(AND(B116&gt;='IN-NX'!$P$3,B116&lt;='IN-NX'!$Q$3,'IN-NX'!$D$7=D116,OR(LEFT(L116,2)="15",AND(LEFT(M116,2)&lt;&gt;"15",LEFT(M116,2)&lt;&gt;"33"))),"x","")</f>
        <v/>
      </c>
      <c r="X116" s="39" t="str">
        <f>IF(AND(OR(LEFT(TH!L116,2)="15",LEFT(TH!M116,2)="15"),'152-CT'!$J$8=TH!F116),"x","")</f>
        <v/>
      </c>
      <c r="Y116" s="39" t="str">
        <f>IF(AND(OR(LEFT(TH!L116,2)="15",LEFT(TH!M116,2)="15"),TK!$E$7=TH!F116),"x","")</f>
        <v/>
      </c>
      <c r="Z116" s="39" t="str">
        <f>IF(AND(B116&lt;=NKC!$N$8,B116&gt;=NKC!$M$8),"x","")</f>
        <v/>
      </c>
      <c r="AA116" s="894"/>
      <c r="AB116" s="598"/>
      <c r="AC116" s="598"/>
      <c r="AD116" s="598"/>
    </row>
    <row r="117" spans="1:30" ht="15.75" customHeight="1">
      <c r="A117" s="199" t="str">
        <f>IF(B117&lt;&gt;"",IF(AND(B117&gt;=_TM1,B117&lt;=_TM2,OR(TH!L117="1111",TH!M117="1111")),TH!D117,""),"")</f>
        <v/>
      </c>
      <c r="B117" s="36">
        <f t="shared" si="5"/>
        <v>1</v>
      </c>
      <c r="C117" s="190">
        <f t="shared" si="6"/>
        <v>0</v>
      </c>
      <c r="D117" s="190"/>
      <c r="E117" s="190"/>
      <c r="F117" s="191"/>
      <c r="G117" s="489"/>
      <c r="H117" s="7"/>
      <c r="I117" s="253"/>
      <c r="J117" s="253"/>
      <c r="K117" s="38"/>
      <c r="L117" s="193"/>
      <c r="M117" s="607"/>
      <c r="N117" s="39" t="str">
        <f>IF(AND('331-CT'!$E$7=TH!H117,OR(L117="331",M117="331")),"331",IF(AND(OR(L117="131",M117="131"),H117='131-CT'!$E$7),"131",""))</f>
        <v/>
      </c>
      <c r="O117" s="39" t="str">
        <f>IF(AND($B117&gt;='111'!$N$11,$B117&lt;='111'!$O$11,OR($L117=$O$7,$M117=$O$7)),"x","")</f>
        <v/>
      </c>
      <c r="P117" s="39" t="str">
        <f>IF(AND($L117=$O$7,$B117&lt;'111'!$N$11),"x","")</f>
        <v/>
      </c>
      <c r="Q117" s="39" t="str">
        <f>IF(AND($M117=$O$7,$B117&lt;'111'!$N$11),"x","")</f>
        <v/>
      </c>
      <c r="R117" s="39" t="str">
        <f>IF(ISERROR(FIND('112'!$M$9,G117,1)),"",IF((AND(FIND('112'!$M$9,G117,1)&gt;=1,$B117&gt;='112'!$N$8,$B117&lt;='112'!$O$8,OR($L117='112'!$I$6,$M117='112'!$I$6))),"x",""))</f>
        <v/>
      </c>
      <c r="S117" s="39" t="str">
        <f>IF(ISERROR(FIND('112'!$M$9,G117,1)),"",IF((AND(LEFT(G117,2)=LEFT('112'!$M$9,2),B117&lt;'112'!$N$8,$L117='112'!$I$6)),"x",""))</f>
        <v/>
      </c>
      <c r="T117" s="39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39" t="str">
        <f>IF(OR(TH!L117=TH!$V$7,M117=TH!$V$7),"x","")</f>
        <v/>
      </c>
      <c r="W117" s="39" t="str">
        <f>IF(AND(B117&gt;='IN-NX'!$P$3,B117&lt;='IN-NX'!$Q$3,'IN-NX'!$D$7=D117,OR(LEFT(L117,2)="15",AND(LEFT(M117,2)&lt;&gt;"15",LEFT(M117,2)&lt;&gt;"33"))),"x","")</f>
        <v/>
      </c>
      <c r="X117" s="39" t="str">
        <f>IF(AND(OR(LEFT(TH!L117,2)="15",LEFT(TH!M117,2)="15"),'152-CT'!$J$8=TH!F117),"x","")</f>
        <v/>
      </c>
      <c r="Y117" s="39" t="str">
        <f>IF(AND(OR(LEFT(TH!L117,2)="15",LEFT(TH!M117,2)="15"),TK!$E$7=TH!F117),"x","")</f>
        <v/>
      </c>
      <c r="Z117" s="39" t="str">
        <f>IF(AND(B117&lt;=NKC!$N$8,B117&gt;=NKC!$M$8),"x","")</f>
        <v/>
      </c>
      <c r="AA117" s="894"/>
    </row>
    <row r="118" spans="1:30" ht="15.75" customHeight="1">
      <c r="A118" s="199" t="str">
        <f>IF(B118&lt;&gt;"",IF(AND(B118&gt;=_TM1,B118&lt;=_TM2,OR(TH!L118="1111",TH!M118="1111")),TH!D118,""),"")</f>
        <v/>
      </c>
      <c r="B118" s="36">
        <f t="shared" si="5"/>
        <v>1</v>
      </c>
      <c r="C118" s="190">
        <f t="shared" si="6"/>
        <v>0</v>
      </c>
      <c r="D118" s="190"/>
      <c r="E118" s="190"/>
      <c r="F118" s="191"/>
      <c r="G118" s="489"/>
      <c r="H118" s="45"/>
      <c r="I118" s="254"/>
      <c r="J118" s="254"/>
      <c r="K118" s="38"/>
      <c r="L118" s="193"/>
      <c r="M118" s="607"/>
      <c r="N118" s="39" t="str">
        <f>IF(AND('331-CT'!$E$7=TH!H118,OR(L118="331",M118="331")),"331",IF(AND(OR(L118="131",M118="131"),H118='131-CT'!$E$7),"131",""))</f>
        <v/>
      </c>
      <c r="O118" s="39" t="str">
        <f>IF(AND($B118&gt;='111'!$N$11,$B118&lt;='111'!$O$11,OR($L118=$O$7,$M118=$O$7)),"x","")</f>
        <v/>
      </c>
      <c r="P118" s="39" t="str">
        <f>IF(AND($L118=$O$7,$B118&lt;'111'!$N$11),"x","")</f>
        <v/>
      </c>
      <c r="Q118" s="39" t="str">
        <f>IF(AND($M118=$O$7,$B118&lt;'111'!$N$11),"x","")</f>
        <v/>
      </c>
      <c r="R118" s="39" t="str">
        <f>IF(ISERROR(FIND('112'!$M$9,G118,1)),"",IF((AND(FIND('112'!$M$9,G118,1)&gt;=1,$B118&gt;='112'!$N$8,$B118&lt;='112'!$O$8,OR($L118='112'!$I$6,$M118='112'!$I$6))),"x",""))</f>
        <v/>
      </c>
      <c r="S118" s="39" t="str">
        <f>IF(ISERROR(FIND('112'!$M$9,G118,1)),"",IF((AND(LEFT(G118,2)=LEFT('112'!$M$9,2),B118&lt;'112'!$N$8,$L118='112'!$I$6)),"x",""))</f>
        <v/>
      </c>
      <c r="T118" s="39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39" t="str">
        <f>IF(OR(TH!L118=TH!$V$7,M118=TH!$V$7),"x","")</f>
        <v/>
      </c>
      <c r="W118" s="39" t="str">
        <f>IF(AND(B118&gt;='IN-NX'!$P$3,B118&lt;='IN-NX'!$Q$3,'IN-NX'!$D$7=D118,OR(LEFT(L118,2)="15",AND(LEFT(M118,2)&lt;&gt;"15",LEFT(M118,2)&lt;&gt;"33"))),"x","")</f>
        <v/>
      </c>
      <c r="X118" s="39" t="str">
        <f>IF(AND(OR(LEFT(TH!L118,2)="15",LEFT(TH!M118,2)="15"),'152-CT'!$J$8=TH!F118),"x","")</f>
        <v/>
      </c>
      <c r="Y118" s="39" t="str">
        <f>IF(AND(OR(LEFT(TH!L118,2)="15",LEFT(TH!M118,2)="15"),TK!$E$7=TH!F118),"x","")</f>
        <v/>
      </c>
      <c r="Z118" s="39" t="str">
        <f>IF(AND(B118&lt;=NKC!$N$8,B118&gt;=NKC!$M$8),"x","")</f>
        <v/>
      </c>
      <c r="AA118" s="894"/>
    </row>
    <row r="119" spans="1:30" ht="15.75" customHeight="1">
      <c r="A119" s="199" t="str">
        <f>IF(B119&lt;&gt;"",IF(AND(B119&gt;=_TM1,B119&lt;=_TM2,OR(TH!L119="1111",TH!M119="1111")),TH!D119,""),"")</f>
        <v/>
      </c>
      <c r="B119" s="36">
        <f t="shared" si="5"/>
        <v>1</v>
      </c>
      <c r="C119" s="190">
        <f t="shared" si="6"/>
        <v>0</v>
      </c>
      <c r="D119" s="190"/>
      <c r="E119" s="190"/>
      <c r="F119" s="191"/>
      <c r="G119" s="489"/>
      <c r="H119" s="7"/>
      <c r="I119" s="253"/>
      <c r="J119" s="253"/>
      <c r="K119" s="38"/>
      <c r="L119" s="193"/>
      <c r="M119" s="607"/>
      <c r="N119" s="39" t="str">
        <f>IF(AND('331-CT'!$E$7=TH!H119,OR(L119="331",M119="331")),"331",IF(AND(OR(L119="131",M119="131"),H119='131-CT'!$E$7),"131",""))</f>
        <v/>
      </c>
      <c r="O119" s="39" t="str">
        <f>IF(AND($B119&gt;='111'!$N$11,$B119&lt;='111'!$O$11,OR($L119=$O$7,$M119=$O$7)),"x","")</f>
        <v/>
      </c>
      <c r="P119" s="39" t="str">
        <f>IF(AND($L119=$O$7,$B119&lt;'111'!$N$11),"x","")</f>
        <v/>
      </c>
      <c r="Q119" s="39" t="str">
        <f>IF(AND($M119=$O$7,$B119&lt;'111'!$N$11),"x","")</f>
        <v/>
      </c>
      <c r="R119" s="39" t="str">
        <f>IF(ISERROR(FIND('112'!$M$9,G119,1)),"",IF((AND(FIND('112'!$M$9,G119,1)&gt;=1,$B119&gt;='112'!$N$8,$B119&lt;='112'!$O$8,OR($L119='112'!$I$6,$M119='112'!$I$6))),"x",""))</f>
        <v/>
      </c>
      <c r="S119" s="39" t="str">
        <f>IF(ISERROR(FIND('112'!$M$9,G119,1)),"",IF((AND(LEFT(G119,2)=LEFT('112'!$M$9,2),B119&lt;'112'!$N$8,$L119='112'!$I$6)),"x",""))</f>
        <v/>
      </c>
      <c r="T119" s="39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39" t="str">
        <f>IF(OR(TH!L119=TH!$V$7,M119=TH!$V$7),"x","")</f>
        <v/>
      </c>
      <c r="W119" s="39" t="str">
        <f>IF(AND(B119&gt;='IN-NX'!$P$3,B119&lt;='IN-NX'!$Q$3,'IN-NX'!$D$7=D119,OR(LEFT(L119,2)="15",AND(LEFT(M119,2)&lt;&gt;"15",LEFT(M119,2)&lt;&gt;"33"))),"x","")</f>
        <v/>
      </c>
      <c r="X119" s="39" t="str">
        <f>IF(AND(OR(LEFT(TH!L119,2)="15",LEFT(TH!M119,2)="15"),'152-CT'!$J$8=TH!F119),"x","")</f>
        <v/>
      </c>
      <c r="Y119" s="39" t="str">
        <f>IF(AND(OR(LEFT(TH!L119,2)="15",LEFT(TH!M119,2)="15"),TK!$E$7=TH!F119),"x","")</f>
        <v/>
      </c>
      <c r="Z119" s="39" t="str">
        <f>IF(AND(B119&lt;=NKC!$N$8,B119&gt;=NKC!$M$8),"x","")</f>
        <v/>
      </c>
      <c r="AA119" s="894"/>
    </row>
    <row r="120" spans="1:30" ht="15.75" customHeight="1">
      <c r="A120" s="199" t="str">
        <f>IF(B120&lt;&gt;"",IF(AND(B120&gt;=_TM1,B120&lt;=_TM2,OR(TH!L120="1111",TH!M120="1111")),TH!D120,""),"")</f>
        <v/>
      </c>
      <c r="B120" s="36">
        <f t="shared" si="5"/>
        <v>1</v>
      </c>
      <c r="C120" s="190">
        <f t="shared" si="6"/>
        <v>0</v>
      </c>
      <c r="D120" s="190"/>
      <c r="E120" s="190"/>
      <c r="F120" s="191"/>
      <c r="G120" s="489"/>
      <c r="H120" s="45"/>
      <c r="I120" s="253"/>
      <c r="J120" s="253"/>
      <c r="K120" s="38"/>
      <c r="L120" s="193"/>
      <c r="M120" s="607"/>
      <c r="N120" s="39" t="str">
        <f>IF(AND('331-CT'!$E$7=TH!H120,OR(L120="331",M120="331")),"331",IF(AND(OR(L120="131",M120="131"),H120='131-CT'!$E$7),"131",""))</f>
        <v/>
      </c>
      <c r="O120" s="39" t="str">
        <f>IF(AND($B120&gt;='111'!$N$11,$B120&lt;='111'!$O$11,OR($L120=$O$7,$M120=$O$7)),"x","")</f>
        <v/>
      </c>
      <c r="P120" s="39" t="str">
        <f>IF(AND($L120=$O$7,$B120&lt;'111'!$N$11),"x","")</f>
        <v/>
      </c>
      <c r="Q120" s="39" t="str">
        <f>IF(AND($M120=$O$7,$B120&lt;'111'!$N$11),"x","")</f>
        <v/>
      </c>
      <c r="R120" s="39" t="str">
        <f>IF(ISERROR(FIND('112'!$M$9,G120,1)),"",IF((AND(FIND('112'!$M$9,G120,1)&gt;=1,$B120&gt;='112'!$N$8,$B120&lt;='112'!$O$8,OR($L120='112'!$I$6,$M120='112'!$I$6))),"x",""))</f>
        <v/>
      </c>
      <c r="S120" s="39" t="str">
        <f>IF(ISERROR(FIND('112'!$M$9,G120,1)),"",IF((AND(LEFT(G120,2)=LEFT('112'!$M$9,2),B120&lt;'112'!$N$8,$L120='112'!$I$6)),"x",""))</f>
        <v/>
      </c>
      <c r="T120" s="39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39" t="str">
        <f>IF(OR(TH!L120=TH!$V$7,M120=TH!$V$7),"x","")</f>
        <v/>
      </c>
      <c r="W120" s="39" t="str">
        <f>IF(AND(B120&gt;='IN-NX'!$P$3,B120&lt;='IN-NX'!$Q$3,'IN-NX'!$D$7=D120,OR(LEFT(L120,2)="15",AND(LEFT(M120,2)&lt;&gt;"15",LEFT(M120,2)&lt;&gt;"33"))),"x","")</f>
        <v/>
      </c>
      <c r="X120" s="39" t="str">
        <f>IF(AND(OR(LEFT(TH!L120,2)="15",LEFT(TH!M120,2)="15"),'152-CT'!$J$8=TH!F120),"x","")</f>
        <v/>
      </c>
      <c r="Y120" s="39" t="str">
        <f>IF(AND(OR(LEFT(TH!L120,2)="15",LEFT(TH!M120,2)="15"),TK!$E$7=TH!F120),"x","")</f>
        <v/>
      </c>
      <c r="Z120" s="39" t="str">
        <f>IF(AND(B120&lt;=NKC!$N$8,B120&gt;=NKC!$M$8),"x","")</f>
        <v/>
      </c>
      <c r="AA120" s="894"/>
    </row>
    <row r="121" spans="1:30" ht="15.75" customHeight="1">
      <c r="A121" s="199" t="str">
        <f>IF(B121&lt;&gt;"",IF(AND(B121&gt;=_TM1,B121&lt;=_TM2,OR(TH!L121="1111",TH!M121="1111")),TH!D121,""),"")</f>
        <v/>
      </c>
      <c r="B121" s="36">
        <f t="shared" si="5"/>
        <v>1</v>
      </c>
      <c r="C121" s="190">
        <f t="shared" si="6"/>
        <v>0</v>
      </c>
      <c r="D121" s="190"/>
      <c r="E121" s="190"/>
      <c r="F121" s="191"/>
      <c r="G121" s="489"/>
      <c r="H121" s="45"/>
      <c r="I121" s="253"/>
      <c r="J121" s="253"/>
      <c r="K121" s="38"/>
      <c r="L121" s="193"/>
      <c r="M121" s="607"/>
      <c r="N121" s="39" t="str">
        <f>IF(AND('331-CT'!$E$7=TH!H121,OR(L121="331",M121="331")),"331",IF(AND(OR(L121="131",M121="131"),H121='131-CT'!$E$7),"131",""))</f>
        <v/>
      </c>
      <c r="O121" s="39" t="str">
        <f>IF(AND($B121&gt;='111'!$N$11,$B121&lt;='111'!$O$11,OR($L121=$O$7,$M121=$O$7)),"x","")</f>
        <v/>
      </c>
      <c r="P121" s="39" t="str">
        <f>IF(AND($L121=$O$7,$B121&lt;'111'!$N$11),"x","")</f>
        <v/>
      </c>
      <c r="Q121" s="39" t="str">
        <f>IF(AND($M121=$O$7,$B121&lt;'111'!$N$11),"x","")</f>
        <v/>
      </c>
      <c r="R121" s="39" t="str">
        <f>IF(ISERROR(FIND('112'!$M$9,G121,1)),"",IF((AND(FIND('112'!$M$9,G121,1)&gt;=1,$B121&gt;='112'!$N$8,$B121&lt;='112'!$O$8,OR($L121='112'!$I$6,$M121='112'!$I$6))),"x",""))</f>
        <v/>
      </c>
      <c r="S121" s="39" t="str">
        <f>IF(ISERROR(FIND('112'!$M$9,G121,1)),"",IF((AND(LEFT(G121,2)=LEFT('112'!$M$9,2),B121&lt;'112'!$N$8,$L121='112'!$I$6)),"x",""))</f>
        <v/>
      </c>
      <c r="T121" s="39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39" t="str">
        <f>IF(OR(TH!L121=TH!$V$7,M121=TH!$V$7),"x","")</f>
        <v/>
      </c>
      <c r="W121" s="39" t="str">
        <f>IF(AND(B121&gt;='IN-NX'!$P$3,B121&lt;='IN-NX'!$Q$3,'IN-NX'!$D$7=D121,OR(LEFT(L121,2)="15",AND(LEFT(M121,2)&lt;&gt;"15",LEFT(M121,2)&lt;&gt;"33"))),"x","")</f>
        <v/>
      </c>
      <c r="X121" s="39" t="str">
        <f>IF(AND(OR(LEFT(TH!L121,2)="15",LEFT(TH!M121,2)="15"),'152-CT'!$J$8=TH!F121),"x","")</f>
        <v/>
      </c>
      <c r="Y121" s="39" t="str">
        <f>IF(AND(OR(LEFT(TH!L121,2)="15",LEFT(TH!M121,2)="15"),TK!$E$7=TH!F121),"x","")</f>
        <v/>
      </c>
      <c r="Z121" s="39" t="str">
        <f>IF(AND(B121&lt;=NKC!$N$8,B121&gt;=NKC!$M$8),"x","")</f>
        <v/>
      </c>
      <c r="AA121" s="894"/>
    </row>
    <row r="122" spans="1:30" ht="15.75" customHeight="1">
      <c r="A122" s="199" t="str">
        <f>IF(B122&lt;&gt;"",IF(AND(B122&gt;=_TM1,B122&lt;=_TM2,OR(TH!L122="1111",TH!M122="1111")),TH!D122,""),"")</f>
        <v/>
      </c>
      <c r="B122" s="36">
        <f t="shared" si="5"/>
        <v>1</v>
      </c>
      <c r="C122" s="190">
        <f t="shared" si="6"/>
        <v>0</v>
      </c>
      <c r="D122" s="190"/>
      <c r="E122" s="190"/>
      <c r="F122" s="191"/>
      <c r="G122" s="489"/>
      <c r="H122" s="45"/>
      <c r="I122" s="253"/>
      <c r="J122" s="253"/>
      <c r="K122" s="38"/>
      <c r="L122" s="193"/>
      <c r="M122" s="607"/>
      <c r="N122" s="39" t="str">
        <f>IF(AND('331-CT'!$E$7=TH!H122,OR(L122="331",M122="331")),"331",IF(AND(OR(L122="131",M122="131"),H122='131-CT'!$E$7),"131",""))</f>
        <v/>
      </c>
      <c r="O122" s="39" t="str">
        <f>IF(AND($B122&gt;='111'!$N$11,$B122&lt;='111'!$O$11,OR($L122=$O$7,$M122=$O$7)),"x","")</f>
        <v/>
      </c>
      <c r="P122" s="39" t="str">
        <f>IF(AND($L122=$O$7,$B122&lt;'111'!$N$11),"x","")</f>
        <v/>
      </c>
      <c r="Q122" s="39" t="str">
        <f>IF(AND($M122=$O$7,$B122&lt;'111'!$N$11),"x","")</f>
        <v/>
      </c>
      <c r="R122" s="39" t="str">
        <f>IF(ISERROR(FIND('112'!$M$9,G122,1)),"",IF((AND(FIND('112'!$M$9,G122,1)&gt;=1,$B122&gt;='112'!$N$8,$B122&lt;='112'!$O$8,OR($L122='112'!$I$6,$M122='112'!$I$6))),"x",""))</f>
        <v/>
      </c>
      <c r="S122" s="39" t="str">
        <f>IF(ISERROR(FIND('112'!$M$9,G122,1)),"",IF((AND(LEFT(G122,2)=LEFT('112'!$M$9,2),B122&lt;'112'!$N$8,$L122='112'!$I$6)),"x",""))</f>
        <v/>
      </c>
      <c r="T122" s="39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39" t="str">
        <f>IF(OR(TH!L122=TH!$V$7,M122=TH!$V$7),"x","")</f>
        <v/>
      </c>
      <c r="W122" s="39" t="str">
        <f>IF(AND(B122&gt;='IN-NX'!$P$3,B122&lt;='IN-NX'!$Q$3,'IN-NX'!$D$7=D122,OR(LEFT(L122,2)="15",AND(LEFT(M122,2)&lt;&gt;"15",LEFT(M122,2)&lt;&gt;"33"))),"x","")</f>
        <v/>
      </c>
      <c r="X122" s="39" t="str">
        <f>IF(AND(OR(LEFT(TH!L122,2)="15",LEFT(TH!M122,2)="15"),'152-CT'!$J$8=TH!F122),"x","")</f>
        <v/>
      </c>
      <c r="Y122" s="39" t="str">
        <f>IF(AND(OR(LEFT(TH!L122,2)="15",LEFT(TH!M122,2)="15"),TK!$E$7=TH!F122),"x","")</f>
        <v/>
      </c>
      <c r="Z122" s="39" t="str">
        <f>IF(AND(B122&lt;=NKC!$N$8,B122&gt;=NKC!$M$8),"x","")</f>
        <v/>
      </c>
      <c r="AA122" s="894"/>
    </row>
    <row r="123" spans="1:30" ht="15.75" customHeight="1">
      <c r="A123" s="199" t="str">
        <f>IF(B123&lt;&gt;"",IF(AND(B123&gt;=_TM1,B123&lt;=_TM2,OR(TH!L123="1111",TH!M123="1111")),TH!D123,""),"")</f>
        <v/>
      </c>
      <c r="B123" s="36">
        <f t="shared" si="5"/>
        <v>1</v>
      </c>
      <c r="C123" s="190">
        <f t="shared" si="6"/>
        <v>0</v>
      </c>
      <c r="D123" s="190"/>
      <c r="E123" s="190"/>
      <c r="F123" s="188"/>
      <c r="G123" s="489"/>
      <c r="H123" s="192"/>
      <c r="I123" s="253"/>
      <c r="J123" s="253"/>
      <c r="K123" s="38"/>
      <c r="L123" s="193"/>
      <c r="M123" s="607"/>
      <c r="N123" s="39" t="str">
        <f>IF(AND('331-CT'!$E$7=TH!H123,OR(L123="331",M123="331")),"331",IF(AND(OR(L123="131",M123="131"),H123='131-CT'!$E$7),"131",""))</f>
        <v/>
      </c>
      <c r="O123" s="39" t="str">
        <f>IF(AND($B123&gt;='111'!$N$11,$B123&lt;='111'!$O$11,OR($L123=$O$7,$M123=$O$7)),"x","")</f>
        <v/>
      </c>
      <c r="P123" s="39" t="str">
        <f>IF(AND($L123=$O$7,$B123&lt;'111'!$N$11),"x","")</f>
        <v/>
      </c>
      <c r="Q123" s="39" t="str">
        <f>IF(AND($M123=$O$7,$B123&lt;'111'!$N$11),"x","")</f>
        <v/>
      </c>
      <c r="R123" s="39" t="str">
        <f>IF(ISERROR(FIND('112'!$M$9,G123,1)),"",IF((AND(FIND('112'!$M$9,G123,1)&gt;=1,$B123&gt;='112'!$N$8,$B123&lt;='112'!$O$8,OR($L123='112'!$I$6,$M123='112'!$I$6))),"x",""))</f>
        <v/>
      </c>
      <c r="S123" s="39" t="str">
        <f>IF(ISERROR(FIND('112'!$M$9,G123,1)),"",IF((AND(LEFT(G123,2)=LEFT('112'!$M$9,2),B123&lt;'112'!$N$8,$L123='112'!$I$6)),"x",""))</f>
        <v/>
      </c>
      <c r="T123" s="39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39" t="str">
        <f>IF(OR(TH!L123=TH!$V$7,M123=TH!$V$7),"x","")</f>
        <v/>
      </c>
      <c r="W123" s="39" t="str">
        <f>IF(AND(B123&gt;='IN-NX'!$P$3,B123&lt;='IN-NX'!$Q$3,'IN-NX'!$D$7=D123,OR(LEFT(L123,2)="15",AND(LEFT(M123,2)&lt;&gt;"15",LEFT(M123,2)&lt;&gt;"33"))),"x","")</f>
        <v/>
      </c>
      <c r="X123" s="39" t="str">
        <f>IF(AND(OR(LEFT(TH!L123,2)="15",LEFT(TH!M123,2)="15"),'152-CT'!$J$8=TH!F123),"x","")</f>
        <v/>
      </c>
      <c r="Y123" s="39" t="str">
        <f>IF(AND(OR(LEFT(TH!L123,2)="15",LEFT(TH!M123,2)="15"),TK!$E$7=TH!F123),"x","")</f>
        <v/>
      </c>
      <c r="Z123" s="39" t="str">
        <f>IF(AND(B123&lt;=NKC!$N$8,B123&gt;=NKC!$M$8),"x","")</f>
        <v/>
      </c>
      <c r="AA123" s="894"/>
    </row>
    <row r="124" spans="1:30" ht="15.75" customHeight="1">
      <c r="A124" s="199" t="str">
        <f>IF(B124&lt;&gt;"",IF(AND(B124&gt;=_TM1,B124&lt;=_TM2,OR(TH!L124="1111",TH!M124="1111")),TH!D124,""),"")</f>
        <v/>
      </c>
      <c r="B124" s="36">
        <f t="shared" si="5"/>
        <v>1</v>
      </c>
      <c r="C124" s="190">
        <f t="shared" si="6"/>
        <v>0</v>
      </c>
      <c r="D124" s="190"/>
      <c r="E124" s="190"/>
      <c r="F124" s="188"/>
      <c r="G124" s="489"/>
      <c r="H124" s="192"/>
      <c r="I124" s="253"/>
      <c r="J124" s="253"/>
      <c r="K124" s="38"/>
      <c r="L124" s="193"/>
      <c r="M124" s="607"/>
      <c r="N124" s="39" t="str">
        <f>IF(AND('331-CT'!$E$7=TH!H124,OR(L124="331",M124="331")),"331",IF(AND(OR(L124="131",M124="131"),H124='131-CT'!$E$7),"131",""))</f>
        <v/>
      </c>
      <c r="O124" s="39" t="str">
        <f>IF(AND($B124&gt;='111'!$N$11,$B124&lt;='111'!$O$11,OR($L124=$O$7,$M124=$O$7)),"x","")</f>
        <v/>
      </c>
      <c r="P124" s="39" t="str">
        <f>IF(AND($L124=$O$7,$B124&lt;'111'!$N$11),"x","")</f>
        <v/>
      </c>
      <c r="Q124" s="39" t="str">
        <f>IF(AND($M124=$O$7,$B124&lt;'111'!$N$11),"x","")</f>
        <v/>
      </c>
      <c r="R124" s="39" t="str">
        <f>IF(ISERROR(FIND('112'!$M$9,G124,1)),"",IF((AND(FIND('112'!$M$9,G124,1)&gt;=1,$B124&gt;='112'!$N$8,$B124&lt;='112'!$O$8,OR($L124='112'!$I$6,$M124='112'!$I$6))),"x",""))</f>
        <v/>
      </c>
      <c r="S124" s="39" t="str">
        <f>IF(ISERROR(FIND('112'!$M$9,G124,1)),"",IF((AND(LEFT(G124,2)=LEFT('112'!$M$9,2),B124&lt;'112'!$N$8,$L124='112'!$I$6)),"x",""))</f>
        <v/>
      </c>
      <c r="T124" s="39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39" t="str">
        <f>IF(OR(TH!L124=TH!$V$7,M124=TH!$V$7),"x","")</f>
        <v/>
      </c>
      <c r="W124" s="39" t="str">
        <f>IF(AND(B124&gt;='IN-NX'!$P$3,B124&lt;='IN-NX'!$Q$3,'IN-NX'!$D$7=D124,OR(LEFT(L124,2)="15",AND(LEFT(M124,2)&lt;&gt;"15",LEFT(M124,2)&lt;&gt;"33"))),"x","")</f>
        <v/>
      </c>
      <c r="X124" s="39" t="str">
        <f>IF(AND(OR(LEFT(TH!L124,2)="15",LEFT(TH!M124,2)="15"),'152-CT'!$J$8=TH!F124),"x","")</f>
        <v/>
      </c>
      <c r="Y124" s="39" t="str">
        <f>IF(AND(OR(LEFT(TH!L124,2)="15",LEFT(TH!M124,2)="15"),TK!$E$7=TH!F124),"x","")</f>
        <v/>
      </c>
      <c r="Z124" s="39" t="str">
        <f>IF(AND(B124&lt;=NKC!$N$8,B124&gt;=NKC!$M$8),"x","")</f>
        <v/>
      </c>
      <c r="AA124" s="894"/>
    </row>
    <row r="125" spans="1:30" ht="15.75" customHeight="1">
      <c r="A125" s="199" t="str">
        <f>IF(B125&lt;&gt;"",IF(AND(B125&gt;=_TM1,B125&lt;=_TM2,OR(TH!L125="1111",TH!M125="1111")),TH!D125,""),"")</f>
        <v/>
      </c>
      <c r="B125" s="36">
        <f t="shared" si="5"/>
        <v>1</v>
      </c>
      <c r="C125" s="190">
        <f t="shared" si="6"/>
        <v>0</v>
      </c>
      <c r="D125" s="190"/>
      <c r="E125" s="190"/>
      <c r="F125" s="188"/>
      <c r="G125" s="489"/>
      <c r="H125" s="192"/>
      <c r="I125" s="253"/>
      <c r="J125" s="253"/>
      <c r="K125" s="38"/>
      <c r="L125" s="193"/>
      <c r="M125" s="607"/>
      <c r="N125" s="39" t="str">
        <f>IF(AND('331-CT'!$E$7=TH!H125,OR(L125="331",M125="331")),"331",IF(AND(OR(L125="131",M125="131"),H125='131-CT'!$E$7),"131",""))</f>
        <v/>
      </c>
      <c r="O125" s="39" t="str">
        <f>IF(AND($B125&gt;='111'!$N$11,$B125&lt;='111'!$O$11,OR($L125=$O$7,$M125=$O$7)),"x","")</f>
        <v/>
      </c>
      <c r="P125" s="39" t="str">
        <f>IF(AND($L125=$O$7,$B125&lt;'111'!$N$11),"x","")</f>
        <v/>
      </c>
      <c r="Q125" s="39" t="str">
        <f>IF(AND($M125=$O$7,$B125&lt;'111'!$N$11),"x","")</f>
        <v/>
      </c>
      <c r="R125" s="39" t="str">
        <f>IF(ISERROR(FIND('112'!$M$9,G125,1)),"",IF((AND(FIND('112'!$M$9,G125,1)&gt;=1,$B125&gt;='112'!$N$8,$B125&lt;='112'!$O$8,OR($L125='112'!$I$6,$M125='112'!$I$6))),"x",""))</f>
        <v/>
      </c>
      <c r="S125" s="39" t="str">
        <f>IF(ISERROR(FIND('112'!$M$9,G125,1)),"",IF((AND(LEFT(G125,2)=LEFT('112'!$M$9,2),B125&lt;'112'!$N$8,$L125='112'!$I$6)),"x",""))</f>
        <v/>
      </c>
      <c r="T125" s="39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39" t="str">
        <f>IF(OR(TH!L125=TH!$V$7,M125=TH!$V$7),"x","")</f>
        <v/>
      </c>
      <c r="W125" s="39" t="str">
        <f>IF(AND(B125&gt;='IN-NX'!$P$3,B125&lt;='IN-NX'!$Q$3,'IN-NX'!$D$7=D125,OR(LEFT(L125,2)="15",AND(LEFT(M125,2)&lt;&gt;"15",LEFT(M125,2)&lt;&gt;"33"))),"x","")</f>
        <v/>
      </c>
      <c r="X125" s="39" t="str">
        <f>IF(AND(OR(LEFT(TH!L125,2)="15",LEFT(TH!M125,2)="15"),'152-CT'!$J$8=TH!F125),"x","")</f>
        <v/>
      </c>
      <c r="Y125" s="39" t="str">
        <f>IF(AND(OR(LEFT(TH!L125,2)="15",LEFT(TH!M125,2)="15"),TK!$E$7=TH!F125),"x","")</f>
        <v/>
      </c>
      <c r="Z125" s="39" t="str">
        <f>IF(AND(B125&lt;=NKC!$N$8,B125&gt;=NKC!$M$8),"x","")</f>
        <v/>
      </c>
      <c r="AA125" s="894"/>
    </row>
    <row r="126" spans="1:30" ht="15.75" customHeight="1">
      <c r="A126" s="199" t="str">
        <f>IF(B126&lt;&gt;"",IF(AND(B126&gt;=_TM1,B126&lt;=_TM2,OR(TH!L126="1111",TH!M126="1111")),TH!D126,""),"")</f>
        <v/>
      </c>
      <c r="B126" s="36">
        <f t="shared" si="5"/>
        <v>1</v>
      </c>
      <c r="C126" s="190">
        <f t="shared" si="6"/>
        <v>0</v>
      </c>
      <c r="D126" s="190"/>
      <c r="E126" s="190"/>
      <c r="F126" s="188"/>
      <c r="G126" s="489"/>
      <c r="H126" s="192"/>
      <c r="I126" s="253"/>
      <c r="J126" s="253"/>
      <c r="K126" s="38"/>
      <c r="L126" s="193"/>
      <c r="M126" s="607"/>
      <c r="N126" s="39" t="str">
        <f>IF(AND('331-CT'!$E$7=TH!H126,OR(L126="331",M126="331")),"331",IF(AND(OR(L126="131",M126="131"),H126='131-CT'!$E$7),"131",""))</f>
        <v/>
      </c>
      <c r="O126" s="39" t="str">
        <f>IF(AND($B126&gt;='111'!$N$11,$B126&lt;='111'!$O$11,OR($L126=$O$7,$M126=$O$7)),"x","")</f>
        <v/>
      </c>
      <c r="P126" s="39" t="str">
        <f>IF(AND($L126=$O$7,$B126&lt;'111'!$N$11),"x","")</f>
        <v/>
      </c>
      <c r="Q126" s="39" t="str">
        <f>IF(AND($M126=$O$7,$B126&lt;'111'!$N$11),"x","")</f>
        <v/>
      </c>
      <c r="R126" s="39" t="str">
        <f>IF(ISERROR(FIND('112'!$M$9,G126,1)),"",IF((AND(FIND('112'!$M$9,G126,1)&gt;=1,$B126&gt;='112'!$N$8,$B126&lt;='112'!$O$8,OR($L126='112'!$I$6,$M126='112'!$I$6))),"x",""))</f>
        <v/>
      </c>
      <c r="S126" s="39" t="str">
        <f>IF(ISERROR(FIND('112'!$M$9,G126,1)),"",IF((AND(LEFT(G126,2)=LEFT('112'!$M$9,2),B126&lt;'112'!$N$8,$L126='112'!$I$6)),"x",""))</f>
        <v/>
      </c>
      <c r="T126" s="39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39" t="str">
        <f>IF(OR(TH!L126=TH!$V$7,M126=TH!$V$7),"x","")</f>
        <v/>
      </c>
      <c r="W126" s="39" t="str">
        <f>IF(AND(B126&gt;='IN-NX'!$P$3,B126&lt;='IN-NX'!$Q$3,'IN-NX'!$D$7=D126,OR(LEFT(L126,2)="15",AND(LEFT(M126,2)&lt;&gt;"15",LEFT(M126,2)&lt;&gt;"33"))),"x","")</f>
        <v/>
      </c>
      <c r="X126" s="39" t="str">
        <f>IF(AND(OR(LEFT(TH!L126,2)="15",LEFT(TH!M126,2)="15"),'152-CT'!$J$8=TH!F126),"x","")</f>
        <v/>
      </c>
      <c r="Y126" s="39" t="str">
        <f>IF(AND(OR(LEFT(TH!L126,2)="15",LEFT(TH!M126,2)="15"),TK!$E$7=TH!F126),"x","")</f>
        <v/>
      </c>
      <c r="Z126" s="39" t="str">
        <f>IF(AND(B126&lt;=NKC!$N$8,B126&gt;=NKC!$M$8),"x","")</f>
        <v/>
      </c>
      <c r="AA126" s="894"/>
    </row>
    <row r="127" spans="1:30" ht="15.75" customHeight="1">
      <c r="A127" s="199" t="str">
        <f>IF(B127&lt;&gt;"",IF(AND(B127&gt;=_TM1,B127&lt;=_TM2,OR(TH!L127="1111",TH!M127="1111")),TH!D127,""),"")</f>
        <v/>
      </c>
      <c r="B127" s="36">
        <f t="shared" si="5"/>
        <v>1</v>
      </c>
      <c r="C127" s="190">
        <f t="shared" si="6"/>
        <v>0</v>
      </c>
      <c r="D127" s="190"/>
      <c r="E127" s="190"/>
      <c r="F127" s="191"/>
      <c r="G127" s="489"/>
      <c r="H127" s="7"/>
      <c r="I127" s="253"/>
      <c r="J127" s="253"/>
      <c r="K127" s="38"/>
      <c r="L127" s="193"/>
      <c r="M127" s="607"/>
      <c r="N127" s="39" t="str">
        <f>IF(AND('331-CT'!$E$7=TH!H127,OR(L127="331",M127="331")),"331",IF(AND(OR(L127="131",M127="131"),H127='131-CT'!$E$7),"131",""))</f>
        <v/>
      </c>
      <c r="O127" s="39" t="str">
        <f>IF(AND($B127&gt;='111'!$N$11,$B127&lt;='111'!$O$11,OR($L127=$O$7,$M127=$O$7)),"x","")</f>
        <v/>
      </c>
      <c r="P127" s="39" t="str">
        <f>IF(AND($L127=$O$7,$B127&lt;'111'!$N$11),"x","")</f>
        <v/>
      </c>
      <c r="Q127" s="39" t="str">
        <f>IF(AND($M127=$O$7,$B127&lt;'111'!$N$11),"x","")</f>
        <v/>
      </c>
      <c r="R127" s="39" t="str">
        <f>IF(ISERROR(FIND('112'!$M$9,G127,1)),"",IF((AND(FIND('112'!$M$9,G127,1)&gt;=1,$B127&gt;='112'!$N$8,$B127&lt;='112'!$O$8,OR($L127='112'!$I$6,$M127='112'!$I$6))),"x",""))</f>
        <v/>
      </c>
      <c r="S127" s="39" t="str">
        <f>IF(ISERROR(FIND('112'!$M$9,G127,1)),"",IF((AND(LEFT(G127,2)=LEFT('112'!$M$9,2),B127&lt;'112'!$N$8,$L127='112'!$I$6)),"x",""))</f>
        <v/>
      </c>
      <c r="T127" s="39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39" t="str">
        <f>IF(OR(TH!L127=TH!$V$7,M127=TH!$V$7),"x","")</f>
        <v/>
      </c>
      <c r="W127" s="39" t="str">
        <f>IF(AND(B127&gt;='IN-NX'!$P$3,B127&lt;='IN-NX'!$Q$3,'IN-NX'!$D$7=D127,OR(LEFT(L127,2)="15",AND(LEFT(M127,2)&lt;&gt;"15",LEFT(M127,2)&lt;&gt;"33"))),"x","")</f>
        <v/>
      </c>
      <c r="X127" s="39" t="str">
        <f>IF(AND(OR(LEFT(TH!L127,2)="15",LEFT(TH!M127,2)="15"),'152-CT'!$J$8=TH!F127),"x","")</f>
        <v/>
      </c>
      <c r="Y127" s="39" t="str">
        <f>IF(AND(OR(LEFT(TH!L127,2)="15",LEFT(TH!M127,2)="15"),TK!$E$7=TH!F127),"x","")</f>
        <v/>
      </c>
      <c r="Z127" s="39" t="str">
        <f>IF(AND(B127&lt;=NKC!$N$8,B127&gt;=NKC!$M$8),"x","")</f>
        <v/>
      </c>
      <c r="AA127" s="894"/>
    </row>
    <row r="128" spans="1:30" ht="15.75" customHeight="1">
      <c r="A128" s="199" t="str">
        <f>IF(B128&lt;&gt;"",IF(AND(B128&gt;=_TM1,B128&lt;=_TM2,OR(TH!L128="1111",TH!M128="1111")),TH!D128,""),"")</f>
        <v/>
      </c>
      <c r="B128" s="36">
        <f t="shared" si="5"/>
        <v>1</v>
      </c>
      <c r="C128" s="190">
        <f t="shared" si="6"/>
        <v>0</v>
      </c>
      <c r="D128" s="190"/>
      <c r="E128" s="190"/>
      <c r="F128" s="191"/>
      <c r="G128" s="489"/>
      <c r="H128" s="7"/>
      <c r="I128" s="253"/>
      <c r="J128" s="253"/>
      <c r="K128" s="38"/>
      <c r="L128" s="193"/>
      <c r="M128" s="607"/>
      <c r="N128" s="39" t="str">
        <f>IF(AND('331-CT'!$E$7=TH!H128,OR(L128="331",M128="331")),"331",IF(AND(OR(L128="131",M128="131"),H128='131-CT'!$E$7),"131",""))</f>
        <v/>
      </c>
      <c r="O128" s="39" t="str">
        <f>IF(AND($B128&gt;='111'!$N$11,$B128&lt;='111'!$O$11,OR($L128=$O$7,$M128=$O$7)),"x","")</f>
        <v/>
      </c>
      <c r="P128" s="39" t="str">
        <f>IF(AND($L128=$O$7,$B128&lt;'111'!$N$11),"x","")</f>
        <v/>
      </c>
      <c r="Q128" s="39" t="str">
        <f>IF(AND($M128=$O$7,$B128&lt;'111'!$N$11),"x","")</f>
        <v/>
      </c>
      <c r="R128" s="39" t="str">
        <f>IF(ISERROR(FIND('112'!$M$9,G128,1)),"",IF((AND(FIND('112'!$M$9,G128,1)&gt;=1,$B128&gt;='112'!$N$8,$B128&lt;='112'!$O$8,OR($L128='112'!$I$6,$M128='112'!$I$6))),"x",""))</f>
        <v/>
      </c>
      <c r="S128" s="39" t="str">
        <f>IF(ISERROR(FIND('112'!$M$9,G128,1)),"",IF((AND(LEFT(G128,2)=LEFT('112'!$M$9,2),B128&lt;'112'!$N$8,$L128='112'!$I$6)),"x",""))</f>
        <v/>
      </c>
      <c r="T128" s="39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39" t="str">
        <f>IF(OR(TH!L128=TH!$V$7,M128=TH!$V$7),"x","")</f>
        <v/>
      </c>
      <c r="W128" s="39" t="str">
        <f>IF(AND(B128&gt;='IN-NX'!$P$3,B128&lt;='IN-NX'!$Q$3,'IN-NX'!$D$7=D128,OR(LEFT(L128,2)="15",AND(LEFT(M128,2)&lt;&gt;"15",LEFT(M128,2)&lt;&gt;"33"))),"x","")</f>
        <v/>
      </c>
      <c r="X128" s="39" t="str">
        <f>IF(AND(OR(LEFT(TH!L128,2)="15",LEFT(TH!M128,2)="15"),'152-CT'!$J$8=TH!F128),"x","")</f>
        <v/>
      </c>
      <c r="Y128" s="39" t="str">
        <f>IF(AND(OR(LEFT(TH!L128,2)="15",LEFT(TH!M128,2)="15"),TK!$E$7=TH!F128),"x","")</f>
        <v/>
      </c>
      <c r="Z128" s="39" t="str">
        <f>IF(AND(B128&lt;=NKC!$N$8,B128&gt;=NKC!$M$8),"x","")</f>
        <v/>
      </c>
      <c r="AA128" s="894"/>
      <c r="AB128" s="598"/>
    </row>
    <row r="129" spans="1:30" ht="15.75" customHeight="1">
      <c r="A129" s="199" t="str">
        <f>IF(B129&lt;&gt;"",IF(AND(B129&gt;=_TM1,B129&lt;=_TM2,OR(TH!L129="1111",TH!M129="1111")),TH!D129,""),"")</f>
        <v/>
      </c>
      <c r="B129" s="36">
        <f t="shared" si="5"/>
        <v>1</v>
      </c>
      <c r="C129" s="190">
        <f t="shared" si="6"/>
        <v>0</v>
      </c>
      <c r="D129" s="190"/>
      <c r="E129" s="190"/>
      <c r="F129" s="191"/>
      <c r="G129" s="489"/>
      <c r="H129" s="45"/>
      <c r="I129" s="253"/>
      <c r="J129" s="253"/>
      <c r="K129" s="38"/>
      <c r="L129" s="193"/>
      <c r="M129" s="607"/>
      <c r="N129" s="39" t="str">
        <f>IF(AND('331-CT'!$E$7=TH!H129,OR(L129="331",M129="331")),"331",IF(AND(OR(L129="131",M129="131"),H129='131-CT'!$E$7),"131",""))</f>
        <v/>
      </c>
      <c r="O129" s="39" t="str">
        <f>IF(AND($B129&gt;='111'!$N$11,$B129&lt;='111'!$O$11,OR($L129=$O$7,$M129=$O$7)),"x","")</f>
        <v/>
      </c>
      <c r="P129" s="39" t="str">
        <f>IF(AND($L129=$O$7,$B129&lt;'111'!$N$11),"x","")</f>
        <v/>
      </c>
      <c r="Q129" s="39" t="str">
        <f>IF(AND($M129=$O$7,$B129&lt;'111'!$N$11),"x","")</f>
        <v/>
      </c>
      <c r="R129" s="39" t="str">
        <f>IF(ISERROR(FIND('112'!$M$9,G129,1)),"",IF((AND(FIND('112'!$M$9,G129,1)&gt;=1,$B129&gt;='112'!$N$8,$B129&lt;='112'!$O$8,OR($L129='112'!$I$6,$M129='112'!$I$6))),"x",""))</f>
        <v/>
      </c>
      <c r="S129" s="39" t="str">
        <f>IF(ISERROR(FIND('112'!$M$9,G129,1)),"",IF((AND(LEFT(G129,2)=LEFT('112'!$M$9,2),B129&lt;'112'!$N$8,$L129='112'!$I$6)),"x",""))</f>
        <v/>
      </c>
      <c r="T129" s="39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39" t="str">
        <f>IF(OR(TH!L129=TH!$V$7,M129=TH!$V$7),"x","")</f>
        <v/>
      </c>
      <c r="W129" s="39" t="str">
        <f>IF(AND(B129&gt;='IN-NX'!$P$3,B129&lt;='IN-NX'!$Q$3,'IN-NX'!$D$7=D129,OR(LEFT(L129,2)="15",AND(LEFT(M129,2)&lt;&gt;"15",LEFT(M129,2)&lt;&gt;"33"))),"x","")</f>
        <v/>
      </c>
      <c r="X129" s="39" t="str">
        <f>IF(AND(OR(LEFT(TH!L129,2)="15",LEFT(TH!M129,2)="15"),'152-CT'!$J$8=TH!F129),"x","")</f>
        <v/>
      </c>
      <c r="Y129" s="39" t="str">
        <f>IF(AND(OR(LEFT(TH!L129,2)="15",LEFT(TH!M129,2)="15"),TK!$E$7=TH!F129),"x","")</f>
        <v/>
      </c>
      <c r="Z129" s="39" t="str">
        <f>IF(AND(B129&lt;=NKC!$N$8,B129&gt;=NKC!$M$8),"x","")</f>
        <v/>
      </c>
      <c r="AA129" s="894"/>
      <c r="AB129" s="598"/>
      <c r="AC129" s="598"/>
      <c r="AD129" s="598"/>
    </row>
    <row r="130" spans="1:30" ht="15.75" customHeight="1">
      <c r="A130" s="199" t="str">
        <f>IF(B130&lt;&gt;"",IF(AND(B130&gt;=_TM1,B130&lt;=_TM2,OR(TH!L130="1111",TH!M130="1111")),TH!D130,""),"")</f>
        <v/>
      </c>
      <c r="B130" s="36">
        <f t="shared" si="5"/>
        <v>1</v>
      </c>
      <c r="C130" s="190">
        <f t="shared" si="6"/>
        <v>0</v>
      </c>
      <c r="D130" s="190"/>
      <c r="E130" s="190"/>
      <c r="F130" s="191"/>
      <c r="G130" s="489"/>
      <c r="H130" s="45"/>
      <c r="I130" s="253"/>
      <c r="J130" s="253"/>
      <c r="K130" s="38"/>
      <c r="L130" s="193"/>
      <c r="M130" s="607"/>
      <c r="N130" s="39" t="str">
        <f>IF(AND('331-CT'!$E$7=TH!H130,OR(L130="331",M130="331")),"331",IF(AND(OR(L130="131",M130="131"),H130='131-CT'!$E$7),"131",""))</f>
        <v/>
      </c>
      <c r="O130" s="39" t="str">
        <f>IF(AND($B130&gt;='111'!$N$11,$B130&lt;='111'!$O$11,OR($L130=$O$7,$M130=$O$7)),"x","")</f>
        <v/>
      </c>
      <c r="P130" s="39" t="str">
        <f>IF(AND($L130=$O$7,$B130&lt;'111'!$N$11),"x","")</f>
        <v/>
      </c>
      <c r="Q130" s="39" t="str">
        <f>IF(AND($M130=$O$7,$B130&lt;'111'!$N$11),"x","")</f>
        <v/>
      </c>
      <c r="R130" s="39" t="str">
        <f>IF(ISERROR(FIND('112'!$M$9,G130,1)),"",IF((AND(FIND('112'!$M$9,G130,1)&gt;=1,$B130&gt;='112'!$N$8,$B130&lt;='112'!$O$8,OR($L130='112'!$I$6,$M130='112'!$I$6))),"x",""))</f>
        <v/>
      </c>
      <c r="S130" s="39" t="str">
        <f>IF(ISERROR(FIND('112'!$M$9,G130,1)),"",IF((AND(LEFT(G130,2)=LEFT('112'!$M$9,2),B130&lt;'112'!$N$8,$L130='112'!$I$6)),"x",""))</f>
        <v/>
      </c>
      <c r="T130" s="39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39" t="str">
        <f>IF(OR(TH!L130=TH!$V$7,M130=TH!$V$7),"x","")</f>
        <v/>
      </c>
      <c r="W130" s="39" t="str">
        <f>IF(AND(B130&gt;='IN-NX'!$P$3,B130&lt;='IN-NX'!$Q$3,'IN-NX'!$D$7=D130,OR(LEFT(L130,2)="15",AND(LEFT(M130,2)&lt;&gt;"15",LEFT(M130,2)&lt;&gt;"33"))),"x","")</f>
        <v/>
      </c>
      <c r="X130" s="39" t="str">
        <f>IF(AND(OR(LEFT(TH!L130,2)="15",LEFT(TH!M130,2)="15"),'152-CT'!$J$8=TH!F130),"x","")</f>
        <v/>
      </c>
      <c r="Y130" s="39" t="str">
        <f>IF(AND(OR(LEFT(TH!L130,2)="15",LEFT(TH!M130,2)="15"),TK!$E$7=TH!F130),"x","")</f>
        <v/>
      </c>
      <c r="Z130" s="39" t="str">
        <f>IF(AND(B130&lt;=NKC!$N$8,B130&gt;=NKC!$M$8),"x","")</f>
        <v/>
      </c>
      <c r="AA130" s="894"/>
      <c r="AB130" s="598"/>
      <c r="AC130" s="598"/>
      <c r="AD130" s="598"/>
    </row>
    <row r="131" spans="1:30" ht="15.75" customHeight="1">
      <c r="A131" s="199" t="str">
        <f>IF(B131&lt;&gt;"",IF(AND(B131&gt;=_TM1,B131&lt;=_TM2,OR(TH!L131="1111",TH!M131="1111")),TH!D131,""),"")</f>
        <v/>
      </c>
      <c r="B131" s="36">
        <f t="shared" si="5"/>
        <v>1</v>
      </c>
      <c r="C131" s="190">
        <f t="shared" si="6"/>
        <v>0</v>
      </c>
      <c r="D131" s="190"/>
      <c r="E131" s="190"/>
      <c r="F131" s="191"/>
      <c r="G131" s="489"/>
      <c r="H131" s="45"/>
      <c r="I131" s="253"/>
      <c r="J131" s="253"/>
      <c r="K131" s="38"/>
      <c r="L131" s="193"/>
      <c r="M131" s="607"/>
      <c r="N131" s="39" t="str">
        <f>IF(AND('331-CT'!$E$7=TH!H131,OR(L131="331",M131="331")),"331",IF(AND(OR(L131="131",M131="131"),H131='131-CT'!$E$7),"131",""))</f>
        <v/>
      </c>
      <c r="O131" s="39" t="str">
        <f>IF(AND($B131&gt;='111'!$N$11,$B131&lt;='111'!$O$11,OR($L131=$O$7,$M131=$O$7)),"x","")</f>
        <v/>
      </c>
      <c r="P131" s="39" t="str">
        <f>IF(AND($L131=$O$7,$B131&lt;'111'!$N$11),"x","")</f>
        <v/>
      </c>
      <c r="Q131" s="39" t="str">
        <f>IF(AND($M131=$O$7,$B131&lt;'111'!$N$11),"x","")</f>
        <v/>
      </c>
      <c r="R131" s="39" t="str">
        <f>IF(ISERROR(FIND('112'!$M$9,G131,1)),"",IF((AND(FIND('112'!$M$9,G131,1)&gt;=1,$B131&gt;='112'!$N$8,$B131&lt;='112'!$O$8,OR($L131='112'!$I$6,$M131='112'!$I$6))),"x",""))</f>
        <v/>
      </c>
      <c r="S131" s="39" t="str">
        <f>IF(ISERROR(FIND('112'!$M$9,G131,1)),"",IF((AND(LEFT(G131,2)=LEFT('112'!$M$9,2),B131&lt;'112'!$N$8,$L131='112'!$I$6)),"x",""))</f>
        <v/>
      </c>
      <c r="T131" s="39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39" t="str">
        <f>IF(OR(TH!L131=TH!$V$7,M131=TH!$V$7),"x","")</f>
        <v/>
      </c>
      <c r="W131" s="39" t="str">
        <f>IF(AND(B131&gt;='IN-NX'!$P$3,B131&lt;='IN-NX'!$Q$3,'IN-NX'!$D$7=D131,OR(LEFT(L131,2)="15",AND(LEFT(M131,2)&lt;&gt;"15",LEFT(M131,2)&lt;&gt;"33"))),"x","")</f>
        <v/>
      </c>
      <c r="X131" s="39" t="str">
        <f>IF(AND(OR(LEFT(TH!L131,2)="15",LEFT(TH!M131,2)="15"),'152-CT'!$J$8=TH!F131),"x","")</f>
        <v/>
      </c>
      <c r="Y131" s="39" t="str">
        <f>IF(AND(OR(LEFT(TH!L131,2)="15",LEFT(TH!M131,2)="15"),TK!$E$7=TH!F131),"x","")</f>
        <v/>
      </c>
      <c r="Z131" s="39" t="str">
        <f>IF(AND(B131&lt;=NKC!$N$8,B131&gt;=NKC!$M$8),"x","")</f>
        <v/>
      </c>
      <c r="AA131" s="894"/>
    </row>
    <row r="132" spans="1:30" ht="15.75" customHeight="1">
      <c r="A132" s="199" t="str">
        <f>IF(B132&lt;&gt;"",IF(AND(B132&gt;=_TM1,B132&lt;=_TM2,OR(TH!L132="1111",TH!M132="1111")),TH!D132,""),"")</f>
        <v/>
      </c>
      <c r="B132" s="36">
        <f t="shared" si="5"/>
        <v>1</v>
      </c>
      <c r="C132" s="190">
        <f t="shared" si="6"/>
        <v>0</v>
      </c>
      <c r="D132" s="190"/>
      <c r="E132" s="190"/>
      <c r="F132" s="188"/>
      <c r="G132" s="489"/>
      <c r="H132" s="192"/>
      <c r="I132" s="253"/>
      <c r="J132" s="253"/>
      <c r="K132" s="38"/>
      <c r="L132" s="193"/>
      <c r="M132" s="607"/>
      <c r="N132" s="39" t="str">
        <f>IF(AND('331-CT'!$E$7=TH!H132,OR(L132="331",M132="331")),"331",IF(AND(OR(L132="131",M132="131"),H132='131-CT'!$E$7),"131",""))</f>
        <v/>
      </c>
      <c r="O132" s="39" t="str">
        <f>IF(AND($B132&gt;='111'!$N$11,$B132&lt;='111'!$O$11,OR($L132=$O$7,$M132=$O$7)),"x","")</f>
        <v/>
      </c>
      <c r="P132" s="39" t="str">
        <f>IF(AND($L132=$O$7,$B132&lt;'111'!$N$11),"x","")</f>
        <v/>
      </c>
      <c r="Q132" s="39" t="str">
        <f>IF(AND($M132=$O$7,$B132&lt;'111'!$N$11),"x","")</f>
        <v/>
      </c>
      <c r="R132" s="39" t="str">
        <f>IF(ISERROR(FIND('112'!$M$9,G132,1)),"",IF((AND(FIND('112'!$M$9,G132,1)&gt;=1,$B132&gt;='112'!$N$8,$B132&lt;='112'!$O$8,OR($L132='112'!$I$6,$M132='112'!$I$6))),"x",""))</f>
        <v/>
      </c>
      <c r="S132" s="39" t="str">
        <f>IF(ISERROR(FIND('112'!$M$9,G132,1)),"",IF((AND(LEFT(G132,2)=LEFT('112'!$M$9,2),B132&lt;'112'!$N$8,$L132='112'!$I$6)),"x",""))</f>
        <v/>
      </c>
      <c r="T132" s="39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39" t="str">
        <f>IF(OR(TH!L132=TH!$V$7,M132=TH!$V$7),"x","")</f>
        <v/>
      </c>
      <c r="W132" s="39" t="str">
        <f>IF(AND(B132&gt;='IN-NX'!$P$3,B132&lt;='IN-NX'!$Q$3,'IN-NX'!$D$7=D132,OR(LEFT(L132,2)="15",AND(LEFT(M132,2)&lt;&gt;"15",LEFT(M132,2)&lt;&gt;"33"))),"x","")</f>
        <v/>
      </c>
      <c r="X132" s="39" t="str">
        <f>IF(AND(OR(LEFT(TH!L132,2)="15",LEFT(TH!M132,2)="15"),'152-CT'!$J$8=TH!F132),"x","")</f>
        <v/>
      </c>
      <c r="Y132" s="39" t="str">
        <f>IF(AND(OR(LEFT(TH!L132,2)="15",LEFT(TH!M132,2)="15"),TK!$E$7=TH!F132),"x","")</f>
        <v/>
      </c>
      <c r="Z132" s="39" t="str">
        <f>IF(AND(B132&lt;=NKC!$N$8,B132&gt;=NKC!$M$8),"x","")</f>
        <v/>
      </c>
      <c r="AA132" s="894"/>
    </row>
    <row r="133" spans="1:30" ht="15.75" customHeight="1">
      <c r="A133" s="199" t="str">
        <f>IF(B133&lt;&gt;"",IF(AND(B133&gt;=_TM1,B133&lt;=_TM2,OR(TH!L133="1111",TH!M133="1111")),TH!D133,""),"")</f>
        <v/>
      </c>
      <c r="B133" s="36">
        <f t="shared" si="5"/>
        <v>1</v>
      </c>
      <c r="C133" s="190">
        <f t="shared" si="6"/>
        <v>0</v>
      </c>
      <c r="D133" s="190"/>
      <c r="E133" s="190"/>
      <c r="F133" s="188"/>
      <c r="G133" s="489"/>
      <c r="H133" s="192"/>
      <c r="I133" s="253"/>
      <c r="J133" s="253"/>
      <c r="K133" s="38"/>
      <c r="L133" s="193"/>
      <c r="M133" s="607"/>
      <c r="N133" s="39" t="str">
        <f>IF(AND('331-CT'!$E$7=TH!H133,OR(L133="331",M133="331")),"331",IF(AND(OR(L133="131",M133="131"),H133='131-CT'!$E$7),"131",""))</f>
        <v/>
      </c>
      <c r="O133" s="39" t="str">
        <f>IF(AND($B133&gt;='111'!$N$11,$B133&lt;='111'!$O$11,OR($L133=$O$7,$M133=$O$7)),"x","")</f>
        <v/>
      </c>
      <c r="P133" s="39" t="str">
        <f>IF(AND($L133=$O$7,$B133&lt;'111'!$N$11),"x","")</f>
        <v/>
      </c>
      <c r="Q133" s="39" t="str">
        <f>IF(AND($M133=$O$7,$B133&lt;'111'!$N$11),"x","")</f>
        <v/>
      </c>
      <c r="R133" s="39" t="str">
        <f>IF(ISERROR(FIND('112'!$M$9,G133,1)),"",IF((AND(FIND('112'!$M$9,G133,1)&gt;=1,$B133&gt;='112'!$N$8,$B133&lt;='112'!$O$8,OR($L133='112'!$I$6,$M133='112'!$I$6))),"x",""))</f>
        <v/>
      </c>
      <c r="S133" s="39" t="str">
        <f>IF(ISERROR(FIND('112'!$M$9,G133,1)),"",IF((AND(LEFT(G133,2)=LEFT('112'!$M$9,2),B133&lt;'112'!$N$8,$L133='112'!$I$6)),"x",""))</f>
        <v/>
      </c>
      <c r="T133" s="39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39" t="str">
        <f>IF(OR(TH!L133=TH!$V$7,M133=TH!$V$7),"x","")</f>
        <v/>
      </c>
      <c r="W133" s="39" t="str">
        <f>IF(AND(B133&gt;='IN-NX'!$P$3,B133&lt;='IN-NX'!$Q$3,'IN-NX'!$D$7=D133,OR(LEFT(L133,2)="15",AND(LEFT(M133,2)&lt;&gt;"15",LEFT(M133,2)&lt;&gt;"33"))),"x","")</f>
        <v/>
      </c>
      <c r="X133" s="39" t="str">
        <f>IF(AND(OR(LEFT(TH!L133,2)="15",LEFT(TH!M133,2)="15"),'152-CT'!$J$8=TH!F133),"x","")</f>
        <v/>
      </c>
      <c r="Y133" s="39" t="str">
        <f>IF(AND(OR(LEFT(TH!L133,2)="15",LEFT(TH!M133,2)="15"),TK!$E$7=TH!F133),"x","")</f>
        <v/>
      </c>
      <c r="Z133" s="39" t="str">
        <f>IF(AND(B133&lt;=NKC!$N$8,B133&gt;=NKC!$M$8),"x","")</f>
        <v/>
      </c>
      <c r="AA133" s="894"/>
    </row>
    <row r="134" spans="1:30" ht="15.75" customHeight="1">
      <c r="A134" s="199" t="str">
        <f>IF(B134&lt;&gt;"",IF(AND(B134&gt;=_TM1,B134&lt;=_TM2,OR(TH!L134="1111",TH!M134="1111")),TH!D134,""),"")</f>
        <v/>
      </c>
      <c r="B134" s="36">
        <f t="shared" si="5"/>
        <v>1</v>
      </c>
      <c r="C134" s="190">
        <f t="shared" si="6"/>
        <v>0</v>
      </c>
      <c r="D134" s="190"/>
      <c r="E134" s="190"/>
      <c r="F134" s="191"/>
      <c r="G134" s="489"/>
      <c r="H134" s="45"/>
      <c r="I134" s="253"/>
      <c r="J134" s="253"/>
      <c r="K134" s="38"/>
      <c r="L134" s="193"/>
      <c r="M134" s="607"/>
      <c r="N134" s="39" t="str">
        <f>IF(AND('331-CT'!$E$7=TH!H134,OR(L134="331",M134="331")),"331",IF(AND(OR(L134="131",M134="131"),H134='131-CT'!$E$7),"131",""))</f>
        <v/>
      </c>
      <c r="O134" s="39" t="str">
        <f>IF(AND($B134&gt;='111'!$N$11,$B134&lt;='111'!$O$11,OR($L134=$O$7,$M134=$O$7)),"x","")</f>
        <v/>
      </c>
      <c r="P134" s="39" t="str">
        <f>IF(AND($L134=$O$7,$B134&lt;'111'!$N$11),"x","")</f>
        <v/>
      </c>
      <c r="Q134" s="39" t="str">
        <f>IF(AND($M134=$O$7,$B134&lt;'111'!$N$11),"x","")</f>
        <v/>
      </c>
      <c r="R134" s="39" t="str">
        <f>IF(ISERROR(FIND('112'!$M$9,G134,1)),"",IF((AND(FIND('112'!$M$9,G134,1)&gt;=1,$B134&gt;='112'!$N$8,$B134&lt;='112'!$O$8,OR($L134='112'!$I$6,$M134='112'!$I$6))),"x",""))</f>
        <v/>
      </c>
      <c r="S134" s="39" t="str">
        <f>IF(ISERROR(FIND('112'!$M$9,G134,1)),"",IF((AND(LEFT(G134,2)=LEFT('112'!$M$9,2),B134&lt;'112'!$N$8,$L134='112'!$I$6)),"x",""))</f>
        <v/>
      </c>
      <c r="T134" s="39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39" t="str">
        <f>IF(OR(TH!L134=TH!$V$7,M134=TH!$V$7),"x","")</f>
        <v/>
      </c>
      <c r="W134" s="39" t="str">
        <f>IF(AND(B134&gt;='IN-NX'!$P$3,B134&lt;='IN-NX'!$Q$3,'IN-NX'!$D$7=D134,OR(LEFT(L134,2)="15",AND(LEFT(M134,2)&lt;&gt;"15",LEFT(M134,2)&lt;&gt;"33"))),"x","")</f>
        <v/>
      </c>
      <c r="X134" s="39" t="str">
        <f>IF(AND(OR(LEFT(TH!L134,2)="15",LEFT(TH!M134,2)="15"),'152-CT'!$J$8=TH!F134),"x","")</f>
        <v/>
      </c>
      <c r="Y134" s="39" t="str">
        <f>IF(AND(OR(LEFT(TH!L134,2)="15",LEFT(TH!M134,2)="15"),TK!$E$7=TH!F134),"x","")</f>
        <v/>
      </c>
      <c r="Z134" s="39" t="str">
        <f>IF(AND(B134&lt;=NKC!$N$8,B134&gt;=NKC!$M$8),"x","")</f>
        <v/>
      </c>
      <c r="AA134" s="894"/>
    </row>
    <row r="135" spans="1:30" ht="15.75" customHeight="1">
      <c r="A135" s="199" t="str">
        <f>IF(B135&lt;&gt;"",IF(AND(B135&gt;=_TM1,B135&lt;=_TM2,OR(TH!L135="1111",TH!M135="1111")),TH!D135,""),"")</f>
        <v/>
      </c>
      <c r="B135" s="36">
        <f t="shared" si="5"/>
        <v>1</v>
      </c>
      <c r="C135" s="190">
        <f t="shared" si="6"/>
        <v>0</v>
      </c>
      <c r="D135" s="190"/>
      <c r="E135" s="190"/>
      <c r="F135" s="188"/>
      <c r="G135" s="489"/>
      <c r="H135" s="192"/>
      <c r="I135" s="253"/>
      <c r="J135" s="253"/>
      <c r="K135" s="38"/>
      <c r="L135" s="193"/>
      <c r="M135" s="607"/>
      <c r="N135" s="39" t="str">
        <f>IF(AND('331-CT'!$E$7=TH!H135,OR(L135="331",M135="331")),"331",IF(AND(OR(L135="131",M135="131"),H135='131-CT'!$E$7),"131",""))</f>
        <v/>
      </c>
      <c r="O135" s="39" t="str">
        <f>IF(AND($B135&gt;='111'!$N$11,$B135&lt;='111'!$O$11,OR($L135=$O$7,$M135=$O$7)),"x","")</f>
        <v/>
      </c>
      <c r="P135" s="39" t="str">
        <f>IF(AND($L135=$O$7,$B135&lt;'111'!$N$11),"x","")</f>
        <v/>
      </c>
      <c r="Q135" s="39" t="str">
        <f>IF(AND($M135=$O$7,$B135&lt;'111'!$N$11),"x","")</f>
        <v/>
      </c>
      <c r="R135" s="39" t="str">
        <f>IF(ISERROR(FIND('112'!$M$9,G135,1)),"",IF((AND(FIND('112'!$M$9,G135,1)&gt;=1,$B135&gt;='112'!$N$8,$B135&lt;='112'!$O$8,OR($L135='112'!$I$6,$M135='112'!$I$6))),"x",""))</f>
        <v/>
      </c>
      <c r="S135" s="39" t="str">
        <f>IF(ISERROR(FIND('112'!$M$9,G135,1)),"",IF((AND(LEFT(G135,2)=LEFT('112'!$M$9,2),B135&lt;'112'!$N$8,$L135='112'!$I$6)),"x",""))</f>
        <v/>
      </c>
      <c r="T135" s="39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39" t="str">
        <f>IF(OR(TH!L135=TH!$V$7,M135=TH!$V$7),"x","")</f>
        <v/>
      </c>
      <c r="W135" s="39" t="str">
        <f>IF(AND(B135&gt;='IN-NX'!$P$3,B135&lt;='IN-NX'!$Q$3,'IN-NX'!$D$7=D135,OR(LEFT(L135,2)="15",AND(LEFT(M135,2)&lt;&gt;"15",LEFT(M135,2)&lt;&gt;"33"))),"x","")</f>
        <v/>
      </c>
      <c r="X135" s="39" t="str">
        <f>IF(AND(OR(LEFT(TH!L135,2)="15",LEFT(TH!M135,2)="15"),'152-CT'!$J$8=TH!F135),"x","")</f>
        <v/>
      </c>
      <c r="Y135" s="39" t="str">
        <f>IF(AND(OR(LEFT(TH!L135,2)="15",LEFT(TH!M135,2)="15"),TK!$E$7=TH!F135),"x","")</f>
        <v/>
      </c>
      <c r="Z135" s="39" t="str">
        <f>IF(AND(B135&lt;=NKC!$N$8,B135&gt;=NKC!$M$8),"x","")</f>
        <v/>
      </c>
      <c r="AA135" s="894"/>
    </row>
    <row r="136" spans="1:30" ht="15.75" customHeight="1">
      <c r="A136" s="199" t="str">
        <f>IF(B136&lt;&gt;"",IF(AND(B136&gt;=_TM1,B136&lt;=_TM2,OR(TH!L136="1111",TH!M136="1111")),TH!D136,""),"")</f>
        <v/>
      </c>
      <c r="B136" s="36">
        <f t="shared" si="5"/>
        <v>1</v>
      </c>
      <c r="C136" s="190">
        <f t="shared" si="6"/>
        <v>0</v>
      </c>
      <c r="D136" s="190"/>
      <c r="E136" s="190"/>
      <c r="F136" s="188"/>
      <c r="G136" s="489"/>
      <c r="H136" s="192"/>
      <c r="I136" s="253"/>
      <c r="J136" s="253"/>
      <c r="K136" s="38"/>
      <c r="L136" s="193"/>
      <c r="M136" s="607"/>
      <c r="N136" s="39" t="str">
        <f>IF(AND('331-CT'!$E$7=TH!H136,OR(L136="331",M136="331")),"331",IF(AND(OR(L136="131",M136="131"),H136='131-CT'!$E$7),"131",""))</f>
        <v/>
      </c>
      <c r="O136" s="39" t="str">
        <f>IF(AND($B136&gt;='111'!$N$11,$B136&lt;='111'!$O$11,OR($L136=$O$7,$M136=$O$7)),"x","")</f>
        <v/>
      </c>
      <c r="P136" s="39" t="str">
        <f>IF(AND($L136=$O$7,$B136&lt;'111'!$N$11),"x","")</f>
        <v/>
      </c>
      <c r="Q136" s="39" t="str">
        <f>IF(AND($M136=$O$7,$B136&lt;'111'!$N$11),"x","")</f>
        <v/>
      </c>
      <c r="R136" s="39" t="str">
        <f>IF(ISERROR(FIND('112'!$M$9,G136,1)),"",IF((AND(FIND('112'!$M$9,G136,1)&gt;=1,$B136&gt;='112'!$N$8,$B136&lt;='112'!$O$8,OR($L136='112'!$I$6,$M136='112'!$I$6))),"x",""))</f>
        <v/>
      </c>
      <c r="S136" s="39" t="str">
        <f>IF(ISERROR(FIND('112'!$M$9,G136,1)),"",IF((AND(LEFT(G136,2)=LEFT('112'!$M$9,2),B136&lt;'112'!$N$8,$L136='112'!$I$6)),"x",""))</f>
        <v/>
      </c>
      <c r="T136" s="39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39" t="str">
        <f>IF(OR(TH!L136=TH!$V$7,M136=TH!$V$7),"x","")</f>
        <v/>
      </c>
      <c r="W136" s="39" t="str">
        <f>IF(AND(B136&gt;='IN-NX'!$P$3,B136&lt;='IN-NX'!$Q$3,'IN-NX'!$D$7=D136,OR(LEFT(L136,2)="15",AND(LEFT(M136,2)&lt;&gt;"15",LEFT(M136,2)&lt;&gt;"33"))),"x","")</f>
        <v/>
      </c>
      <c r="X136" s="39" t="str">
        <f>IF(AND(OR(LEFT(TH!L136,2)="15",LEFT(TH!M136,2)="15"),'152-CT'!$J$8=TH!F136),"x","")</f>
        <v/>
      </c>
      <c r="Y136" s="39" t="str">
        <f>IF(AND(OR(LEFT(TH!L136,2)="15",LEFT(TH!M136,2)="15"),TK!$E$7=TH!F136),"x","")</f>
        <v/>
      </c>
      <c r="Z136" s="39" t="str">
        <f>IF(AND(B136&lt;=NKC!$N$8,B136&gt;=NKC!$M$8),"x","")</f>
        <v/>
      </c>
      <c r="AA136" s="894"/>
      <c r="AB136" s="598"/>
    </row>
    <row r="137" spans="1:30" ht="15.75" customHeight="1">
      <c r="A137" s="199" t="str">
        <f>IF(B137&lt;&gt;"",IF(AND(B137&gt;=_TM1,B137&lt;=_TM2,OR(TH!L137="1111",TH!M137="1111")),TH!D137,""),"")</f>
        <v/>
      </c>
      <c r="B137" s="36">
        <f t="shared" si="5"/>
        <v>1</v>
      </c>
      <c r="C137" s="190">
        <f t="shared" si="6"/>
        <v>0</v>
      </c>
      <c r="D137" s="190"/>
      <c r="E137" s="190"/>
      <c r="F137" s="191"/>
      <c r="G137" s="489"/>
      <c r="H137" s="7"/>
      <c r="I137" s="253"/>
      <c r="J137" s="253"/>
      <c r="K137" s="38"/>
      <c r="L137" s="193"/>
      <c r="M137" s="607"/>
      <c r="N137" s="39" t="str">
        <f>IF(AND('331-CT'!$E$7=TH!H137,OR(L137="331",M137="331")),"331",IF(AND(OR(L137="131",M137="131"),H137='131-CT'!$E$7),"131",""))</f>
        <v/>
      </c>
      <c r="O137" s="39" t="str">
        <f>IF(AND($B137&gt;='111'!$N$11,$B137&lt;='111'!$O$11,OR($L137=$O$7,$M137=$O$7)),"x","")</f>
        <v/>
      </c>
      <c r="P137" s="39" t="str">
        <f>IF(AND($L137=$O$7,$B137&lt;'111'!$N$11),"x","")</f>
        <v/>
      </c>
      <c r="Q137" s="39" t="str">
        <f>IF(AND($M137=$O$7,$B137&lt;'111'!$N$11),"x","")</f>
        <v/>
      </c>
      <c r="R137" s="39" t="str">
        <f>IF(ISERROR(FIND('112'!$M$9,G137,1)),"",IF((AND(FIND('112'!$M$9,G137,1)&gt;=1,$B137&gt;='112'!$N$8,$B137&lt;='112'!$O$8,OR($L137='112'!$I$6,$M137='112'!$I$6))),"x",""))</f>
        <v/>
      </c>
      <c r="S137" s="39" t="str">
        <f>IF(ISERROR(FIND('112'!$M$9,G137,1)),"",IF((AND(LEFT(G137,2)=LEFT('112'!$M$9,2),B137&lt;'112'!$N$8,$L137='112'!$I$6)),"x",""))</f>
        <v/>
      </c>
      <c r="T137" s="39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39" t="str">
        <f>IF(OR(TH!L137=TH!$V$7,M137=TH!$V$7),"x","")</f>
        <v/>
      </c>
      <c r="W137" s="39" t="str">
        <f>IF(AND(B137&gt;='IN-NX'!$P$3,B137&lt;='IN-NX'!$Q$3,'IN-NX'!$D$7=D137,OR(LEFT(L137,2)="15",AND(LEFT(M137,2)&lt;&gt;"15",LEFT(M137,2)&lt;&gt;"33"))),"x","")</f>
        <v/>
      </c>
      <c r="X137" s="39" t="str">
        <f>IF(AND(OR(LEFT(TH!L137,2)="15",LEFT(TH!M137,2)="15"),'152-CT'!$J$8=TH!F137),"x","")</f>
        <v/>
      </c>
      <c r="Y137" s="39" t="str">
        <f>IF(AND(OR(LEFT(TH!L137,2)="15",LEFT(TH!M137,2)="15"),TK!$E$7=TH!F137),"x","")</f>
        <v/>
      </c>
      <c r="Z137" s="39" t="str">
        <f>IF(AND(B137&lt;=NKC!$N$8,B137&gt;=NKC!$M$8),"x","")</f>
        <v/>
      </c>
      <c r="AA137" s="894"/>
      <c r="AB137" s="598"/>
      <c r="AC137" s="598"/>
      <c r="AD137" s="598"/>
    </row>
    <row r="138" spans="1:30" ht="15.75" customHeight="1">
      <c r="A138" s="199" t="str">
        <f>IF(B138&lt;&gt;"",IF(AND(B138&gt;=_TM1,B138&lt;=_TM2,OR(TH!L138="1111",TH!M138="1111")),TH!D138,""),"")</f>
        <v/>
      </c>
      <c r="B138" s="36">
        <f t="shared" si="5"/>
        <v>1</v>
      </c>
      <c r="C138" s="190">
        <f t="shared" si="6"/>
        <v>0</v>
      </c>
      <c r="D138" s="190"/>
      <c r="E138" s="190"/>
      <c r="F138" s="191"/>
      <c r="G138" s="489"/>
      <c r="H138" s="45"/>
      <c r="I138" s="253"/>
      <c r="J138" s="253"/>
      <c r="K138" s="38"/>
      <c r="L138" s="193"/>
      <c r="M138" s="607"/>
      <c r="N138" s="39" t="str">
        <f>IF(AND('331-CT'!$E$7=TH!H138,OR(L138="331",M138="331")),"331",IF(AND(OR(L138="131",M138="131"),H138='131-CT'!$E$7),"131",""))</f>
        <v/>
      </c>
      <c r="O138" s="39" t="str">
        <f>IF(AND($B138&gt;='111'!$N$11,$B138&lt;='111'!$O$11,OR($L138=$O$7,$M138=$O$7)),"x","")</f>
        <v/>
      </c>
      <c r="P138" s="39" t="str">
        <f>IF(AND($L138=$O$7,$B138&lt;'111'!$N$11),"x","")</f>
        <v/>
      </c>
      <c r="Q138" s="39" t="str">
        <f>IF(AND($M138=$O$7,$B138&lt;'111'!$N$11),"x","")</f>
        <v/>
      </c>
      <c r="R138" s="39" t="str">
        <f>IF(ISERROR(FIND('112'!$M$9,G138,1)),"",IF((AND(FIND('112'!$M$9,G138,1)&gt;=1,$B138&gt;='112'!$N$8,$B138&lt;='112'!$O$8,OR($L138='112'!$I$6,$M138='112'!$I$6))),"x",""))</f>
        <v/>
      </c>
      <c r="S138" s="39" t="str">
        <f>IF(ISERROR(FIND('112'!$M$9,G138,1)),"",IF((AND(LEFT(G138,2)=LEFT('112'!$M$9,2),B138&lt;'112'!$N$8,$L138='112'!$I$6)),"x",""))</f>
        <v/>
      </c>
      <c r="T138" s="39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39" t="str">
        <f>IF(OR(TH!L138=TH!$V$7,M138=TH!$V$7),"x","")</f>
        <v/>
      </c>
      <c r="W138" s="39" t="str">
        <f>IF(AND(B138&gt;='IN-NX'!$P$3,B138&lt;='IN-NX'!$Q$3,'IN-NX'!$D$7=D138,OR(LEFT(L138,2)="15",AND(LEFT(M138,2)&lt;&gt;"15",LEFT(M138,2)&lt;&gt;"33"))),"x","")</f>
        <v/>
      </c>
      <c r="X138" s="39" t="str">
        <f>IF(AND(OR(LEFT(TH!L138,2)="15",LEFT(TH!M138,2)="15"),'152-CT'!$J$8=TH!F138),"x","")</f>
        <v/>
      </c>
      <c r="Y138" s="39" t="str">
        <f>IF(AND(OR(LEFT(TH!L138,2)="15",LEFT(TH!M138,2)="15"),TK!$E$7=TH!F138),"x","")</f>
        <v/>
      </c>
      <c r="Z138" s="39" t="str">
        <f>IF(AND(B138&lt;=NKC!$N$8,B138&gt;=NKC!$M$8),"x","")</f>
        <v/>
      </c>
      <c r="AA138" s="894"/>
      <c r="AB138" s="598"/>
      <c r="AC138" s="598"/>
      <c r="AD138" s="598"/>
    </row>
    <row r="139" spans="1:30" ht="15.75" customHeight="1">
      <c r="A139" s="199" t="str">
        <f>IF(B139&lt;&gt;"",IF(AND(B139&gt;=_TM1,B139&lt;=_TM2,OR(TH!L139="1111",TH!M139="1111")),TH!D139,""),"")</f>
        <v/>
      </c>
      <c r="B139" s="36">
        <f t="shared" si="5"/>
        <v>1</v>
      </c>
      <c r="C139" s="190">
        <f t="shared" si="6"/>
        <v>0</v>
      </c>
      <c r="D139" s="190"/>
      <c r="E139" s="190"/>
      <c r="F139" s="191"/>
      <c r="G139" s="489"/>
      <c r="H139" s="7"/>
      <c r="I139" s="253"/>
      <c r="J139" s="253"/>
      <c r="K139" s="38"/>
      <c r="L139" s="193"/>
      <c r="M139" s="607"/>
      <c r="N139" s="39" t="str">
        <f>IF(AND('331-CT'!$E$7=TH!H139,OR(L139="331",M139="331")),"331",IF(AND(OR(L139="131",M139="131"),H139='131-CT'!$E$7),"131",""))</f>
        <v/>
      </c>
      <c r="O139" s="39" t="str">
        <f>IF(AND($B139&gt;='111'!$N$11,$B139&lt;='111'!$O$11,OR($L139=$O$7,$M139=$O$7)),"x","")</f>
        <v/>
      </c>
      <c r="P139" s="39" t="str">
        <f>IF(AND($L139=$O$7,$B139&lt;'111'!$N$11),"x","")</f>
        <v/>
      </c>
      <c r="Q139" s="39" t="str">
        <f>IF(AND($M139=$O$7,$B139&lt;'111'!$N$11),"x","")</f>
        <v/>
      </c>
      <c r="R139" s="39" t="str">
        <f>IF(ISERROR(FIND('112'!$M$9,G139,1)),"",IF((AND(FIND('112'!$M$9,G139,1)&gt;=1,$B139&gt;='112'!$N$8,$B139&lt;='112'!$O$8,OR($L139='112'!$I$6,$M139='112'!$I$6))),"x",""))</f>
        <v/>
      </c>
      <c r="S139" s="39" t="str">
        <f>IF(ISERROR(FIND('112'!$M$9,G139,1)),"",IF((AND(LEFT(G139,2)=LEFT('112'!$M$9,2),B139&lt;'112'!$N$8,$L139='112'!$I$6)),"x",""))</f>
        <v/>
      </c>
      <c r="T139" s="39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39" t="str">
        <f>IF(OR(TH!L139=TH!$V$7,M139=TH!$V$7),"x","")</f>
        <v/>
      </c>
      <c r="W139" s="39" t="str">
        <f>IF(AND(B139&gt;='IN-NX'!$P$3,B139&lt;='IN-NX'!$Q$3,'IN-NX'!$D$7=D139,OR(LEFT(L139,2)="15",AND(LEFT(M139,2)&lt;&gt;"15",LEFT(M139,2)&lt;&gt;"33"))),"x","")</f>
        <v/>
      </c>
      <c r="X139" s="39" t="str">
        <f>IF(AND(OR(LEFT(TH!L139,2)="15",LEFT(TH!M139,2)="15"),'152-CT'!$J$8=TH!F139),"x","")</f>
        <v/>
      </c>
      <c r="Y139" s="39" t="str">
        <f>IF(AND(OR(LEFT(TH!L139,2)="15",LEFT(TH!M139,2)="15"),TK!$E$7=TH!F139),"x","")</f>
        <v/>
      </c>
      <c r="Z139" s="39" t="str">
        <f>IF(AND(B139&lt;=NKC!$N$8,B139&gt;=NKC!$M$8),"x","")</f>
        <v/>
      </c>
      <c r="AA139" s="894"/>
      <c r="AB139" s="598"/>
      <c r="AC139" s="598"/>
      <c r="AD139" s="598"/>
    </row>
    <row r="140" spans="1:30" ht="15.75" customHeight="1">
      <c r="A140" s="199" t="str">
        <f>IF(B140&lt;&gt;"",IF(AND(B140&gt;=_TM1,B140&lt;=_TM2,OR(TH!L140="1111",TH!M140="1111")),TH!D140,""),"")</f>
        <v/>
      </c>
      <c r="B140" s="36">
        <f t="shared" si="5"/>
        <v>1</v>
      </c>
      <c r="C140" s="190">
        <f t="shared" si="6"/>
        <v>0</v>
      </c>
      <c r="D140" s="190"/>
      <c r="E140" s="190"/>
      <c r="F140" s="191"/>
      <c r="G140" s="489"/>
      <c r="H140" s="45"/>
      <c r="I140" s="253"/>
      <c r="J140" s="253"/>
      <c r="K140" s="38"/>
      <c r="L140" s="193"/>
      <c r="M140" s="607"/>
      <c r="N140" s="39" t="str">
        <f>IF(AND('331-CT'!$E$7=TH!H140,OR(L140="331",M140="331")),"331",IF(AND(OR(L140="131",M140="131"),H140='131-CT'!$E$7),"131",""))</f>
        <v/>
      </c>
      <c r="O140" s="39" t="str">
        <f>IF(AND($B140&gt;='111'!$N$11,$B140&lt;='111'!$O$11,OR($L140=$O$7,$M140=$O$7)),"x","")</f>
        <v/>
      </c>
      <c r="P140" s="39" t="str">
        <f>IF(AND($L140=$O$7,$B140&lt;'111'!$N$11),"x","")</f>
        <v/>
      </c>
      <c r="Q140" s="39" t="str">
        <f>IF(AND($M140=$O$7,$B140&lt;'111'!$N$11),"x","")</f>
        <v/>
      </c>
      <c r="R140" s="39" t="str">
        <f>IF(ISERROR(FIND('112'!$M$9,G140,1)),"",IF((AND(FIND('112'!$M$9,G140,1)&gt;=1,$B140&gt;='112'!$N$8,$B140&lt;='112'!$O$8,OR($L140='112'!$I$6,$M140='112'!$I$6))),"x",""))</f>
        <v/>
      </c>
      <c r="S140" s="39" t="str">
        <f>IF(ISERROR(FIND('112'!$M$9,G140,1)),"",IF((AND(LEFT(G140,2)=LEFT('112'!$M$9,2),B140&lt;'112'!$N$8,$L140='112'!$I$6)),"x",""))</f>
        <v/>
      </c>
      <c r="T140" s="39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39" t="str">
        <f>IF(OR(TH!L140=TH!$V$7,M140=TH!$V$7),"x","")</f>
        <v/>
      </c>
      <c r="W140" s="39" t="str">
        <f>IF(AND(B140&gt;='IN-NX'!$P$3,B140&lt;='IN-NX'!$Q$3,'IN-NX'!$D$7=D140,OR(LEFT(L140,2)="15",AND(LEFT(M140,2)&lt;&gt;"15",LEFT(M140,2)&lt;&gt;"33"))),"x","")</f>
        <v/>
      </c>
      <c r="X140" s="39" t="str">
        <f>IF(AND(OR(LEFT(TH!L140,2)="15",LEFT(TH!M140,2)="15"),'152-CT'!$J$8=TH!F140),"x","")</f>
        <v/>
      </c>
      <c r="Y140" s="39" t="str">
        <f>IF(AND(OR(LEFT(TH!L140,2)="15",LEFT(TH!M140,2)="15"),TK!$E$7=TH!F140),"x","")</f>
        <v/>
      </c>
      <c r="Z140" s="39" t="str">
        <f>IF(AND(B140&lt;=NKC!$N$8,B140&gt;=NKC!$M$8),"x","")</f>
        <v/>
      </c>
      <c r="AA140" s="894"/>
      <c r="AB140" s="598"/>
    </row>
    <row r="141" spans="1:30" ht="15.75" customHeight="1">
      <c r="A141" s="199" t="str">
        <f>IF(B141&lt;&gt;"",IF(AND(B141&gt;=_TM1,B141&lt;=_TM2,OR(TH!L141="1111",TH!M141="1111")),TH!D141,""),"")</f>
        <v/>
      </c>
      <c r="B141" s="36">
        <f t="shared" si="5"/>
        <v>1</v>
      </c>
      <c r="C141" s="190">
        <f t="shared" si="6"/>
        <v>0</v>
      </c>
      <c r="D141" s="190"/>
      <c r="E141" s="190"/>
      <c r="F141" s="191"/>
      <c r="G141" s="489"/>
      <c r="H141" s="7"/>
      <c r="I141" s="253"/>
      <c r="J141" s="253"/>
      <c r="K141" s="38"/>
      <c r="L141" s="193"/>
      <c r="M141" s="607"/>
      <c r="N141" s="39" t="str">
        <f>IF(AND('331-CT'!$E$7=TH!H141,OR(L141="331",M141="331")),"331",IF(AND(OR(L141="131",M141="131"),H141='131-CT'!$E$7),"131",""))</f>
        <v/>
      </c>
      <c r="O141" s="39" t="str">
        <f>IF(AND($B141&gt;='111'!$N$11,$B141&lt;='111'!$O$11,OR($L141=$O$7,$M141=$O$7)),"x","")</f>
        <v/>
      </c>
      <c r="P141" s="39" t="str">
        <f>IF(AND($L141=$O$7,$B141&lt;'111'!$N$11),"x","")</f>
        <v/>
      </c>
      <c r="Q141" s="39" t="str">
        <f>IF(AND($M141=$O$7,$B141&lt;'111'!$N$11),"x","")</f>
        <v/>
      </c>
      <c r="R141" s="39" t="str">
        <f>IF(ISERROR(FIND('112'!$M$9,G141,1)),"",IF((AND(FIND('112'!$M$9,G141,1)&gt;=1,$B141&gt;='112'!$N$8,$B141&lt;='112'!$O$8,OR($L141='112'!$I$6,$M141='112'!$I$6))),"x",""))</f>
        <v/>
      </c>
      <c r="S141" s="39" t="str">
        <f>IF(ISERROR(FIND('112'!$M$9,G141,1)),"",IF((AND(LEFT(G141,2)=LEFT('112'!$M$9,2),B141&lt;'112'!$N$8,$L141='112'!$I$6)),"x",""))</f>
        <v/>
      </c>
      <c r="T141" s="39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39" t="str">
        <f>IF(OR(TH!L141=TH!$V$7,M141=TH!$V$7),"x","")</f>
        <v/>
      </c>
      <c r="W141" s="39" t="str">
        <f>IF(AND(B141&gt;='IN-NX'!$P$3,B141&lt;='IN-NX'!$Q$3,'IN-NX'!$D$7=D141,OR(LEFT(L141,2)="15",AND(LEFT(M141,2)&lt;&gt;"15",LEFT(M141,2)&lt;&gt;"33"))),"x","")</f>
        <v/>
      </c>
      <c r="X141" s="39" t="str">
        <f>IF(AND(OR(LEFT(TH!L141,2)="15",LEFT(TH!M141,2)="15"),'152-CT'!$J$8=TH!F141),"x","")</f>
        <v/>
      </c>
      <c r="Y141" s="39" t="str">
        <f>IF(AND(OR(LEFT(TH!L141,2)="15",LEFT(TH!M141,2)="15"),TK!$E$7=TH!F141),"x","")</f>
        <v/>
      </c>
      <c r="Z141" s="39" t="str">
        <f>IF(AND(B141&lt;=NKC!$N$8,B141&gt;=NKC!$M$8),"x","")</f>
        <v/>
      </c>
      <c r="AA141" s="894"/>
    </row>
    <row r="142" spans="1:30" ht="15.75" customHeight="1">
      <c r="A142" s="199" t="str">
        <f>IF(B142&lt;&gt;"",IF(AND(B142&gt;=_TM1,B142&lt;=_TM2,OR(TH!L142="1111",TH!M142="1111")),TH!D142,""),"")</f>
        <v/>
      </c>
      <c r="B142" s="36">
        <f t="shared" si="5"/>
        <v>1</v>
      </c>
      <c r="C142" s="190">
        <f t="shared" si="6"/>
        <v>0</v>
      </c>
      <c r="D142" s="190"/>
      <c r="E142" s="190"/>
      <c r="F142" s="191"/>
      <c r="G142" s="489"/>
      <c r="H142" s="45"/>
      <c r="I142" s="253"/>
      <c r="J142" s="253"/>
      <c r="K142" s="38"/>
      <c r="L142" s="193"/>
      <c r="M142" s="607"/>
      <c r="N142" s="39" t="str">
        <f>IF(AND('331-CT'!$E$7=TH!H142,OR(L142="331",M142="331")),"331",IF(AND(OR(L142="131",M142="131"),H142='131-CT'!$E$7),"131",""))</f>
        <v/>
      </c>
      <c r="O142" s="39" t="str">
        <f>IF(AND($B142&gt;='111'!$N$11,$B142&lt;='111'!$O$11,OR($L142=$O$7,$M142=$O$7)),"x","")</f>
        <v/>
      </c>
      <c r="P142" s="39" t="str">
        <f>IF(AND($L142=$O$7,$B142&lt;'111'!$N$11),"x","")</f>
        <v/>
      </c>
      <c r="Q142" s="39" t="str">
        <f>IF(AND($M142=$O$7,$B142&lt;'111'!$N$11),"x","")</f>
        <v/>
      </c>
      <c r="R142" s="39" t="str">
        <f>IF(ISERROR(FIND('112'!$M$9,G142,1)),"",IF((AND(FIND('112'!$M$9,G142,1)&gt;=1,$B142&gt;='112'!$N$8,$B142&lt;='112'!$O$8,OR($L142='112'!$I$6,$M142='112'!$I$6))),"x",""))</f>
        <v/>
      </c>
      <c r="S142" s="39" t="str">
        <f>IF(ISERROR(FIND('112'!$M$9,G142,1)),"",IF((AND(LEFT(G142,2)=LEFT('112'!$M$9,2),B142&lt;'112'!$N$8,$L142='112'!$I$6)),"x",""))</f>
        <v/>
      </c>
      <c r="T142" s="39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39" t="str">
        <f>IF(OR(TH!L142=TH!$V$7,M142=TH!$V$7),"x","")</f>
        <v/>
      </c>
      <c r="W142" s="39" t="str">
        <f>IF(AND(B142&gt;='IN-NX'!$P$3,B142&lt;='IN-NX'!$Q$3,'IN-NX'!$D$7=D142,OR(LEFT(L142,2)="15",AND(LEFT(M142,2)&lt;&gt;"15",LEFT(M142,2)&lt;&gt;"33"))),"x","")</f>
        <v/>
      </c>
      <c r="X142" s="39" t="str">
        <f>IF(AND(OR(LEFT(TH!L142,2)="15",LEFT(TH!M142,2)="15"),'152-CT'!$J$8=TH!F142),"x","")</f>
        <v/>
      </c>
      <c r="Y142" s="39" t="str">
        <f>IF(AND(OR(LEFT(TH!L142,2)="15",LEFT(TH!M142,2)="15"),TK!$E$7=TH!F142),"x","")</f>
        <v/>
      </c>
      <c r="Z142" s="39" t="str">
        <f>IF(AND(B142&lt;=NKC!$N$8,B142&gt;=NKC!$M$8),"x","")</f>
        <v/>
      </c>
      <c r="AA142" s="894"/>
      <c r="AB142" s="598"/>
    </row>
    <row r="143" spans="1:30" ht="15.75" customHeight="1">
      <c r="A143" s="199" t="str">
        <f>IF(B143&lt;&gt;"",IF(AND(B143&gt;=_TM1,B143&lt;=_TM2,OR(TH!L143="1111",TH!M143="1111")),TH!D143,""),"")</f>
        <v/>
      </c>
      <c r="B143" s="36">
        <f t="shared" si="5"/>
        <v>1</v>
      </c>
      <c r="C143" s="190">
        <f t="shared" si="6"/>
        <v>0</v>
      </c>
      <c r="D143" s="190"/>
      <c r="E143" s="190"/>
      <c r="F143" s="191"/>
      <c r="G143" s="489"/>
      <c r="H143" s="45"/>
      <c r="I143" s="253"/>
      <c r="J143" s="253"/>
      <c r="K143" s="38"/>
      <c r="L143" s="193"/>
      <c r="M143" s="607"/>
      <c r="N143" s="39" t="str">
        <f>IF(AND('331-CT'!$E$7=TH!H143,OR(L143="331",M143="331")),"331",IF(AND(OR(L143="131",M143="131"),H143='131-CT'!$E$7),"131",""))</f>
        <v/>
      </c>
      <c r="O143" s="39" t="str">
        <f>IF(AND($B143&gt;='111'!$N$11,$B143&lt;='111'!$O$11,OR($L143=$O$7,$M143=$O$7)),"x","")</f>
        <v/>
      </c>
      <c r="P143" s="39" t="str">
        <f>IF(AND($L143=$O$7,$B143&lt;'111'!$N$11),"x","")</f>
        <v/>
      </c>
      <c r="Q143" s="39" t="str">
        <f>IF(AND($M143=$O$7,$B143&lt;'111'!$N$11),"x","")</f>
        <v/>
      </c>
      <c r="R143" s="39" t="str">
        <f>IF(ISERROR(FIND('112'!$M$9,G143,1)),"",IF((AND(FIND('112'!$M$9,G143,1)&gt;=1,$B143&gt;='112'!$N$8,$B143&lt;='112'!$O$8,OR($L143='112'!$I$6,$M143='112'!$I$6))),"x",""))</f>
        <v/>
      </c>
      <c r="S143" s="39" t="str">
        <f>IF(ISERROR(FIND('112'!$M$9,G143,1)),"",IF((AND(LEFT(G143,2)=LEFT('112'!$M$9,2),B143&lt;'112'!$N$8,$L143='112'!$I$6)),"x",""))</f>
        <v/>
      </c>
      <c r="T143" s="39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39" t="str">
        <f>IF(OR(TH!L143=TH!$V$7,M143=TH!$V$7),"x","")</f>
        <v/>
      </c>
      <c r="W143" s="39" t="str">
        <f>IF(AND(B143&gt;='IN-NX'!$P$3,B143&lt;='IN-NX'!$Q$3,'IN-NX'!$D$7=D143,OR(LEFT(L143,2)="15",AND(LEFT(M143,2)&lt;&gt;"15",LEFT(M143,2)&lt;&gt;"33"))),"x","")</f>
        <v/>
      </c>
      <c r="X143" s="39" t="str">
        <f>IF(AND(OR(LEFT(TH!L143,2)="15",LEFT(TH!M143,2)="15"),'152-CT'!$J$8=TH!F143),"x","")</f>
        <v/>
      </c>
      <c r="Y143" s="39" t="str">
        <f>IF(AND(OR(LEFT(TH!L143,2)="15",LEFT(TH!M143,2)="15"),TK!$E$7=TH!F143),"x","")</f>
        <v/>
      </c>
      <c r="Z143" s="39" t="str">
        <f>IF(AND(B143&lt;=NKC!$N$8,B143&gt;=NKC!$M$8),"x","")</f>
        <v/>
      </c>
      <c r="AA143" s="894"/>
      <c r="AB143" s="598" t="e">
        <f t="shared" ref="AB143:AB173" si="7">IF(VLOOKUP(H143,DSKH,1,0)&lt;&gt;"","","x")</f>
        <v>#N/A</v>
      </c>
    </row>
    <row r="144" spans="1:30" ht="15.75" customHeight="1">
      <c r="A144" s="199" t="str">
        <f>IF(B144&lt;&gt;"",IF(AND(B144&gt;=_TM1,B144&lt;=_TM2,OR(TH!L144="1111",TH!M144="1111")),TH!D144,""),"")</f>
        <v/>
      </c>
      <c r="B144" s="36">
        <f t="shared" si="5"/>
        <v>1</v>
      </c>
      <c r="C144" s="190">
        <f t="shared" si="6"/>
        <v>0</v>
      </c>
      <c r="D144" s="190"/>
      <c r="E144" s="190"/>
      <c r="F144" s="191"/>
      <c r="G144" s="489"/>
      <c r="H144" s="45"/>
      <c r="I144" s="253"/>
      <c r="J144" s="253"/>
      <c r="K144" s="38"/>
      <c r="L144" s="193"/>
      <c r="M144" s="607"/>
      <c r="N144" s="39" t="str">
        <f>IF(AND('331-CT'!$E$7=TH!H144,OR(L144="331",M144="331")),"331",IF(AND(OR(L144="131",M144="131"),H144='131-CT'!$E$7),"131",""))</f>
        <v/>
      </c>
      <c r="O144" s="39" t="str">
        <f>IF(AND($B144&gt;='111'!$N$11,$B144&lt;='111'!$O$11,OR($L144=$O$7,$M144=$O$7)),"x","")</f>
        <v/>
      </c>
      <c r="P144" s="39" t="str">
        <f>IF(AND($L144=$O$7,$B144&lt;'111'!$N$11),"x","")</f>
        <v/>
      </c>
      <c r="Q144" s="39" t="str">
        <f>IF(AND($M144=$O$7,$B144&lt;'111'!$N$11),"x","")</f>
        <v/>
      </c>
      <c r="R144" s="39" t="str">
        <f>IF(ISERROR(FIND('112'!$M$9,G144,1)),"",IF((AND(FIND('112'!$M$9,G144,1)&gt;=1,$B144&gt;='112'!$N$8,$B144&lt;='112'!$O$8,OR($L144='112'!$I$6,$M144='112'!$I$6))),"x",""))</f>
        <v/>
      </c>
      <c r="S144" s="39" t="str">
        <f>IF(ISERROR(FIND('112'!$M$9,G144,1)),"",IF((AND(LEFT(G144,2)=LEFT('112'!$M$9,2),B144&lt;'112'!$N$8,$L144='112'!$I$6)),"x",""))</f>
        <v/>
      </c>
      <c r="T144" s="39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39" t="str">
        <f>IF(OR(TH!L144=TH!$V$7,M144=TH!$V$7),"x","")</f>
        <v/>
      </c>
      <c r="W144" s="39" t="str">
        <f>IF(AND(B144&gt;='IN-NX'!$P$3,B144&lt;='IN-NX'!$Q$3,'IN-NX'!$D$7=D144,OR(LEFT(L144,2)="15",AND(LEFT(M144,2)&lt;&gt;"15",LEFT(M144,2)&lt;&gt;"33"))),"x","")</f>
        <v/>
      </c>
      <c r="X144" s="39" t="str">
        <f>IF(AND(OR(LEFT(TH!L144,2)="15",LEFT(TH!M144,2)="15"),'152-CT'!$J$8=TH!F144),"x","")</f>
        <v/>
      </c>
      <c r="Y144" s="39" t="str">
        <f>IF(AND(OR(LEFT(TH!L144,2)="15",LEFT(TH!M144,2)="15"),TK!$E$7=TH!F144),"x","")</f>
        <v/>
      </c>
      <c r="Z144" s="39" t="str">
        <f>IF(AND(B144&lt;=NKC!$N$8,B144&gt;=NKC!$M$8),"x","")</f>
        <v/>
      </c>
      <c r="AA144" s="894"/>
      <c r="AB144" s="598" t="e">
        <f t="shared" si="7"/>
        <v>#N/A</v>
      </c>
    </row>
    <row r="145" spans="1:28" ht="15.75" customHeight="1">
      <c r="A145" s="199" t="str">
        <f>IF(B145&lt;&gt;"",IF(AND(B145&gt;=_TM1,B145&lt;=_TM2,OR(TH!L145="1111",TH!M145="1111")),TH!D145,""),"")</f>
        <v/>
      </c>
      <c r="B145" s="36">
        <f t="shared" si="5"/>
        <v>1</v>
      </c>
      <c r="C145" s="190">
        <f t="shared" si="6"/>
        <v>0</v>
      </c>
      <c r="D145" s="190"/>
      <c r="E145" s="190"/>
      <c r="F145" s="191"/>
      <c r="G145" s="489"/>
      <c r="H145" s="45"/>
      <c r="I145" s="253"/>
      <c r="J145" s="253"/>
      <c r="K145" s="38"/>
      <c r="L145" s="193"/>
      <c r="M145" s="607"/>
      <c r="N145" s="39" t="str">
        <f>IF(AND('331-CT'!$E$7=TH!H145,OR(L145="331",M145="331")),"331",IF(AND(OR(L145="131",M145="131"),H145='131-CT'!$E$7),"131",""))</f>
        <v/>
      </c>
      <c r="O145" s="39" t="str">
        <f>IF(AND($B145&gt;='111'!$N$11,$B145&lt;='111'!$O$11,OR($L145=$O$7,$M145=$O$7)),"x","")</f>
        <v/>
      </c>
      <c r="P145" s="39" t="str">
        <f>IF(AND($L145=$O$7,$B145&lt;'111'!$N$11),"x","")</f>
        <v/>
      </c>
      <c r="Q145" s="39" t="str">
        <f>IF(AND($M145=$O$7,$B145&lt;'111'!$N$11),"x","")</f>
        <v/>
      </c>
      <c r="R145" s="39" t="str">
        <f>IF(ISERROR(FIND('112'!$M$9,G145,1)),"",IF((AND(FIND('112'!$M$9,G145,1)&gt;=1,$B145&gt;='112'!$N$8,$B145&lt;='112'!$O$8,OR($L145='112'!$I$6,$M145='112'!$I$6))),"x",""))</f>
        <v/>
      </c>
      <c r="S145" s="39" t="str">
        <f>IF(ISERROR(FIND('112'!$M$9,G145,1)),"",IF((AND(LEFT(G145,2)=LEFT('112'!$M$9,2),B145&lt;'112'!$N$8,$L145='112'!$I$6)),"x",""))</f>
        <v/>
      </c>
      <c r="T145" s="39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39" t="str">
        <f>IF(OR(TH!L145=TH!$V$7,M145=TH!$V$7),"x","")</f>
        <v/>
      </c>
      <c r="W145" s="39" t="str">
        <f>IF(AND(B145&gt;='IN-NX'!$P$3,B145&lt;='IN-NX'!$Q$3,'IN-NX'!$D$7=D145,OR(LEFT(L145,2)="15",AND(LEFT(M145,2)&lt;&gt;"15",LEFT(M145,2)&lt;&gt;"33"))),"x","")</f>
        <v/>
      </c>
      <c r="X145" s="39" t="str">
        <f>IF(AND(OR(LEFT(TH!L145,2)="15",LEFT(TH!M145,2)="15"),'152-CT'!$J$8=TH!F145),"x","")</f>
        <v/>
      </c>
      <c r="Y145" s="39" t="str">
        <f>IF(AND(OR(LEFT(TH!L145,2)="15",LEFT(TH!M145,2)="15"),TK!$E$7=TH!F145),"x","")</f>
        <v/>
      </c>
      <c r="Z145" s="39" t="str">
        <f>IF(AND(B145&lt;=NKC!$N$8,B145&gt;=NKC!$M$8),"x","")</f>
        <v/>
      </c>
      <c r="AA145" s="894"/>
      <c r="AB145" s="598" t="e">
        <f t="shared" si="7"/>
        <v>#N/A</v>
      </c>
    </row>
    <row r="146" spans="1:28" ht="15.75" customHeight="1">
      <c r="A146" s="199" t="str">
        <f>IF(B146&lt;&gt;"",IF(AND(B146&gt;=_TM1,B146&lt;=_TM2,OR(TH!L146="1111",TH!M146="1111")),TH!D146,""),"")</f>
        <v/>
      </c>
      <c r="B146" s="36">
        <f t="shared" si="5"/>
        <v>1</v>
      </c>
      <c r="C146" s="190">
        <f t="shared" si="6"/>
        <v>0</v>
      </c>
      <c r="D146" s="190"/>
      <c r="E146" s="190"/>
      <c r="F146" s="191"/>
      <c r="G146" s="489"/>
      <c r="H146" s="45"/>
      <c r="I146" s="253"/>
      <c r="J146" s="253"/>
      <c r="K146" s="38"/>
      <c r="L146" s="193"/>
      <c r="M146" s="607"/>
      <c r="N146" s="39" t="str">
        <f>IF(AND('331-CT'!$E$7=TH!H146,OR(L146="331",M146="331")),"331",IF(AND(OR(L146="131",M146="131"),H146='131-CT'!$E$7),"131",""))</f>
        <v/>
      </c>
      <c r="O146" s="39" t="str">
        <f>IF(AND($B146&gt;='111'!$N$11,$B146&lt;='111'!$O$11,OR($L146=$O$7,$M146=$O$7)),"x","")</f>
        <v/>
      </c>
      <c r="P146" s="39" t="str">
        <f>IF(AND($L146=$O$7,$B146&lt;'111'!$N$11),"x","")</f>
        <v/>
      </c>
      <c r="Q146" s="39" t="str">
        <f>IF(AND($M146=$O$7,$B146&lt;'111'!$N$11),"x","")</f>
        <v/>
      </c>
      <c r="R146" s="39" t="str">
        <f>IF(ISERROR(FIND('112'!$M$9,G146,1)),"",IF((AND(FIND('112'!$M$9,G146,1)&gt;=1,$B146&gt;='112'!$N$8,$B146&lt;='112'!$O$8,OR($L146='112'!$I$6,$M146='112'!$I$6))),"x",""))</f>
        <v/>
      </c>
      <c r="S146" s="39" t="str">
        <f>IF(ISERROR(FIND('112'!$M$9,G146,1)),"",IF((AND(LEFT(G146,2)=LEFT('112'!$M$9,2),B146&lt;'112'!$N$8,$L146='112'!$I$6)),"x",""))</f>
        <v/>
      </c>
      <c r="T146" s="39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39" t="str">
        <f>IF(OR(TH!L146=TH!$V$7,M146=TH!$V$7),"x","")</f>
        <v/>
      </c>
      <c r="W146" s="39" t="str">
        <f>IF(AND(B146&gt;='IN-NX'!$P$3,B146&lt;='IN-NX'!$Q$3,'IN-NX'!$D$7=D146,OR(LEFT(L146,2)="15",AND(LEFT(M146,2)&lt;&gt;"15",LEFT(M146,2)&lt;&gt;"33"))),"x","")</f>
        <v/>
      </c>
      <c r="X146" s="39" t="str">
        <f>IF(AND(OR(LEFT(TH!L146,2)="15",LEFT(TH!M146,2)="15"),'152-CT'!$J$8=TH!F146),"x","")</f>
        <v/>
      </c>
      <c r="Y146" s="39" t="str">
        <f>IF(AND(OR(LEFT(TH!L146,2)="15",LEFT(TH!M146,2)="15"),TK!$E$7=TH!F146),"x","")</f>
        <v/>
      </c>
      <c r="Z146" s="39" t="str">
        <f>IF(AND(B146&lt;=NKC!$N$8,B146&gt;=NKC!$M$8),"x","")</f>
        <v/>
      </c>
      <c r="AA146" s="894"/>
      <c r="AB146" s="598" t="e">
        <f t="shared" si="7"/>
        <v>#N/A</v>
      </c>
    </row>
    <row r="147" spans="1:28" ht="15.75" customHeight="1">
      <c r="A147" s="199" t="str">
        <f>IF(B147&lt;&gt;"",IF(AND(B147&gt;=_TM1,B147&lt;=_TM2,OR(TH!L147="1111",TH!M147="1111")),TH!D147,""),"")</f>
        <v/>
      </c>
      <c r="B147" s="36">
        <f t="shared" si="5"/>
        <v>1</v>
      </c>
      <c r="C147" s="190">
        <f t="shared" si="6"/>
        <v>0</v>
      </c>
      <c r="D147" s="190"/>
      <c r="E147" s="190"/>
      <c r="F147" s="191"/>
      <c r="G147" s="489"/>
      <c r="H147" s="45"/>
      <c r="I147" s="253"/>
      <c r="J147" s="253"/>
      <c r="K147" s="38"/>
      <c r="L147" s="193"/>
      <c r="M147" s="607"/>
      <c r="N147" s="39" t="str">
        <f>IF(AND('331-CT'!$E$7=TH!H147,OR(L147="331",M147="331")),"331",IF(AND(OR(L147="131",M147="131"),H147='131-CT'!$E$7),"131",""))</f>
        <v/>
      </c>
      <c r="O147" s="39" t="str">
        <f>IF(AND($B147&gt;='111'!$N$11,$B147&lt;='111'!$O$11,OR($L147=$O$7,$M147=$O$7)),"x","")</f>
        <v/>
      </c>
      <c r="P147" s="39" t="str">
        <f>IF(AND($L147=$O$7,$B147&lt;'111'!$N$11),"x","")</f>
        <v/>
      </c>
      <c r="Q147" s="39" t="str">
        <f>IF(AND($M147=$O$7,$B147&lt;'111'!$N$11),"x","")</f>
        <v/>
      </c>
      <c r="R147" s="39" t="str">
        <f>IF(ISERROR(FIND('112'!$M$9,G147,1)),"",IF((AND(FIND('112'!$M$9,G147,1)&gt;=1,$B147&gt;='112'!$N$8,$B147&lt;='112'!$O$8,OR($L147='112'!$I$6,$M147='112'!$I$6))),"x",""))</f>
        <v/>
      </c>
      <c r="S147" s="39" t="str">
        <f>IF(ISERROR(FIND('112'!$M$9,G147,1)),"",IF((AND(LEFT(G147,2)=LEFT('112'!$M$9,2),B147&lt;'112'!$N$8,$L147='112'!$I$6)),"x",""))</f>
        <v/>
      </c>
      <c r="T147" s="39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39" t="str">
        <f>IF(OR(TH!L147=TH!$V$7,M147=TH!$V$7),"x","")</f>
        <v/>
      </c>
      <c r="W147" s="39" t="str">
        <f>IF(AND(B147&gt;='IN-NX'!$P$3,B147&lt;='IN-NX'!$Q$3,'IN-NX'!$D$7=D147,OR(LEFT(L147,2)="15",AND(LEFT(M147,2)&lt;&gt;"15",LEFT(M147,2)&lt;&gt;"33"))),"x","")</f>
        <v/>
      </c>
      <c r="X147" s="39" t="str">
        <f>IF(AND(OR(LEFT(TH!L147,2)="15",LEFT(TH!M147,2)="15"),'152-CT'!$J$8=TH!F147),"x","")</f>
        <v/>
      </c>
      <c r="Y147" s="39" t="str">
        <f>IF(AND(OR(LEFT(TH!L147,2)="15",LEFT(TH!M147,2)="15"),TK!$E$7=TH!F147),"x","")</f>
        <v/>
      </c>
      <c r="Z147" s="39" t="str">
        <f>IF(AND(B147&lt;=NKC!$N$8,B147&gt;=NKC!$M$8),"x","")</f>
        <v/>
      </c>
      <c r="AA147" s="894"/>
      <c r="AB147" s="598" t="e">
        <f t="shared" si="7"/>
        <v>#N/A</v>
      </c>
    </row>
    <row r="148" spans="1:28" ht="15.75" customHeight="1">
      <c r="A148" s="199" t="str">
        <f>IF(B148&lt;&gt;"",IF(AND(B148&gt;=_TM1,B148&lt;=_TM2,OR(TH!L148="1111",TH!M148="1111")),TH!D148,""),"")</f>
        <v/>
      </c>
      <c r="B148" s="36">
        <f t="shared" si="5"/>
        <v>1</v>
      </c>
      <c r="C148" s="190">
        <f t="shared" si="6"/>
        <v>0</v>
      </c>
      <c r="D148" s="190"/>
      <c r="E148" s="190"/>
      <c r="F148" s="191"/>
      <c r="G148" s="489"/>
      <c r="H148" s="45"/>
      <c r="I148" s="253"/>
      <c r="J148" s="253"/>
      <c r="K148" s="38"/>
      <c r="L148" s="193"/>
      <c r="M148" s="607"/>
      <c r="N148" s="39" t="str">
        <f>IF(AND('331-CT'!$E$7=TH!H148,OR(L148="331",M148="331")),"331",IF(AND(OR(L148="131",M148="131"),H148='131-CT'!$E$7),"131",""))</f>
        <v/>
      </c>
      <c r="O148" s="39" t="str">
        <f>IF(AND($B148&gt;='111'!$N$11,$B148&lt;='111'!$O$11,OR($L148=$O$7,$M148=$O$7)),"x","")</f>
        <v/>
      </c>
      <c r="P148" s="39" t="str">
        <f>IF(AND($L148=$O$7,$B148&lt;'111'!$N$11),"x","")</f>
        <v/>
      </c>
      <c r="Q148" s="39" t="str">
        <f>IF(AND($M148=$O$7,$B148&lt;'111'!$N$11),"x","")</f>
        <v/>
      </c>
      <c r="R148" s="39" t="str">
        <f>IF(ISERROR(FIND('112'!$M$9,G148,1)),"",IF((AND(FIND('112'!$M$9,G148,1)&gt;=1,$B148&gt;='112'!$N$8,$B148&lt;='112'!$O$8,OR($L148='112'!$I$6,$M148='112'!$I$6))),"x",""))</f>
        <v/>
      </c>
      <c r="S148" s="39" t="str">
        <f>IF(ISERROR(FIND('112'!$M$9,G148,1)),"",IF((AND(LEFT(G148,2)=LEFT('112'!$M$9,2),B148&lt;'112'!$N$8,$L148='112'!$I$6)),"x",""))</f>
        <v/>
      </c>
      <c r="T148" s="39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39" t="str">
        <f>IF(OR(TH!L148=TH!$V$7,M148=TH!$V$7),"x","")</f>
        <v/>
      </c>
      <c r="W148" s="39" t="str">
        <f>IF(AND(B148&gt;='IN-NX'!$P$3,B148&lt;='IN-NX'!$Q$3,'IN-NX'!$D$7=D148,OR(LEFT(L148,2)="15",AND(LEFT(M148,2)&lt;&gt;"15",LEFT(M148,2)&lt;&gt;"33"))),"x","")</f>
        <v/>
      </c>
      <c r="X148" s="39" t="str">
        <f>IF(AND(OR(LEFT(TH!L148,2)="15",LEFT(TH!M148,2)="15"),'152-CT'!$J$8=TH!F148),"x","")</f>
        <v/>
      </c>
      <c r="Y148" s="39" t="str">
        <f>IF(AND(OR(LEFT(TH!L148,2)="15",LEFT(TH!M148,2)="15"),TK!$E$7=TH!F148),"x","")</f>
        <v/>
      </c>
      <c r="Z148" s="39" t="str">
        <f>IF(AND(B148&lt;=NKC!$N$8,B148&gt;=NKC!$M$8),"x","")</f>
        <v/>
      </c>
      <c r="AA148" s="894"/>
      <c r="AB148" s="598" t="e">
        <f t="shared" si="7"/>
        <v>#N/A</v>
      </c>
    </row>
    <row r="149" spans="1:28" ht="15.75" customHeight="1">
      <c r="A149" s="199" t="str">
        <f>IF(B149&lt;&gt;"",IF(AND(B149&gt;=_TM1,B149&lt;=_TM2,OR(TH!L149="1111",TH!M149="1111")),TH!D149,""),"")</f>
        <v/>
      </c>
      <c r="B149" s="36">
        <f t="shared" si="5"/>
        <v>1</v>
      </c>
      <c r="C149" s="190">
        <f t="shared" si="6"/>
        <v>0</v>
      </c>
      <c r="D149" s="190"/>
      <c r="E149" s="190"/>
      <c r="F149" s="191"/>
      <c r="G149" s="489"/>
      <c r="H149" s="45"/>
      <c r="I149" s="253"/>
      <c r="J149" s="253"/>
      <c r="K149" s="38"/>
      <c r="L149" s="193"/>
      <c r="M149" s="607"/>
      <c r="N149" s="39" t="str">
        <f>IF(AND('331-CT'!$E$7=TH!H149,OR(L149="331",M149="331")),"331",IF(AND(OR(L149="131",M149="131"),H149='131-CT'!$E$7),"131",""))</f>
        <v/>
      </c>
      <c r="O149" s="39" t="str">
        <f>IF(AND($B149&gt;='111'!$N$11,$B149&lt;='111'!$O$11,OR($L149=$O$7,$M149=$O$7)),"x","")</f>
        <v/>
      </c>
      <c r="P149" s="39" t="str">
        <f>IF(AND($L149=$O$7,$B149&lt;'111'!$N$11),"x","")</f>
        <v/>
      </c>
      <c r="Q149" s="39" t="str">
        <f>IF(AND($M149=$O$7,$B149&lt;'111'!$N$11),"x","")</f>
        <v/>
      </c>
      <c r="R149" s="39" t="str">
        <f>IF(ISERROR(FIND('112'!$M$9,G149,1)),"",IF((AND(FIND('112'!$M$9,G149,1)&gt;=1,$B149&gt;='112'!$N$8,$B149&lt;='112'!$O$8,OR($L149='112'!$I$6,$M149='112'!$I$6))),"x",""))</f>
        <v/>
      </c>
      <c r="S149" s="39" t="str">
        <f>IF(ISERROR(FIND('112'!$M$9,G149,1)),"",IF((AND(LEFT(G149,2)=LEFT('112'!$M$9,2),B149&lt;'112'!$N$8,$L149='112'!$I$6)),"x",""))</f>
        <v/>
      </c>
      <c r="T149" s="39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39" t="str">
        <f>IF(OR(TH!L149=TH!$V$7,M149=TH!$V$7),"x","")</f>
        <v/>
      </c>
      <c r="W149" s="39" t="str">
        <f>IF(AND(B149&gt;='IN-NX'!$P$3,B149&lt;='IN-NX'!$Q$3,'IN-NX'!$D$7=D149,OR(LEFT(L149,2)="15",AND(LEFT(M149,2)&lt;&gt;"15",LEFT(M149,2)&lt;&gt;"33"))),"x","")</f>
        <v/>
      </c>
      <c r="X149" s="39" t="str">
        <f>IF(AND(OR(LEFT(TH!L149,2)="15",LEFT(TH!M149,2)="15"),'152-CT'!$J$8=TH!F149),"x","")</f>
        <v/>
      </c>
      <c r="Y149" s="39" t="str">
        <f>IF(AND(OR(LEFT(TH!L149,2)="15",LEFT(TH!M149,2)="15"),TK!$E$7=TH!F149),"x","")</f>
        <v/>
      </c>
      <c r="Z149" s="39" t="str">
        <f>IF(AND(B149&lt;=NKC!$N$8,B149&gt;=NKC!$M$8),"x","")</f>
        <v/>
      </c>
      <c r="AA149" s="894"/>
      <c r="AB149" s="598" t="e">
        <f t="shared" si="7"/>
        <v>#N/A</v>
      </c>
    </row>
    <row r="150" spans="1:28" ht="15.75" customHeight="1">
      <c r="A150" s="199" t="str">
        <f>IF(B150&lt;&gt;"",IF(AND(B150&gt;=_TM1,B150&lt;=_TM2,OR(TH!L150="1111",TH!M150="1111")),TH!D150,""),"")</f>
        <v/>
      </c>
      <c r="B150" s="36">
        <f t="shared" si="5"/>
        <v>1</v>
      </c>
      <c r="C150" s="190">
        <f t="shared" si="6"/>
        <v>0</v>
      </c>
      <c r="D150" s="190"/>
      <c r="E150" s="190"/>
      <c r="F150" s="191"/>
      <c r="G150" s="489"/>
      <c r="H150" s="45"/>
      <c r="I150" s="253"/>
      <c r="J150" s="253"/>
      <c r="K150" s="38"/>
      <c r="L150" s="193"/>
      <c r="M150" s="607"/>
      <c r="N150" s="39" t="str">
        <f>IF(AND('331-CT'!$E$7=TH!H150,OR(L150="331",M150="331")),"331",IF(AND(OR(L150="131",M150="131"),H150='131-CT'!$E$7),"131",""))</f>
        <v/>
      </c>
      <c r="O150" s="39" t="str">
        <f>IF(AND($B150&gt;='111'!$N$11,$B150&lt;='111'!$O$11,OR($L150=$O$7,$M150=$O$7)),"x","")</f>
        <v/>
      </c>
      <c r="P150" s="39" t="str">
        <f>IF(AND($L150=$O$7,$B150&lt;'111'!$N$11),"x","")</f>
        <v/>
      </c>
      <c r="Q150" s="39" t="str">
        <f>IF(AND($M150=$O$7,$B150&lt;'111'!$N$11),"x","")</f>
        <v/>
      </c>
      <c r="R150" s="39" t="str">
        <f>IF(ISERROR(FIND('112'!$M$9,G150,1)),"",IF((AND(FIND('112'!$M$9,G150,1)&gt;=1,$B150&gt;='112'!$N$8,$B150&lt;='112'!$O$8,OR($L150='112'!$I$6,$M150='112'!$I$6))),"x",""))</f>
        <v/>
      </c>
      <c r="S150" s="39" t="str">
        <f>IF(ISERROR(FIND('112'!$M$9,G150,1)),"",IF((AND(LEFT(G150,2)=LEFT('112'!$M$9,2),B150&lt;'112'!$N$8,$L150='112'!$I$6)),"x",""))</f>
        <v/>
      </c>
      <c r="T150" s="39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39" t="str">
        <f>IF(OR(TH!L150=TH!$V$7,M150=TH!$V$7),"x","")</f>
        <v/>
      </c>
      <c r="W150" s="39" t="str">
        <f>IF(AND(B150&gt;='IN-NX'!$P$3,B150&lt;='IN-NX'!$Q$3,'IN-NX'!$D$7=D150,OR(LEFT(L150,2)="15",AND(LEFT(M150,2)&lt;&gt;"15",LEFT(M150,2)&lt;&gt;"33"))),"x","")</f>
        <v/>
      </c>
      <c r="X150" s="39" t="str">
        <f>IF(AND(OR(LEFT(TH!L150,2)="15",LEFT(TH!M150,2)="15"),'152-CT'!$J$8=TH!F150),"x","")</f>
        <v/>
      </c>
      <c r="Y150" s="39" t="str">
        <f>IF(AND(OR(LEFT(TH!L150,2)="15",LEFT(TH!M150,2)="15"),TK!$E$7=TH!F150),"x","")</f>
        <v/>
      </c>
      <c r="Z150" s="39" t="str">
        <f>IF(AND(B150&lt;=NKC!$N$8,B150&gt;=NKC!$M$8),"x","")</f>
        <v/>
      </c>
      <c r="AA150" s="894"/>
      <c r="AB150" s="598" t="e">
        <f t="shared" si="7"/>
        <v>#N/A</v>
      </c>
    </row>
    <row r="151" spans="1:28" ht="15.75" customHeight="1">
      <c r="A151" s="199" t="str">
        <f>IF(B151&lt;&gt;"",IF(AND(B151&gt;=_TM1,B151&lt;=_TM2,OR(TH!L151="1111",TH!M151="1111")),TH!D151,""),"")</f>
        <v/>
      </c>
      <c r="B151" s="36">
        <f t="shared" si="5"/>
        <v>1</v>
      </c>
      <c r="C151" s="190">
        <f t="shared" si="6"/>
        <v>0</v>
      </c>
      <c r="D151" s="190"/>
      <c r="E151" s="190"/>
      <c r="F151" s="191"/>
      <c r="G151" s="489"/>
      <c r="H151" s="45"/>
      <c r="I151" s="253"/>
      <c r="J151" s="253"/>
      <c r="K151" s="38"/>
      <c r="L151" s="193"/>
      <c r="M151" s="607"/>
      <c r="N151" s="39" t="str">
        <f>IF(AND('331-CT'!$E$7=TH!H151,OR(L151="331",M151="331")),"331",IF(AND(OR(L151="131",M151="131"),H151='131-CT'!$E$7),"131",""))</f>
        <v/>
      </c>
      <c r="O151" s="39" t="str">
        <f>IF(AND($B151&gt;='111'!$N$11,$B151&lt;='111'!$O$11,OR($L151=$O$7,$M151=$O$7)),"x","")</f>
        <v/>
      </c>
      <c r="P151" s="39" t="str">
        <f>IF(AND($L151=$O$7,$B151&lt;'111'!$N$11),"x","")</f>
        <v/>
      </c>
      <c r="Q151" s="39" t="str">
        <f>IF(AND($M151=$O$7,$B151&lt;'111'!$N$11),"x","")</f>
        <v/>
      </c>
      <c r="R151" s="39" t="str">
        <f>IF(ISERROR(FIND('112'!$M$9,G151,1)),"",IF((AND(FIND('112'!$M$9,G151,1)&gt;=1,$B151&gt;='112'!$N$8,$B151&lt;='112'!$O$8,OR($L151='112'!$I$6,$M151='112'!$I$6))),"x",""))</f>
        <v/>
      </c>
      <c r="S151" s="39" t="str">
        <f>IF(ISERROR(FIND('112'!$M$9,G151,1)),"",IF((AND(LEFT(G151,2)=LEFT('112'!$M$9,2),B151&lt;'112'!$N$8,$L151='112'!$I$6)),"x",""))</f>
        <v/>
      </c>
      <c r="T151" s="39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39" t="str">
        <f>IF(OR(TH!L151=TH!$V$7,M151=TH!$V$7),"x","")</f>
        <v/>
      </c>
      <c r="W151" s="39" t="str">
        <f>IF(AND(B151&gt;='IN-NX'!$P$3,B151&lt;='IN-NX'!$Q$3,'IN-NX'!$D$7=D151,OR(LEFT(L151,2)="15",AND(LEFT(M151,2)&lt;&gt;"15",LEFT(M151,2)&lt;&gt;"33"))),"x","")</f>
        <v/>
      </c>
      <c r="X151" s="39" t="str">
        <f>IF(AND(OR(LEFT(TH!L151,2)="15",LEFT(TH!M151,2)="15"),'152-CT'!$J$8=TH!F151),"x","")</f>
        <v/>
      </c>
      <c r="Y151" s="39" t="str">
        <f>IF(AND(OR(LEFT(TH!L151,2)="15",LEFT(TH!M151,2)="15"),TK!$E$7=TH!F151),"x","")</f>
        <v/>
      </c>
      <c r="Z151" s="39" t="str">
        <f>IF(AND(B151&lt;=NKC!$N$8,B151&gt;=NKC!$M$8),"x","")</f>
        <v/>
      </c>
      <c r="AA151" s="894"/>
      <c r="AB151" s="598" t="e">
        <f t="shared" si="7"/>
        <v>#N/A</v>
      </c>
    </row>
    <row r="152" spans="1:28" ht="15.75" customHeight="1">
      <c r="A152" s="199" t="str">
        <f>IF(B152&lt;&gt;"",IF(AND(B152&gt;=_TM1,B152&lt;=_TM2,OR(TH!L152="1111",TH!M152="1111")),TH!D152,""),"")</f>
        <v/>
      </c>
      <c r="B152" s="36">
        <f t="shared" si="5"/>
        <v>1</v>
      </c>
      <c r="C152" s="190">
        <f t="shared" si="6"/>
        <v>0</v>
      </c>
      <c r="D152" s="190"/>
      <c r="E152" s="190"/>
      <c r="F152" s="191"/>
      <c r="G152" s="489"/>
      <c r="H152" s="45"/>
      <c r="I152" s="253"/>
      <c r="J152" s="253"/>
      <c r="K152" s="38"/>
      <c r="L152" s="193"/>
      <c r="M152" s="607"/>
      <c r="N152" s="39" t="str">
        <f>IF(AND('331-CT'!$E$7=TH!H152,OR(L152="331",M152="331")),"331",IF(AND(OR(L152="131",M152="131"),H152='131-CT'!$E$7),"131",""))</f>
        <v/>
      </c>
      <c r="O152" s="39" t="str">
        <f>IF(AND($B152&gt;='111'!$N$11,$B152&lt;='111'!$O$11,OR($L152=$O$7,$M152=$O$7)),"x","")</f>
        <v/>
      </c>
      <c r="P152" s="39" t="str">
        <f>IF(AND($L152=$O$7,$B152&lt;'111'!$N$11),"x","")</f>
        <v/>
      </c>
      <c r="Q152" s="39" t="str">
        <f>IF(AND($M152=$O$7,$B152&lt;'111'!$N$11),"x","")</f>
        <v/>
      </c>
      <c r="R152" s="39" t="str">
        <f>IF(ISERROR(FIND('112'!$M$9,G152,1)),"",IF((AND(FIND('112'!$M$9,G152,1)&gt;=1,$B152&gt;='112'!$N$8,$B152&lt;='112'!$O$8,OR($L152='112'!$I$6,$M152='112'!$I$6))),"x",""))</f>
        <v/>
      </c>
      <c r="S152" s="39" t="str">
        <f>IF(ISERROR(FIND('112'!$M$9,G152,1)),"",IF((AND(LEFT(G152,2)=LEFT('112'!$M$9,2),B152&lt;'112'!$N$8,$L152='112'!$I$6)),"x",""))</f>
        <v/>
      </c>
      <c r="T152" s="39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39" t="str">
        <f>IF(OR(TH!L152=TH!$V$7,M152=TH!$V$7),"x","")</f>
        <v/>
      </c>
      <c r="W152" s="39" t="str">
        <f>IF(AND(B152&gt;='IN-NX'!$P$3,B152&lt;='IN-NX'!$Q$3,'IN-NX'!$D$7=D152,OR(LEFT(L152,2)="15",AND(LEFT(M152,2)&lt;&gt;"15",LEFT(M152,2)&lt;&gt;"33"))),"x","")</f>
        <v/>
      </c>
      <c r="X152" s="39" t="str">
        <f>IF(AND(OR(LEFT(TH!L152,2)="15",LEFT(TH!M152,2)="15"),'152-CT'!$J$8=TH!F152),"x","")</f>
        <v/>
      </c>
      <c r="Y152" s="39" t="str">
        <f>IF(AND(OR(LEFT(TH!L152,2)="15",LEFT(TH!M152,2)="15"),TK!$E$7=TH!F152),"x","")</f>
        <v/>
      </c>
      <c r="Z152" s="39" t="str">
        <f>IF(AND(B152&lt;=NKC!$N$8,B152&gt;=NKC!$M$8),"x","")</f>
        <v/>
      </c>
      <c r="AA152" s="894"/>
      <c r="AB152" s="598" t="e">
        <f t="shared" si="7"/>
        <v>#N/A</v>
      </c>
    </row>
    <row r="153" spans="1:28" ht="15.75" customHeight="1">
      <c r="A153" s="199" t="str">
        <f>IF(B153&lt;&gt;"",IF(AND(B153&gt;=_TM1,B153&lt;=_TM2,OR(TH!L153="1111",TH!M153="1111")),TH!D153,""),"")</f>
        <v/>
      </c>
      <c r="B153" s="36">
        <f t="shared" ref="B153:B216" si="8">IF(C153&lt;&gt;"",MONTH(C153),"")</f>
        <v>1</v>
      </c>
      <c r="C153" s="190">
        <f t="shared" si="6"/>
        <v>0</v>
      </c>
      <c r="D153" s="190"/>
      <c r="E153" s="190"/>
      <c r="F153" s="191"/>
      <c r="G153" s="489"/>
      <c r="H153" s="45"/>
      <c r="I153" s="253"/>
      <c r="J153" s="253"/>
      <c r="K153" s="38"/>
      <c r="L153" s="193"/>
      <c r="M153" s="607"/>
      <c r="N153" s="39" t="str">
        <f>IF(AND('331-CT'!$E$7=TH!H153,OR(L153="331",M153="331")),"331",IF(AND(OR(L153="131",M153="131"),H153='131-CT'!$E$7),"131",""))</f>
        <v/>
      </c>
      <c r="O153" s="39" t="str">
        <f>IF(AND($B153&gt;='111'!$N$11,$B153&lt;='111'!$O$11,OR($L153=$O$7,$M153=$O$7)),"x","")</f>
        <v/>
      </c>
      <c r="P153" s="39" t="str">
        <f>IF(AND($L153=$O$7,$B153&lt;'111'!$N$11),"x","")</f>
        <v/>
      </c>
      <c r="Q153" s="39" t="str">
        <f>IF(AND($M153=$O$7,$B153&lt;'111'!$N$11),"x","")</f>
        <v/>
      </c>
      <c r="R153" s="39" t="str">
        <f>IF(ISERROR(FIND('112'!$M$9,G153,1)),"",IF((AND(FIND('112'!$M$9,G153,1)&gt;=1,$B153&gt;='112'!$N$8,$B153&lt;='112'!$O$8,OR($L153='112'!$I$6,$M153='112'!$I$6))),"x",""))</f>
        <v/>
      </c>
      <c r="S153" s="39" t="str">
        <f>IF(ISERROR(FIND('112'!$M$9,G153,1)),"",IF((AND(LEFT(G153,2)=LEFT('112'!$M$9,2),B153&lt;'112'!$N$8,$L153='112'!$I$6)),"x",""))</f>
        <v/>
      </c>
      <c r="T153" s="39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39" t="str">
        <f>IF(OR(TH!L153=TH!$V$7,M153=TH!$V$7),"x","")</f>
        <v/>
      </c>
      <c r="W153" s="39" t="str">
        <f>IF(AND(B153&gt;='IN-NX'!$P$3,B153&lt;='IN-NX'!$Q$3,'IN-NX'!$D$7=D153,OR(LEFT(L153,2)="15",AND(LEFT(M153,2)&lt;&gt;"15",LEFT(M153,2)&lt;&gt;"33"))),"x","")</f>
        <v/>
      </c>
      <c r="X153" s="39" t="str">
        <f>IF(AND(OR(LEFT(TH!L153,2)="15",LEFT(TH!M153,2)="15"),'152-CT'!$J$8=TH!F153),"x","")</f>
        <v/>
      </c>
      <c r="Y153" s="39" t="str">
        <f>IF(AND(OR(LEFT(TH!L153,2)="15",LEFT(TH!M153,2)="15"),TK!$E$7=TH!F153),"x","")</f>
        <v/>
      </c>
      <c r="Z153" s="39" t="str">
        <f>IF(AND(B153&lt;=NKC!$N$8,B153&gt;=NKC!$M$8),"x","")</f>
        <v/>
      </c>
      <c r="AA153" s="894"/>
      <c r="AB153" s="598" t="e">
        <f t="shared" si="7"/>
        <v>#N/A</v>
      </c>
    </row>
    <row r="154" spans="1:28" ht="15.75" customHeight="1">
      <c r="A154" s="199" t="str">
        <f>IF(B154&lt;&gt;"",IF(AND(B154&gt;=_TM1,B154&lt;=_TM2,OR(TH!L154="1111",TH!M154="1111")),TH!D154,""),"")</f>
        <v/>
      </c>
      <c r="B154" s="36">
        <f t="shared" si="8"/>
        <v>1</v>
      </c>
      <c r="C154" s="190">
        <f t="shared" ref="C154:C218" si="9">E154</f>
        <v>0</v>
      </c>
      <c r="D154" s="190"/>
      <c r="E154" s="190"/>
      <c r="F154" s="191"/>
      <c r="G154" s="489"/>
      <c r="H154" s="45"/>
      <c r="I154" s="253"/>
      <c r="J154" s="253"/>
      <c r="K154" s="38"/>
      <c r="L154" s="193"/>
      <c r="M154" s="607"/>
      <c r="N154" s="39" t="str">
        <f>IF(AND('331-CT'!$E$7=TH!H154,OR(L154="331",M154="331")),"331",IF(AND(OR(L154="131",M154="131"),H154='131-CT'!$E$7),"131",""))</f>
        <v/>
      </c>
      <c r="O154" s="39" t="str">
        <f>IF(AND($B154&gt;='111'!$N$11,$B154&lt;='111'!$O$11,OR($L154=$O$7,$M154=$O$7)),"x","")</f>
        <v/>
      </c>
      <c r="P154" s="39" t="str">
        <f>IF(AND($L154=$O$7,$B154&lt;'111'!$N$11),"x","")</f>
        <v/>
      </c>
      <c r="Q154" s="39" t="str">
        <f>IF(AND($M154=$O$7,$B154&lt;'111'!$N$11),"x","")</f>
        <v/>
      </c>
      <c r="R154" s="39" t="str">
        <f>IF(ISERROR(FIND('112'!$M$9,G154,1)),"",IF((AND(FIND('112'!$M$9,G154,1)&gt;=1,$B154&gt;='112'!$N$8,$B154&lt;='112'!$O$8,OR($L154='112'!$I$6,$M154='112'!$I$6))),"x",""))</f>
        <v/>
      </c>
      <c r="S154" s="39" t="str">
        <f>IF(ISERROR(FIND('112'!$M$9,G154,1)),"",IF((AND(LEFT(G154,2)=LEFT('112'!$M$9,2),B154&lt;'112'!$N$8,$L154='112'!$I$6)),"x",""))</f>
        <v/>
      </c>
      <c r="T154" s="39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39" t="str">
        <f>IF(OR(TH!L154=TH!$V$7,M154=TH!$V$7),"x","")</f>
        <v/>
      </c>
      <c r="W154" s="39" t="str">
        <f>IF(AND(B154&gt;='IN-NX'!$P$3,B154&lt;='IN-NX'!$Q$3,'IN-NX'!$D$7=D154,OR(LEFT(L154,2)="15",AND(LEFT(M154,2)&lt;&gt;"15",LEFT(M154,2)&lt;&gt;"33"))),"x","")</f>
        <v/>
      </c>
      <c r="X154" s="39" t="str">
        <f>IF(AND(OR(LEFT(TH!L154,2)="15",LEFT(TH!M154,2)="15"),'152-CT'!$J$8=TH!F154),"x","")</f>
        <v/>
      </c>
      <c r="Y154" s="39" t="str">
        <f>IF(AND(OR(LEFT(TH!L154,2)="15",LEFT(TH!M154,2)="15"),TK!$E$7=TH!F154),"x","")</f>
        <v/>
      </c>
      <c r="Z154" s="39" t="str">
        <f>IF(AND(B154&lt;=NKC!$N$8,B154&gt;=NKC!$M$8),"x","")</f>
        <v/>
      </c>
      <c r="AA154" s="894"/>
      <c r="AB154" s="598" t="e">
        <f t="shared" si="7"/>
        <v>#N/A</v>
      </c>
    </row>
    <row r="155" spans="1:28" ht="15.75" customHeight="1">
      <c r="A155" s="199" t="str">
        <f>IF(B155&lt;&gt;"",IF(AND(B155&gt;=_TM1,B155&lt;=_TM2,OR(TH!L155="1111",TH!M155="1111")),TH!D155,""),"")</f>
        <v/>
      </c>
      <c r="B155" s="36">
        <f t="shared" si="8"/>
        <v>1</v>
      </c>
      <c r="C155" s="190">
        <f t="shared" si="9"/>
        <v>0</v>
      </c>
      <c r="D155" s="190"/>
      <c r="E155" s="190"/>
      <c r="F155" s="191"/>
      <c r="G155" s="489"/>
      <c r="H155" s="45"/>
      <c r="I155" s="253"/>
      <c r="J155" s="253"/>
      <c r="K155" s="38"/>
      <c r="L155" s="193"/>
      <c r="M155" s="607"/>
      <c r="N155" s="39" t="str">
        <f>IF(AND('331-CT'!$E$7=TH!H155,OR(L155="331",M155="331")),"331",IF(AND(OR(L155="131",M155="131"),H155='131-CT'!$E$7),"131",""))</f>
        <v/>
      </c>
      <c r="O155" s="39" t="str">
        <f>IF(AND($B155&gt;='111'!$N$11,$B155&lt;='111'!$O$11,OR($L155=$O$7,$M155=$O$7)),"x","")</f>
        <v/>
      </c>
      <c r="P155" s="39" t="str">
        <f>IF(AND($L155=$O$7,$B155&lt;'111'!$N$11),"x","")</f>
        <v/>
      </c>
      <c r="Q155" s="39" t="str">
        <f>IF(AND($M155=$O$7,$B155&lt;'111'!$N$11),"x","")</f>
        <v/>
      </c>
      <c r="R155" s="39" t="str">
        <f>IF(ISERROR(FIND('112'!$M$9,G155,1)),"",IF((AND(FIND('112'!$M$9,G155,1)&gt;=1,$B155&gt;='112'!$N$8,$B155&lt;='112'!$O$8,OR($L155='112'!$I$6,$M155='112'!$I$6))),"x",""))</f>
        <v/>
      </c>
      <c r="S155" s="39" t="str">
        <f>IF(ISERROR(FIND('112'!$M$9,G155,1)),"",IF((AND(LEFT(G155,2)=LEFT('112'!$M$9,2),B155&lt;'112'!$N$8,$L155='112'!$I$6)),"x",""))</f>
        <v/>
      </c>
      <c r="T155" s="39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39" t="str">
        <f>IF(OR(TH!L155=TH!$V$7,M155=TH!$V$7),"x","")</f>
        <v/>
      </c>
      <c r="W155" s="39" t="str">
        <f>IF(AND(B155&gt;='IN-NX'!$P$3,B155&lt;='IN-NX'!$Q$3,'IN-NX'!$D$7=D155,OR(LEFT(L155,2)="15",AND(LEFT(M155,2)&lt;&gt;"15",LEFT(M155,2)&lt;&gt;"33"))),"x","")</f>
        <v/>
      </c>
      <c r="X155" s="39" t="str">
        <f>IF(AND(OR(LEFT(TH!L155,2)="15",LEFT(TH!M155,2)="15"),'152-CT'!$J$8=TH!F155),"x","")</f>
        <v/>
      </c>
      <c r="Y155" s="39" t="str">
        <f>IF(AND(OR(LEFT(TH!L155,2)="15",LEFT(TH!M155,2)="15"),TK!$E$7=TH!F155),"x","")</f>
        <v/>
      </c>
      <c r="Z155" s="39" t="str">
        <f>IF(AND(B155&lt;=NKC!$N$8,B155&gt;=NKC!$M$8),"x","")</f>
        <v/>
      </c>
      <c r="AA155" s="894"/>
      <c r="AB155" s="598" t="e">
        <f t="shared" si="7"/>
        <v>#N/A</v>
      </c>
    </row>
    <row r="156" spans="1:28" ht="15.75" customHeight="1">
      <c r="A156" s="199" t="str">
        <f>IF(B156&lt;&gt;"",IF(AND(B156&gt;=_TM1,B156&lt;=_TM2,OR(TH!L156="1111",TH!M156="1111")),TH!D156,""),"")</f>
        <v/>
      </c>
      <c r="B156" s="36">
        <f t="shared" si="8"/>
        <v>1</v>
      </c>
      <c r="C156" s="190">
        <f t="shared" si="9"/>
        <v>0</v>
      </c>
      <c r="D156" s="190"/>
      <c r="E156" s="190"/>
      <c r="F156" s="191"/>
      <c r="G156" s="489"/>
      <c r="H156" s="45"/>
      <c r="I156" s="253"/>
      <c r="J156" s="253"/>
      <c r="K156" s="38"/>
      <c r="L156" s="193"/>
      <c r="M156" s="607"/>
      <c r="N156" s="39" t="str">
        <f>IF(AND('331-CT'!$E$7=TH!H156,OR(L156="331",M156="331")),"331",IF(AND(OR(L156="131",M156="131"),H156='131-CT'!$E$7),"131",""))</f>
        <v/>
      </c>
      <c r="O156" s="39" t="str">
        <f>IF(AND($B156&gt;='111'!$N$11,$B156&lt;='111'!$O$11,OR($L156=$O$7,$M156=$O$7)),"x","")</f>
        <v/>
      </c>
      <c r="P156" s="39" t="str">
        <f>IF(AND($L156=$O$7,$B156&lt;'111'!$N$11),"x","")</f>
        <v/>
      </c>
      <c r="Q156" s="39" t="str">
        <f>IF(AND($M156=$O$7,$B156&lt;'111'!$N$11),"x","")</f>
        <v/>
      </c>
      <c r="R156" s="39" t="str">
        <f>IF(ISERROR(FIND('112'!$M$9,G156,1)),"",IF((AND(FIND('112'!$M$9,G156,1)&gt;=1,$B156&gt;='112'!$N$8,$B156&lt;='112'!$O$8,OR($L156='112'!$I$6,$M156='112'!$I$6))),"x",""))</f>
        <v/>
      </c>
      <c r="S156" s="39" t="str">
        <f>IF(ISERROR(FIND('112'!$M$9,G156,1)),"",IF((AND(LEFT(G156,2)=LEFT('112'!$M$9,2),B156&lt;'112'!$N$8,$L156='112'!$I$6)),"x",""))</f>
        <v/>
      </c>
      <c r="T156" s="39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39" t="str">
        <f>IF(OR(TH!L156=TH!$V$7,M156=TH!$V$7),"x","")</f>
        <v/>
      </c>
      <c r="W156" s="39" t="str">
        <f>IF(AND(B156&gt;='IN-NX'!$P$3,B156&lt;='IN-NX'!$Q$3,'IN-NX'!$D$7=D156,OR(LEFT(L156,2)="15",AND(LEFT(M156,2)&lt;&gt;"15",LEFT(M156,2)&lt;&gt;"33"))),"x","")</f>
        <v/>
      </c>
      <c r="X156" s="39" t="str">
        <f>IF(AND(OR(LEFT(TH!L156,2)="15",LEFT(TH!M156,2)="15"),'152-CT'!$J$8=TH!F156),"x","")</f>
        <v/>
      </c>
      <c r="Y156" s="39" t="str">
        <f>IF(AND(OR(LEFT(TH!L156,2)="15",LEFT(TH!M156,2)="15"),TK!$E$7=TH!F156),"x","")</f>
        <v/>
      </c>
      <c r="Z156" s="39" t="str">
        <f>IF(AND(B156&lt;=NKC!$N$8,B156&gt;=NKC!$M$8),"x","")</f>
        <v/>
      </c>
      <c r="AA156" s="894"/>
      <c r="AB156" s="598" t="e">
        <f t="shared" si="7"/>
        <v>#N/A</v>
      </c>
    </row>
    <row r="157" spans="1:28" ht="15.75" customHeight="1">
      <c r="A157" s="199" t="str">
        <f>IF(B157&lt;&gt;"",IF(AND(B157&gt;=_TM1,B157&lt;=_TM2,OR(TH!L157="1111",TH!M157="1111")),TH!D157,""),"")</f>
        <v/>
      </c>
      <c r="B157" s="36">
        <f t="shared" si="8"/>
        <v>1</v>
      </c>
      <c r="C157" s="190">
        <f t="shared" si="9"/>
        <v>0</v>
      </c>
      <c r="D157" s="190"/>
      <c r="E157" s="190"/>
      <c r="F157" s="191"/>
      <c r="G157" s="489"/>
      <c r="H157" s="45"/>
      <c r="I157" s="253"/>
      <c r="J157" s="253"/>
      <c r="K157" s="38"/>
      <c r="L157" s="193"/>
      <c r="M157" s="607"/>
      <c r="N157" s="39" t="str">
        <f>IF(AND('331-CT'!$E$7=TH!H157,OR(L157="331",M157="331")),"331",IF(AND(OR(L157="131",M157="131"),H157='131-CT'!$E$7),"131",""))</f>
        <v/>
      </c>
      <c r="O157" s="39" t="str">
        <f>IF(AND($B157&gt;='111'!$N$11,$B157&lt;='111'!$O$11,OR($L157=$O$7,$M157=$O$7)),"x","")</f>
        <v/>
      </c>
      <c r="P157" s="39" t="str">
        <f>IF(AND($L157=$O$7,$B157&lt;'111'!$N$11),"x","")</f>
        <v/>
      </c>
      <c r="Q157" s="39" t="str">
        <f>IF(AND($M157=$O$7,$B157&lt;'111'!$N$11),"x","")</f>
        <v/>
      </c>
      <c r="R157" s="39" t="str">
        <f>IF(ISERROR(FIND('112'!$M$9,G157,1)),"",IF((AND(FIND('112'!$M$9,G157,1)&gt;=1,$B157&gt;='112'!$N$8,$B157&lt;='112'!$O$8,OR($L157='112'!$I$6,$M157='112'!$I$6))),"x",""))</f>
        <v/>
      </c>
      <c r="S157" s="39" t="str">
        <f>IF(ISERROR(FIND('112'!$M$9,G157,1)),"",IF((AND(LEFT(G157,2)=LEFT('112'!$M$9,2),B157&lt;'112'!$N$8,$L157='112'!$I$6)),"x",""))</f>
        <v/>
      </c>
      <c r="T157" s="39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39" t="str">
        <f>IF(OR(TH!L157=TH!$V$7,M157=TH!$V$7),"x","")</f>
        <v/>
      </c>
      <c r="W157" s="39" t="str">
        <f>IF(AND(B157&gt;='IN-NX'!$P$3,B157&lt;='IN-NX'!$Q$3,'IN-NX'!$D$7=D157,OR(LEFT(L157,2)="15",AND(LEFT(M157,2)&lt;&gt;"15",LEFT(M157,2)&lt;&gt;"33"))),"x","")</f>
        <v/>
      </c>
      <c r="X157" s="39" t="str">
        <f>IF(AND(OR(LEFT(TH!L157,2)="15",LEFT(TH!M157,2)="15"),'152-CT'!$J$8=TH!F157),"x","")</f>
        <v/>
      </c>
      <c r="Y157" s="39" t="str">
        <f>IF(AND(OR(LEFT(TH!L157,2)="15",LEFT(TH!M157,2)="15"),TK!$E$7=TH!F157),"x","")</f>
        <v/>
      </c>
      <c r="Z157" s="39" t="str">
        <f>IF(AND(B157&lt;=NKC!$N$8,B157&gt;=NKC!$M$8),"x","")</f>
        <v/>
      </c>
      <c r="AA157" s="894"/>
      <c r="AB157" s="598" t="e">
        <f t="shared" si="7"/>
        <v>#N/A</v>
      </c>
    </row>
    <row r="158" spans="1:28" ht="15.75" customHeight="1">
      <c r="A158" s="199" t="str">
        <f>IF(B158&lt;&gt;"",IF(AND(B158&gt;=_TM1,B158&lt;=_TM2,OR(TH!L158="1111",TH!M158="1111")),TH!D158,""),"")</f>
        <v/>
      </c>
      <c r="B158" s="36">
        <f t="shared" si="8"/>
        <v>1</v>
      </c>
      <c r="C158" s="190">
        <f t="shared" si="9"/>
        <v>0</v>
      </c>
      <c r="D158" s="190"/>
      <c r="E158" s="190"/>
      <c r="F158" s="191"/>
      <c r="G158" s="489"/>
      <c r="H158" s="45"/>
      <c r="I158" s="253"/>
      <c r="J158" s="253"/>
      <c r="K158" s="38"/>
      <c r="L158" s="193"/>
      <c r="M158" s="607"/>
      <c r="N158" s="39" t="str">
        <f>IF(AND('331-CT'!$E$7=TH!H158,OR(L158="331",M158="331")),"331",IF(AND(OR(L158="131",M158="131"),H158='131-CT'!$E$7),"131",""))</f>
        <v/>
      </c>
      <c r="O158" s="39" t="str">
        <f>IF(AND($B158&gt;='111'!$N$11,$B158&lt;='111'!$O$11,OR($L158=$O$7,$M158=$O$7)),"x","")</f>
        <v/>
      </c>
      <c r="P158" s="39" t="str">
        <f>IF(AND($L158=$O$7,$B158&lt;'111'!$N$11),"x","")</f>
        <v/>
      </c>
      <c r="Q158" s="39" t="str">
        <f>IF(AND($M158=$O$7,$B158&lt;'111'!$N$11),"x","")</f>
        <v/>
      </c>
      <c r="R158" s="39" t="str">
        <f>IF(ISERROR(FIND('112'!$M$9,G158,1)),"",IF((AND(FIND('112'!$M$9,G158,1)&gt;=1,$B158&gt;='112'!$N$8,$B158&lt;='112'!$O$8,OR($L158='112'!$I$6,$M158='112'!$I$6))),"x",""))</f>
        <v/>
      </c>
      <c r="S158" s="39" t="str">
        <f>IF(ISERROR(FIND('112'!$M$9,G158,1)),"",IF((AND(LEFT(G158,2)=LEFT('112'!$M$9,2),B158&lt;'112'!$N$8,$L158='112'!$I$6)),"x",""))</f>
        <v/>
      </c>
      <c r="T158" s="39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39" t="str">
        <f>IF(OR(TH!L158=TH!$V$7,M158=TH!$V$7),"x","")</f>
        <v/>
      </c>
      <c r="W158" s="39" t="str">
        <f>IF(AND(B158&gt;='IN-NX'!$P$3,B158&lt;='IN-NX'!$Q$3,'IN-NX'!$D$7=D158,OR(LEFT(L158,2)="15",AND(LEFT(M158,2)&lt;&gt;"15",LEFT(M158,2)&lt;&gt;"33"))),"x","")</f>
        <v/>
      </c>
      <c r="X158" s="39" t="str">
        <f>IF(AND(OR(LEFT(TH!L158,2)="15",LEFT(TH!M158,2)="15"),'152-CT'!$J$8=TH!F158),"x","")</f>
        <v/>
      </c>
      <c r="Y158" s="39" t="str">
        <f>IF(AND(OR(LEFT(TH!L158,2)="15",LEFT(TH!M158,2)="15"),TK!$E$7=TH!F158),"x","")</f>
        <v/>
      </c>
      <c r="Z158" s="39" t="str">
        <f>IF(AND(B158&lt;=NKC!$N$8,B158&gt;=NKC!$M$8),"x","")</f>
        <v/>
      </c>
      <c r="AA158" s="894"/>
      <c r="AB158" s="598" t="e">
        <f t="shared" si="7"/>
        <v>#N/A</v>
      </c>
    </row>
    <row r="159" spans="1:28" ht="15.75" customHeight="1">
      <c r="A159" s="199" t="str">
        <f>IF(B159&lt;&gt;"",IF(AND(B159&gt;=_TM1,B159&lt;=_TM2,OR(TH!L159="1111",TH!M159="1111")),TH!D159,""),"")</f>
        <v/>
      </c>
      <c r="B159" s="36">
        <f t="shared" si="8"/>
        <v>1</v>
      </c>
      <c r="C159" s="190">
        <f t="shared" si="9"/>
        <v>0</v>
      </c>
      <c r="D159" s="190"/>
      <c r="E159" s="190"/>
      <c r="F159" s="191"/>
      <c r="G159" s="489"/>
      <c r="H159" s="45"/>
      <c r="I159" s="253"/>
      <c r="J159" s="253"/>
      <c r="K159" s="38"/>
      <c r="L159" s="193"/>
      <c r="M159" s="607"/>
      <c r="N159" s="39" t="str">
        <f>IF(AND('331-CT'!$E$7=TH!H159,OR(L159="331",M159="331")),"331",IF(AND(OR(L159="131",M159="131"),H159='131-CT'!$E$7),"131",""))</f>
        <v/>
      </c>
      <c r="O159" s="39" t="str">
        <f>IF(AND($B159&gt;='111'!$N$11,$B159&lt;='111'!$O$11,OR($L159=$O$7,$M159=$O$7)),"x","")</f>
        <v/>
      </c>
      <c r="P159" s="39" t="str">
        <f>IF(AND($L159=$O$7,$B159&lt;'111'!$N$11),"x","")</f>
        <v/>
      </c>
      <c r="Q159" s="39" t="str">
        <f>IF(AND($M159=$O$7,$B159&lt;'111'!$N$11),"x","")</f>
        <v/>
      </c>
      <c r="R159" s="39" t="str">
        <f>IF(ISERROR(FIND('112'!$M$9,G159,1)),"",IF((AND(FIND('112'!$M$9,G159,1)&gt;=1,$B159&gt;='112'!$N$8,$B159&lt;='112'!$O$8,OR($L159='112'!$I$6,$M159='112'!$I$6))),"x",""))</f>
        <v/>
      </c>
      <c r="S159" s="39" t="str">
        <f>IF(ISERROR(FIND('112'!$M$9,G159,1)),"",IF((AND(LEFT(G159,2)=LEFT('112'!$M$9,2),B159&lt;'112'!$N$8,$L159='112'!$I$6)),"x",""))</f>
        <v/>
      </c>
      <c r="T159" s="39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39" t="str">
        <f>IF(OR(TH!L159=TH!$V$7,M159=TH!$V$7),"x","")</f>
        <v/>
      </c>
      <c r="W159" s="39" t="str">
        <f>IF(AND(B159&gt;='IN-NX'!$P$3,B159&lt;='IN-NX'!$Q$3,'IN-NX'!$D$7=D159,OR(LEFT(L159,2)="15",AND(LEFT(M159,2)&lt;&gt;"15",LEFT(M159,2)&lt;&gt;"33"))),"x","")</f>
        <v/>
      </c>
      <c r="X159" s="39" t="str">
        <f>IF(AND(OR(LEFT(TH!L159,2)="15",LEFT(TH!M159,2)="15"),'152-CT'!$J$8=TH!F159),"x","")</f>
        <v/>
      </c>
      <c r="Y159" s="39" t="str">
        <f>IF(AND(OR(LEFT(TH!L159,2)="15",LEFT(TH!M159,2)="15"),TK!$E$7=TH!F159),"x","")</f>
        <v/>
      </c>
      <c r="Z159" s="39" t="str">
        <f>IF(AND(B159&lt;=NKC!$N$8,B159&gt;=NKC!$M$8),"x","")</f>
        <v/>
      </c>
      <c r="AA159" s="894"/>
      <c r="AB159" s="598" t="e">
        <f t="shared" si="7"/>
        <v>#N/A</v>
      </c>
    </row>
    <row r="160" spans="1:28" ht="15.75" customHeight="1">
      <c r="A160" s="199" t="str">
        <f>IF(B160&lt;&gt;"",IF(AND(B160&gt;=_TM1,B160&lt;=_TM2,OR(TH!L160="1111",TH!M160="1111")),TH!D160,""),"")</f>
        <v/>
      </c>
      <c r="B160" s="36">
        <f t="shared" si="8"/>
        <v>1</v>
      </c>
      <c r="C160" s="190">
        <f t="shared" si="9"/>
        <v>0</v>
      </c>
      <c r="D160" s="190"/>
      <c r="E160" s="190"/>
      <c r="F160" s="191"/>
      <c r="G160" s="489"/>
      <c r="H160" s="45"/>
      <c r="I160" s="253"/>
      <c r="J160" s="253"/>
      <c r="K160" s="38"/>
      <c r="L160" s="193"/>
      <c r="M160" s="607"/>
      <c r="N160" s="39" t="str">
        <f>IF(AND('331-CT'!$E$7=TH!H160,OR(L160="331",M160="331")),"331",IF(AND(OR(L160="131",M160="131"),H160='131-CT'!$E$7),"131",""))</f>
        <v/>
      </c>
      <c r="O160" s="39" t="str">
        <f>IF(AND($B160&gt;='111'!$N$11,$B160&lt;='111'!$O$11,OR($L160=$O$7,$M160=$O$7)),"x","")</f>
        <v/>
      </c>
      <c r="P160" s="39" t="str">
        <f>IF(AND($L160=$O$7,$B160&lt;'111'!$N$11),"x","")</f>
        <v/>
      </c>
      <c r="Q160" s="39" t="str">
        <f>IF(AND($M160=$O$7,$B160&lt;'111'!$N$11),"x","")</f>
        <v/>
      </c>
      <c r="R160" s="39" t="str">
        <f>IF(ISERROR(FIND('112'!$M$9,G160,1)),"",IF((AND(FIND('112'!$M$9,G160,1)&gt;=1,$B160&gt;='112'!$N$8,$B160&lt;='112'!$O$8,OR($L160='112'!$I$6,$M160='112'!$I$6))),"x",""))</f>
        <v/>
      </c>
      <c r="S160" s="39" t="str">
        <f>IF(ISERROR(FIND('112'!$M$9,G160,1)),"",IF((AND(LEFT(G160,2)=LEFT('112'!$M$9,2),B160&lt;'112'!$N$8,$L160='112'!$I$6)),"x",""))</f>
        <v/>
      </c>
      <c r="T160" s="39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39" t="str">
        <f>IF(OR(TH!L160=TH!$V$7,M160=TH!$V$7),"x","")</f>
        <v/>
      </c>
      <c r="W160" s="39" t="str">
        <f>IF(AND(B160&gt;='IN-NX'!$P$3,B160&lt;='IN-NX'!$Q$3,'IN-NX'!$D$7=D160,OR(LEFT(L160,2)="15",AND(LEFT(M160,2)&lt;&gt;"15",LEFT(M160,2)&lt;&gt;"33"))),"x","")</f>
        <v/>
      </c>
      <c r="X160" s="39" t="str">
        <f>IF(AND(OR(LEFT(TH!L160,2)="15",LEFT(TH!M160,2)="15"),'152-CT'!$J$8=TH!F160),"x","")</f>
        <v/>
      </c>
      <c r="Y160" s="39" t="str">
        <f>IF(AND(OR(LEFT(TH!L160,2)="15",LEFT(TH!M160,2)="15"),TK!$E$7=TH!F160),"x","")</f>
        <v/>
      </c>
      <c r="Z160" s="39" t="str">
        <f>IF(AND(B160&lt;=NKC!$N$8,B160&gt;=NKC!$M$8),"x","")</f>
        <v/>
      </c>
      <c r="AA160" s="894"/>
      <c r="AB160" s="598" t="e">
        <f t="shared" si="7"/>
        <v>#N/A</v>
      </c>
    </row>
    <row r="161" spans="1:30" ht="15.75" customHeight="1">
      <c r="A161" s="199" t="str">
        <f>IF(B161&lt;&gt;"",IF(AND(B161&gt;=_TM1,B161&lt;=_TM2,OR(TH!L161="1111",TH!M161="1111")),TH!D161,""),"")</f>
        <v/>
      </c>
      <c r="B161" s="36">
        <f t="shared" si="8"/>
        <v>1</v>
      </c>
      <c r="C161" s="190">
        <f t="shared" si="9"/>
        <v>0</v>
      </c>
      <c r="D161" s="190"/>
      <c r="E161" s="190"/>
      <c r="F161" s="191"/>
      <c r="G161" s="489"/>
      <c r="H161" s="45"/>
      <c r="I161" s="253"/>
      <c r="J161" s="253"/>
      <c r="K161" s="38"/>
      <c r="L161" s="193"/>
      <c r="M161" s="607"/>
      <c r="N161" s="39" t="str">
        <f>IF(AND('331-CT'!$E$7=TH!H161,OR(L161="331",M161="331")),"331",IF(AND(OR(L161="131",M161="131"),H161='131-CT'!$E$7),"131",""))</f>
        <v/>
      </c>
      <c r="O161" s="39" t="str">
        <f>IF(AND($B161&gt;='111'!$N$11,$B161&lt;='111'!$O$11,OR($L161=$O$7,$M161=$O$7)),"x","")</f>
        <v/>
      </c>
      <c r="P161" s="39" t="str">
        <f>IF(AND($L161=$O$7,$B161&lt;'111'!$N$11),"x","")</f>
        <v/>
      </c>
      <c r="Q161" s="39" t="str">
        <f>IF(AND($M161=$O$7,$B161&lt;'111'!$N$11),"x","")</f>
        <v/>
      </c>
      <c r="R161" s="39" t="str">
        <f>IF(ISERROR(FIND('112'!$M$9,G161,1)),"",IF((AND(FIND('112'!$M$9,G161,1)&gt;=1,$B161&gt;='112'!$N$8,$B161&lt;='112'!$O$8,OR($L161='112'!$I$6,$M161='112'!$I$6))),"x",""))</f>
        <v/>
      </c>
      <c r="S161" s="39" t="str">
        <f>IF(ISERROR(FIND('112'!$M$9,G161,1)),"",IF((AND(LEFT(G161,2)=LEFT('112'!$M$9,2),B161&lt;'112'!$N$8,$L161='112'!$I$6)),"x",""))</f>
        <v/>
      </c>
      <c r="T161" s="39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39" t="str">
        <f>IF(OR(TH!L161=TH!$V$7,M161=TH!$V$7),"x","")</f>
        <v/>
      </c>
      <c r="W161" s="39" t="str">
        <f>IF(AND(B161&gt;='IN-NX'!$P$3,B161&lt;='IN-NX'!$Q$3,'IN-NX'!$D$7=D161,OR(LEFT(L161,2)="15",AND(LEFT(M161,2)&lt;&gt;"15",LEFT(M161,2)&lt;&gt;"33"))),"x","")</f>
        <v/>
      </c>
      <c r="X161" s="39" t="str">
        <f>IF(AND(OR(LEFT(TH!L161,2)="15",LEFT(TH!M161,2)="15"),'152-CT'!$J$8=TH!F161),"x","")</f>
        <v/>
      </c>
      <c r="Y161" s="39" t="str">
        <f>IF(AND(OR(LEFT(TH!L161,2)="15",LEFT(TH!M161,2)="15"),TK!$E$7=TH!F161),"x","")</f>
        <v/>
      </c>
      <c r="Z161" s="39" t="str">
        <f>IF(AND(B161&lt;=NKC!$N$8,B161&gt;=NKC!$M$8),"x","")</f>
        <v/>
      </c>
      <c r="AA161" s="894"/>
      <c r="AB161" s="598" t="e">
        <f t="shared" si="7"/>
        <v>#N/A</v>
      </c>
    </row>
    <row r="162" spans="1:30" ht="15.75" customHeight="1">
      <c r="A162" s="199" t="str">
        <f>IF(B162&lt;&gt;"",IF(AND(B162&gt;=_TM1,B162&lt;=_TM2,OR(TH!L162="1111",TH!M162="1111")),TH!D162,""),"")</f>
        <v/>
      </c>
      <c r="B162" s="36">
        <f t="shared" si="8"/>
        <v>1</v>
      </c>
      <c r="C162" s="190">
        <f t="shared" si="9"/>
        <v>0</v>
      </c>
      <c r="D162" s="190"/>
      <c r="E162" s="190"/>
      <c r="F162" s="191"/>
      <c r="G162" s="489"/>
      <c r="H162" s="45"/>
      <c r="I162" s="253"/>
      <c r="J162" s="253"/>
      <c r="K162" s="38"/>
      <c r="L162" s="193"/>
      <c r="M162" s="607"/>
      <c r="N162" s="39" t="str">
        <f>IF(AND('331-CT'!$E$7=TH!H162,OR(L162="331",M162="331")),"331",IF(AND(OR(L162="131",M162="131"),H162='131-CT'!$E$7),"131",""))</f>
        <v/>
      </c>
      <c r="O162" s="39" t="str">
        <f>IF(AND($B162&gt;='111'!$N$11,$B162&lt;='111'!$O$11,OR($L162=$O$7,$M162=$O$7)),"x","")</f>
        <v/>
      </c>
      <c r="P162" s="39" t="str">
        <f>IF(AND($L162=$O$7,$B162&lt;'111'!$N$11),"x","")</f>
        <v/>
      </c>
      <c r="Q162" s="39" t="str">
        <f>IF(AND($M162=$O$7,$B162&lt;'111'!$N$11),"x","")</f>
        <v/>
      </c>
      <c r="R162" s="39" t="str">
        <f>IF(ISERROR(FIND('112'!$M$9,G162,1)),"",IF((AND(FIND('112'!$M$9,G162,1)&gt;=1,$B162&gt;='112'!$N$8,$B162&lt;='112'!$O$8,OR($L162='112'!$I$6,$M162='112'!$I$6))),"x",""))</f>
        <v/>
      </c>
      <c r="S162" s="39" t="str">
        <f>IF(ISERROR(FIND('112'!$M$9,G162,1)),"",IF((AND(LEFT(G162,2)=LEFT('112'!$M$9,2),B162&lt;'112'!$N$8,$L162='112'!$I$6)),"x",""))</f>
        <v/>
      </c>
      <c r="T162" s="39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39" t="str">
        <f>IF(OR(TH!L162=TH!$V$7,M162=TH!$V$7),"x","")</f>
        <v/>
      </c>
      <c r="W162" s="39" t="str">
        <f>IF(AND(B162&gt;='IN-NX'!$P$3,B162&lt;='IN-NX'!$Q$3,'IN-NX'!$D$7=D162,OR(LEFT(L162,2)="15",AND(LEFT(M162,2)&lt;&gt;"15",LEFT(M162,2)&lt;&gt;"33"))),"x","")</f>
        <v/>
      </c>
      <c r="X162" s="39" t="str">
        <f>IF(AND(OR(LEFT(TH!L162,2)="15",LEFT(TH!M162,2)="15"),'152-CT'!$J$8=TH!F162),"x","")</f>
        <v/>
      </c>
      <c r="Y162" s="39" t="str">
        <f>IF(AND(OR(LEFT(TH!L162,2)="15",LEFT(TH!M162,2)="15"),TK!$E$7=TH!F162),"x","")</f>
        <v/>
      </c>
      <c r="Z162" s="39" t="str">
        <f>IF(AND(B162&lt;=NKC!$N$8,B162&gt;=NKC!$M$8),"x","")</f>
        <v/>
      </c>
      <c r="AA162" s="894"/>
      <c r="AB162" s="598" t="e">
        <f t="shared" si="7"/>
        <v>#N/A</v>
      </c>
    </row>
    <row r="163" spans="1:30" ht="15.75" customHeight="1">
      <c r="A163" s="199" t="str">
        <f>IF(B163&lt;&gt;"",IF(AND(B163&gt;=_TM1,B163&lt;=_TM2,OR(TH!L163="1111",TH!M163="1111")),TH!D163,""),"")</f>
        <v/>
      </c>
      <c r="B163" s="36">
        <f t="shared" si="8"/>
        <v>1</v>
      </c>
      <c r="C163" s="190">
        <f t="shared" si="9"/>
        <v>0</v>
      </c>
      <c r="D163" s="190"/>
      <c r="E163" s="190"/>
      <c r="F163" s="191"/>
      <c r="G163" s="489"/>
      <c r="H163" s="45"/>
      <c r="I163" s="253"/>
      <c r="J163" s="253"/>
      <c r="K163" s="38"/>
      <c r="L163" s="193"/>
      <c r="M163" s="607"/>
      <c r="N163" s="39" t="str">
        <f>IF(AND('331-CT'!$E$7=TH!H163,OR(L163="331",M163="331")),"331",IF(AND(OR(L163="131",M163="131"),H163='131-CT'!$E$7),"131",""))</f>
        <v/>
      </c>
      <c r="O163" s="39" t="str">
        <f>IF(AND($B163&gt;='111'!$N$11,$B163&lt;='111'!$O$11,OR($L163=$O$7,$M163=$O$7)),"x","")</f>
        <v/>
      </c>
      <c r="P163" s="39" t="str">
        <f>IF(AND($L163=$O$7,$B163&lt;'111'!$N$11),"x","")</f>
        <v/>
      </c>
      <c r="Q163" s="39" t="str">
        <f>IF(AND($M163=$O$7,$B163&lt;'111'!$N$11),"x","")</f>
        <v/>
      </c>
      <c r="R163" s="39" t="str">
        <f>IF(ISERROR(FIND('112'!$M$9,G163,1)),"",IF((AND(FIND('112'!$M$9,G163,1)&gt;=1,$B163&gt;='112'!$N$8,$B163&lt;='112'!$O$8,OR($L163='112'!$I$6,$M163='112'!$I$6))),"x",""))</f>
        <v/>
      </c>
      <c r="S163" s="39" t="str">
        <f>IF(ISERROR(FIND('112'!$M$9,G163,1)),"",IF((AND(LEFT(G163,2)=LEFT('112'!$M$9,2),B163&lt;'112'!$N$8,$L163='112'!$I$6)),"x",""))</f>
        <v/>
      </c>
      <c r="T163" s="39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39" t="str">
        <f>IF(OR(TH!L163=TH!$V$7,M163=TH!$V$7),"x","")</f>
        <v/>
      </c>
      <c r="W163" s="39" t="str">
        <f>IF(AND(B163&gt;='IN-NX'!$P$3,B163&lt;='IN-NX'!$Q$3,'IN-NX'!$D$7=D163,OR(LEFT(L163,2)="15",AND(LEFT(M163,2)&lt;&gt;"15",LEFT(M163,2)&lt;&gt;"33"))),"x","")</f>
        <v/>
      </c>
      <c r="X163" s="39" t="str">
        <f>IF(AND(OR(LEFT(TH!L163,2)="15",LEFT(TH!M163,2)="15"),'152-CT'!$J$8=TH!F163),"x","")</f>
        <v/>
      </c>
      <c r="Y163" s="39" t="str">
        <f>IF(AND(OR(LEFT(TH!L163,2)="15",LEFT(TH!M163,2)="15"),TK!$E$7=TH!F163),"x","")</f>
        <v/>
      </c>
      <c r="Z163" s="39" t="str">
        <f>IF(AND(B163&lt;=NKC!$N$8,B163&gt;=NKC!$M$8),"x","")</f>
        <v/>
      </c>
      <c r="AA163" s="894"/>
      <c r="AB163" s="598" t="e">
        <f t="shared" si="7"/>
        <v>#N/A</v>
      </c>
      <c r="AC163" s="598"/>
      <c r="AD163" s="598"/>
    </row>
    <row r="164" spans="1:30" ht="15.75" customHeight="1">
      <c r="A164" s="199" t="str">
        <f>IF(B164&lt;&gt;"",IF(AND(B164&gt;=_TM1,B164&lt;=_TM2,OR(TH!L164="1111",TH!M164="1111")),TH!D164,""),"")</f>
        <v/>
      </c>
      <c r="B164" s="36">
        <f t="shared" si="8"/>
        <v>1</v>
      </c>
      <c r="C164" s="190">
        <f t="shared" si="9"/>
        <v>0</v>
      </c>
      <c r="D164" s="190"/>
      <c r="E164" s="190"/>
      <c r="F164" s="191"/>
      <c r="G164" s="489"/>
      <c r="H164" s="45"/>
      <c r="I164" s="253"/>
      <c r="J164" s="253"/>
      <c r="K164" s="38"/>
      <c r="L164" s="193"/>
      <c r="M164" s="607"/>
      <c r="N164" s="39" t="str">
        <f>IF(AND('331-CT'!$E$7=TH!H164,OR(L164="331",M164="331")),"331",IF(AND(OR(L164="131",M164="131"),H164='131-CT'!$E$7),"131",""))</f>
        <v/>
      </c>
      <c r="O164" s="39" t="str">
        <f>IF(AND($B164&gt;='111'!$N$11,$B164&lt;='111'!$O$11,OR($L164=$O$7,$M164=$O$7)),"x","")</f>
        <v/>
      </c>
      <c r="P164" s="39" t="str">
        <f>IF(AND($L164=$O$7,$B164&lt;'111'!$N$11),"x","")</f>
        <v/>
      </c>
      <c r="Q164" s="39" t="str">
        <f>IF(AND($M164=$O$7,$B164&lt;'111'!$N$11),"x","")</f>
        <v/>
      </c>
      <c r="R164" s="39" t="str">
        <f>IF(ISERROR(FIND('112'!$M$9,G164,1)),"",IF((AND(FIND('112'!$M$9,G164,1)&gt;=1,$B164&gt;='112'!$N$8,$B164&lt;='112'!$O$8,OR($L164='112'!$I$6,$M164='112'!$I$6))),"x",""))</f>
        <v/>
      </c>
      <c r="S164" s="39" t="str">
        <f>IF(ISERROR(FIND('112'!$M$9,G164,1)),"",IF((AND(LEFT(G164,2)=LEFT('112'!$M$9,2),B164&lt;'112'!$N$8,$L164='112'!$I$6)),"x",""))</f>
        <v/>
      </c>
      <c r="T164" s="39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39" t="str">
        <f>IF(OR(TH!L164=TH!$V$7,M164=TH!$V$7),"x","")</f>
        <v/>
      </c>
      <c r="W164" s="39" t="str">
        <f>IF(AND(B164&gt;='IN-NX'!$P$3,B164&lt;='IN-NX'!$Q$3,'IN-NX'!$D$7=D164,OR(LEFT(L164,2)="15",AND(LEFT(M164,2)&lt;&gt;"15",LEFT(M164,2)&lt;&gt;"33"))),"x","")</f>
        <v/>
      </c>
      <c r="X164" s="39" t="str">
        <f>IF(AND(OR(LEFT(TH!L164,2)="15",LEFT(TH!M164,2)="15"),'152-CT'!$J$8=TH!F164),"x","")</f>
        <v/>
      </c>
      <c r="Y164" s="39" t="str">
        <f>IF(AND(OR(LEFT(TH!L164,2)="15",LEFT(TH!M164,2)="15"),TK!$E$7=TH!F164),"x","")</f>
        <v/>
      </c>
      <c r="Z164" s="39" t="str">
        <f>IF(AND(B164&lt;=NKC!$N$8,B164&gt;=NKC!$M$8),"x","")</f>
        <v/>
      </c>
      <c r="AA164" s="894"/>
      <c r="AB164" s="598" t="e">
        <f t="shared" si="7"/>
        <v>#N/A</v>
      </c>
      <c r="AC164" s="598"/>
    </row>
    <row r="165" spans="1:30" ht="15.75" customHeight="1">
      <c r="A165" s="199" t="str">
        <f>IF(B165&lt;&gt;"",IF(AND(B165&gt;=_TM1,B165&lt;=_TM2,OR(TH!L165="1111",TH!M165="1111")),TH!D165,""),"")</f>
        <v/>
      </c>
      <c r="B165" s="36">
        <f t="shared" si="8"/>
        <v>1</v>
      </c>
      <c r="C165" s="190">
        <f t="shared" si="9"/>
        <v>0</v>
      </c>
      <c r="D165" s="190"/>
      <c r="E165" s="190"/>
      <c r="F165" s="191"/>
      <c r="G165" s="489"/>
      <c r="H165" s="45"/>
      <c r="I165" s="254"/>
      <c r="J165" s="253"/>
      <c r="K165" s="38"/>
      <c r="L165" s="193"/>
      <c r="M165" s="607"/>
      <c r="N165" s="39" t="str">
        <f>IF(AND('331-CT'!$E$7=TH!H165,OR(L165="331",M165="331")),"331",IF(AND(OR(L165="131",M165="131"),H165='131-CT'!$E$7),"131",""))</f>
        <v/>
      </c>
      <c r="O165" s="39" t="str">
        <f>IF(AND($B165&gt;='111'!$N$11,$B165&lt;='111'!$O$11,OR($L165=$O$7,$M165=$O$7)),"x","")</f>
        <v/>
      </c>
      <c r="P165" s="39" t="str">
        <f>IF(AND($L165=$O$7,$B165&lt;'111'!$N$11),"x","")</f>
        <v/>
      </c>
      <c r="Q165" s="39" t="str">
        <f>IF(AND($M165=$O$7,$B165&lt;'111'!$N$11),"x","")</f>
        <v/>
      </c>
      <c r="R165" s="39" t="str">
        <f>IF(ISERROR(FIND('112'!$M$9,G165,1)),"",IF((AND(FIND('112'!$M$9,G165,1)&gt;=1,$B165&gt;='112'!$N$8,$B165&lt;='112'!$O$8,OR($L165='112'!$I$6,$M165='112'!$I$6))),"x",""))</f>
        <v/>
      </c>
      <c r="S165" s="39" t="str">
        <f>IF(ISERROR(FIND('112'!$M$9,G165,1)),"",IF((AND(LEFT(G165,2)=LEFT('112'!$M$9,2),B165&lt;'112'!$N$8,$L165='112'!$I$6)),"x",""))</f>
        <v/>
      </c>
      <c r="T165" s="39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39" t="str">
        <f>IF(OR(TH!L165=TH!$V$7,M165=TH!$V$7),"x","")</f>
        <v/>
      </c>
      <c r="W165" s="39" t="str">
        <f>IF(AND(B165&gt;='IN-NX'!$P$3,B165&lt;='IN-NX'!$Q$3,'IN-NX'!$D$7=D165,OR(LEFT(L165,2)="15",AND(LEFT(M165,2)&lt;&gt;"15",LEFT(M165,2)&lt;&gt;"33"))),"x","")</f>
        <v/>
      </c>
      <c r="X165" s="39" t="str">
        <f>IF(AND(OR(LEFT(TH!L165,2)="15",LEFT(TH!M165,2)="15"),'152-CT'!$J$8=TH!F165),"x","")</f>
        <v/>
      </c>
      <c r="Y165" s="39" t="str">
        <f>IF(AND(OR(LEFT(TH!L165,2)="15",LEFT(TH!M165,2)="15"),TK!$E$7=TH!F165),"x","")</f>
        <v/>
      </c>
      <c r="Z165" s="39" t="str">
        <f>IF(AND(B165&lt;=NKC!$N$8,B165&gt;=NKC!$M$8),"x","")</f>
        <v/>
      </c>
      <c r="AA165" s="894"/>
      <c r="AB165" s="598" t="e">
        <f t="shared" si="7"/>
        <v>#N/A</v>
      </c>
      <c r="AC165" s="598"/>
      <c r="AD165" s="598"/>
    </row>
    <row r="166" spans="1:30" ht="15.75" customHeight="1">
      <c r="A166" s="199" t="str">
        <f>IF(B166&lt;&gt;"",IF(AND(B166&gt;=_TM1,B166&lt;=_TM2,OR(TH!L166="1111",TH!M166="1111")),TH!D166,""),"")</f>
        <v/>
      </c>
      <c r="B166" s="36">
        <f t="shared" si="8"/>
        <v>1</v>
      </c>
      <c r="C166" s="190">
        <f t="shared" si="9"/>
        <v>0</v>
      </c>
      <c r="D166" s="190"/>
      <c r="E166" s="190"/>
      <c r="F166" s="191"/>
      <c r="G166" s="489"/>
      <c r="H166" s="45"/>
      <c r="I166" s="253"/>
      <c r="J166" s="253"/>
      <c r="K166" s="38"/>
      <c r="L166" s="193"/>
      <c r="M166" s="607"/>
      <c r="N166" s="39" t="str">
        <f>IF(AND('331-CT'!$E$7=TH!H166,OR(L166="331",M166="331")),"331",IF(AND(OR(L166="131",M166="131"),H166='131-CT'!$E$7),"131",""))</f>
        <v/>
      </c>
      <c r="O166" s="39" t="str">
        <f>IF(AND($B166&gt;='111'!$N$11,$B166&lt;='111'!$O$11,OR($L166=$O$7,$M166=$O$7)),"x","")</f>
        <v/>
      </c>
      <c r="P166" s="39" t="str">
        <f>IF(AND($L166=$O$7,$B166&lt;'111'!$N$11),"x","")</f>
        <v/>
      </c>
      <c r="Q166" s="39" t="str">
        <f>IF(AND($M166=$O$7,$B166&lt;'111'!$N$11),"x","")</f>
        <v/>
      </c>
      <c r="R166" s="39" t="str">
        <f>IF(ISERROR(FIND('112'!$M$9,G166,1)),"",IF((AND(FIND('112'!$M$9,G166,1)&gt;=1,$B166&gt;='112'!$N$8,$B166&lt;='112'!$O$8,OR($L166='112'!$I$6,$M166='112'!$I$6))),"x",""))</f>
        <v/>
      </c>
      <c r="S166" s="39" t="str">
        <f>IF(ISERROR(FIND('112'!$M$9,G166,1)),"",IF((AND(LEFT(G166,2)=LEFT('112'!$M$9,2),B166&lt;'112'!$N$8,$L166='112'!$I$6)),"x",""))</f>
        <v/>
      </c>
      <c r="T166" s="39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39" t="str">
        <f>IF(OR(TH!L166=TH!$V$7,M166=TH!$V$7),"x","")</f>
        <v/>
      </c>
      <c r="W166" s="39" t="str">
        <f>IF(AND(B166&gt;='IN-NX'!$P$3,B166&lt;='IN-NX'!$Q$3,'IN-NX'!$D$7=D166,OR(LEFT(L166,2)="15",AND(LEFT(M166,2)&lt;&gt;"15",LEFT(M166,2)&lt;&gt;"33"))),"x","")</f>
        <v/>
      </c>
      <c r="X166" s="39" t="str">
        <f>IF(AND(OR(LEFT(TH!L166,2)="15",LEFT(TH!M166,2)="15"),'152-CT'!$J$8=TH!F166),"x","")</f>
        <v/>
      </c>
      <c r="Y166" s="39" t="str">
        <f>IF(AND(OR(LEFT(TH!L166,2)="15",LEFT(TH!M166,2)="15"),TK!$E$7=TH!F166),"x","")</f>
        <v/>
      </c>
      <c r="Z166" s="39" t="str">
        <f>IF(AND(B166&lt;=NKC!$N$8,B166&gt;=NKC!$M$8),"x","")</f>
        <v/>
      </c>
      <c r="AA166" s="894"/>
      <c r="AB166" s="598" t="e">
        <f t="shared" si="7"/>
        <v>#N/A</v>
      </c>
    </row>
    <row r="167" spans="1:30" ht="15.75" customHeight="1">
      <c r="A167" s="199" t="str">
        <f>IF(B167&lt;&gt;"",IF(AND(B167&gt;=_TM1,B167&lt;=_TM2,OR(TH!L167="1111",TH!M167="1111")),TH!D167,""),"")</f>
        <v/>
      </c>
      <c r="B167" s="36">
        <f t="shared" si="8"/>
        <v>1</v>
      </c>
      <c r="C167" s="190">
        <f t="shared" si="9"/>
        <v>0</v>
      </c>
      <c r="D167" s="190"/>
      <c r="E167" s="190"/>
      <c r="F167" s="191"/>
      <c r="G167" s="489"/>
      <c r="H167" s="45"/>
      <c r="I167" s="254"/>
      <c r="J167" s="253"/>
      <c r="K167" s="38"/>
      <c r="L167" s="193"/>
      <c r="M167" s="607"/>
      <c r="N167" s="39" t="str">
        <f>IF(AND('331-CT'!$E$7=TH!H167,OR(L167="331",M167="331")),"331",IF(AND(OR(L167="131",M167="131"),H167='131-CT'!$E$7),"131",""))</f>
        <v/>
      </c>
      <c r="O167" s="39" t="str">
        <f>IF(AND($B167&gt;='111'!$N$11,$B167&lt;='111'!$O$11,OR($L167=$O$7,$M167=$O$7)),"x","")</f>
        <v/>
      </c>
      <c r="P167" s="39" t="str">
        <f>IF(AND($L167=$O$7,$B167&lt;'111'!$N$11),"x","")</f>
        <v/>
      </c>
      <c r="Q167" s="39" t="str">
        <f>IF(AND($M167=$O$7,$B167&lt;'111'!$N$11),"x","")</f>
        <v/>
      </c>
      <c r="R167" s="39" t="str">
        <f>IF(ISERROR(FIND('112'!$M$9,G167,1)),"",IF((AND(FIND('112'!$M$9,G167,1)&gt;=1,$B167&gt;='112'!$N$8,$B167&lt;='112'!$O$8,OR($L167='112'!$I$6,$M167='112'!$I$6))),"x",""))</f>
        <v/>
      </c>
      <c r="S167" s="39" t="str">
        <f>IF(ISERROR(FIND('112'!$M$9,G167,1)),"",IF((AND(LEFT(G167,2)=LEFT('112'!$M$9,2),B167&lt;'112'!$N$8,$L167='112'!$I$6)),"x",""))</f>
        <v/>
      </c>
      <c r="T167" s="39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39" t="str">
        <f>IF(OR(TH!L167=TH!$V$7,M167=TH!$V$7),"x","")</f>
        <v/>
      </c>
      <c r="W167" s="39" t="str">
        <f>IF(AND(B167&gt;='IN-NX'!$P$3,B167&lt;='IN-NX'!$Q$3,'IN-NX'!$D$7=D167,OR(LEFT(L167,2)="15",AND(LEFT(M167,2)&lt;&gt;"15",LEFT(M167,2)&lt;&gt;"33"))),"x","")</f>
        <v/>
      </c>
      <c r="X167" s="39" t="str">
        <f>IF(AND(OR(LEFT(TH!L167,2)="15",LEFT(TH!M167,2)="15"),'152-CT'!$J$8=TH!F167),"x","")</f>
        <v/>
      </c>
      <c r="Y167" s="39" t="str">
        <f>IF(AND(OR(LEFT(TH!L167,2)="15",LEFT(TH!M167,2)="15"),TK!$E$7=TH!F167),"x","")</f>
        <v/>
      </c>
      <c r="Z167" s="39" t="str">
        <f>IF(AND(B167&lt;=NKC!$N$8,B167&gt;=NKC!$M$8),"x","")</f>
        <v/>
      </c>
      <c r="AA167" s="894"/>
      <c r="AB167" s="598" t="e">
        <f t="shared" si="7"/>
        <v>#N/A</v>
      </c>
    </row>
    <row r="168" spans="1:30" ht="15.75" customHeight="1">
      <c r="A168" s="199" t="str">
        <f>IF(B168&lt;&gt;"",IF(AND(B168&gt;=_TM1,B168&lt;=_TM2,OR(TH!L168="1111",TH!M168="1111")),TH!D168,""),"")</f>
        <v/>
      </c>
      <c r="B168" s="36">
        <f t="shared" si="8"/>
        <v>1</v>
      </c>
      <c r="C168" s="190">
        <f t="shared" si="9"/>
        <v>0</v>
      </c>
      <c r="D168" s="190"/>
      <c r="E168" s="190"/>
      <c r="F168" s="191"/>
      <c r="G168" s="489"/>
      <c r="H168" s="45"/>
      <c r="I168" s="254"/>
      <c r="J168" s="253"/>
      <c r="K168" s="38"/>
      <c r="L168" s="193"/>
      <c r="M168" s="607"/>
      <c r="N168" s="39" t="str">
        <f>IF(AND('331-CT'!$E$7=TH!H168,OR(L168="331",M168="331")),"331",IF(AND(OR(L168="131",M168="131"),H168='131-CT'!$E$7),"131",""))</f>
        <v/>
      </c>
      <c r="O168" s="39" t="str">
        <f>IF(AND($B168&gt;='111'!$N$11,$B168&lt;='111'!$O$11,OR($L168=$O$7,$M168=$O$7)),"x","")</f>
        <v/>
      </c>
      <c r="P168" s="39" t="str">
        <f>IF(AND($L168=$O$7,$B168&lt;'111'!$N$11),"x","")</f>
        <v/>
      </c>
      <c r="Q168" s="39" t="str">
        <f>IF(AND($M168=$O$7,$B168&lt;'111'!$N$11),"x","")</f>
        <v/>
      </c>
      <c r="R168" s="39" t="str">
        <f>IF(ISERROR(FIND('112'!$M$9,G168,1)),"",IF((AND(FIND('112'!$M$9,G168,1)&gt;=1,$B168&gt;='112'!$N$8,$B168&lt;='112'!$O$8,OR($L168='112'!$I$6,$M168='112'!$I$6))),"x",""))</f>
        <v/>
      </c>
      <c r="S168" s="39" t="str">
        <f>IF(ISERROR(FIND('112'!$M$9,G168,1)),"",IF((AND(LEFT(G168,2)=LEFT('112'!$M$9,2),B168&lt;'112'!$N$8,$L168='112'!$I$6)),"x",""))</f>
        <v/>
      </c>
      <c r="T168" s="39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39" t="str">
        <f>IF(OR(TH!L168=TH!$V$7,M168=TH!$V$7),"x","")</f>
        <v/>
      </c>
      <c r="W168" s="39" t="str">
        <f>IF(AND(B168&gt;='IN-NX'!$P$3,B168&lt;='IN-NX'!$Q$3,'IN-NX'!$D$7=D168,OR(LEFT(L168,2)="15",AND(LEFT(M168,2)&lt;&gt;"15",LEFT(M168,2)&lt;&gt;"33"))),"x","")</f>
        <v/>
      </c>
      <c r="X168" s="39" t="str">
        <f>IF(AND(OR(LEFT(TH!L168,2)="15",LEFT(TH!M168,2)="15"),'152-CT'!$J$8=TH!F168),"x","")</f>
        <v/>
      </c>
      <c r="Y168" s="39" t="str">
        <f>IF(AND(OR(LEFT(TH!L168,2)="15",LEFT(TH!M168,2)="15"),TK!$E$7=TH!F168),"x","")</f>
        <v/>
      </c>
      <c r="Z168" s="39" t="str">
        <f>IF(AND(B168&lt;=NKC!$N$8,B168&gt;=NKC!$M$8),"x","")</f>
        <v/>
      </c>
      <c r="AA168" s="894"/>
      <c r="AB168" s="598" t="e">
        <f t="shared" si="7"/>
        <v>#N/A</v>
      </c>
    </row>
    <row r="169" spans="1:30" ht="15.75" customHeight="1">
      <c r="A169" s="199" t="str">
        <f>IF(B169&lt;&gt;"",IF(AND(B169&gt;=_TM1,B169&lt;=_TM2,OR(TH!L169="1111",TH!M169="1111")),TH!D169,""),"")</f>
        <v/>
      </c>
      <c r="B169" s="36">
        <f t="shared" si="8"/>
        <v>1</v>
      </c>
      <c r="C169" s="190">
        <f t="shared" si="9"/>
        <v>0</v>
      </c>
      <c r="D169" s="190"/>
      <c r="E169" s="190"/>
      <c r="F169" s="191"/>
      <c r="G169" s="489"/>
      <c r="H169" s="45"/>
      <c r="I169" s="254"/>
      <c r="J169" s="253"/>
      <c r="K169" s="38"/>
      <c r="L169" s="193"/>
      <c r="M169" s="607"/>
      <c r="N169" s="39" t="str">
        <f>IF(AND('331-CT'!$E$7=TH!H169,OR(L169="331",M169="331")),"331",IF(AND(OR(L169="131",M169="131"),H169='131-CT'!$E$7),"131",""))</f>
        <v/>
      </c>
      <c r="O169" s="39" t="str">
        <f>IF(AND($B169&gt;='111'!$N$11,$B169&lt;='111'!$O$11,OR($L169=$O$7,$M169=$O$7)),"x","")</f>
        <v/>
      </c>
      <c r="P169" s="39" t="str">
        <f>IF(AND($L169=$O$7,$B169&lt;'111'!$N$11),"x","")</f>
        <v/>
      </c>
      <c r="Q169" s="39" t="str">
        <f>IF(AND($M169=$O$7,$B169&lt;'111'!$N$11),"x","")</f>
        <v/>
      </c>
      <c r="R169" s="39" t="str">
        <f>IF(ISERROR(FIND('112'!$M$9,G169,1)),"",IF((AND(FIND('112'!$M$9,G169,1)&gt;=1,$B169&gt;='112'!$N$8,$B169&lt;='112'!$O$8,OR($L169='112'!$I$6,$M169='112'!$I$6))),"x",""))</f>
        <v/>
      </c>
      <c r="S169" s="39" t="str">
        <f>IF(ISERROR(FIND('112'!$M$9,G169,1)),"",IF((AND(LEFT(G169,2)=LEFT('112'!$M$9,2),B169&lt;'112'!$N$8,$L169='112'!$I$6)),"x",""))</f>
        <v/>
      </c>
      <c r="T169" s="39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39" t="str">
        <f>IF(OR(TH!L169=TH!$V$7,M169=TH!$V$7),"x","")</f>
        <v/>
      </c>
      <c r="W169" s="39" t="str">
        <f>IF(AND(B169&gt;='IN-NX'!$P$3,B169&lt;='IN-NX'!$Q$3,'IN-NX'!$D$7=D169,OR(LEFT(L169,2)="15",AND(LEFT(M169,2)&lt;&gt;"15",LEFT(M169,2)&lt;&gt;"33"))),"x","")</f>
        <v/>
      </c>
      <c r="X169" s="39" t="str">
        <f>IF(AND(OR(LEFT(TH!L169,2)="15",LEFT(TH!M169,2)="15"),'152-CT'!$J$8=TH!F169),"x","")</f>
        <v/>
      </c>
      <c r="Y169" s="39" t="str">
        <f>IF(AND(OR(LEFT(TH!L169,2)="15",LEFT(TH!M169,2)="15"),TK!$E$7=TH!F169),"x","")</f>
        <v/>
      </c>
      <c r="Z169" s="39" t="str">
        <f>IF(AND(B169&lt;=NKC!$N$8,B169&gt;=NKC!$M$8),"x","")</f>
        <v/>
      </c>
      <c r="AA169" s="894"/>
      <c r="AB169" s="598" t="e">
        <f t="shared" si="7"/>
        <v>#N/A</v>
      </c>
      <c r="AC169" s="598"/>
      <c r="AD169" s="598"/>
    </row>
    <row r="170" spans="1:30" ht="15.75" customHeight="1">
      <c r="A170" s="199" t="str">
        <f>IF(B170&lt;&gt;"",IF(AND(B170&gt;=_TM1,B170&lt;=_TM2,OR(TH!L170="1111",TH!M170="1111")),TH!D170,""),"")</f>
        <v/>
      </c>
      <c r="B170" s="36">
        <f t="shared" si="8"/>
        <v>1</v>
      </c>
      <c r="C170" s="190">
        <f t="shared" si="9"/>
        <v>0</v>
      </c>
      <c r="D170" s="190"/>
      <c r="E170" s="190"/>
      <c r="F170" s="191"/>
      <c r="G170" s="489"/>
      <c r="H170" s="45"/>
      <c r="I170" s="254"/>
      <c r="J170" s="253"/>
      <c r="K170" s="38"/>
      <c r="L170" s="193"/>
      <c r="M170" s="607"/>
      <c r="N170" s="39" t="str">
        <f>IF(AND('331-CT'!$E$7=TH!H170,OR(L170="331",M170="331")),"331",IF(AND(OR(L170="131",M170="131"),H170='131-CT'!$E$7),"131",""))</f>
        <v/>
      </c>
      <c r="O170" s="39" t="str">
        <f>IF(AND($B170&gt;='111'!$N$11,$B170&lt;='111'!$O$11,OR($L170=$O$7,$M170=$O$7)),"x","")</f>
        <v/>
      </c>
      <c r="P170" s="39" t="str">
        <f>IF(AND($L170=$O$7,$B170&lt;'111'!$N$11),"x","")</f>
        <v/>
      </c>
      <c r="Q170" s="39" t="str">
        <f>IF(AND($M170=$O$7,$B170&lt;'111'!$N$11),"x","")</f>
        <v/>
      </c>
      <c r="R170" s="39" t="str">
        <f>IF(ISERROR(FIND('112'!$M$9,G170,1)),"",IF((AND(FIND('112'!$M$9,G170,1)&gt;=1,$B170&gt;='112'!$N$8,$B170&lt;='112'!$O$8,OR($L170='112'!$I$6,$M170='112'!$I$6))),"x",""))</f>
        <v/>
      </c>
      <c r="S170" s="39" t="str">
        <f>IF(ISERROR(FIND('112'!$M$9,G170,1)),"",IF((AND(LEFT(G170,2)=LEFT('112'!$M$9,2),B170&lt;'112'!$N$8,$L170='112'!$I$6)),"x",""))</f>
        <v/>
      </c>
      <c r="T170" s="39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39" t="str">
        <f>IF(OR(TH!L170=TH!$V$7,M170=TH!$V$7),"x","")</f>
        <v/>
      </c>
      <c r="W170" s="39" t="str">
        <f>IF(AND(B170&gt;='IN-NX'!$P$3,B170&lt;='IN-NX'!$Q$3,'IN-NX'!$D$7=D170,OR(LEFT(L170,2)="15",AND(LEFT(M170,2)&lt;&gt;"15",LEFT(M170,2)&lt;&gt;"33"))),"x","")</f>
        <v/>
      </c>
      <c r="X170" s="39" t="str">
        <f>IF(AND(OR(LEFT(TH!L170,2)="15",LEFT(TH!M170,2)="15"),'152-CT'!$J$8=TH!F170),"x","")</f>
        <v/>
      </c>
      <c r="Y170" s="39" t="str">
        <f>IF(AND(OR(LEFT(TH!L170,2)="15",LEFT(TH!M170,2)="15"),TK!$E$7=TH!F170),"x","")</f>
        <v/>
      </c>
      <c r="Z170" s="39" t="str">
        <f>IF(AND(B170&lt;=NKC!$N$8,B170&gt;=NKC!$M$8),"x","")</f>
        <v/>
      </c>
      <c r="AA170" s="894"/>
      <c r="AB170" s="598" t="e">
        <f t="shared" si="7"/>
        <v>#N/A</v>
      </c>
    </row>
    <row r="171" spans="1:30" ht="15.75" customHeight="1">
      <c r="A171" s="199" t="str">
        <f>IF(B171&lt;&gt;"",IF(AND(B171&gt;=_TM1,B171&lt;=_TM2,OR(TH!L171="1111",TH!M171="1111")),TH!D171,""),"")</f>
        <v/>
      </c>
      <c r="B171" s="36">
        <f t="shared" si="8"/>
        <v>1</v>
      </c>
      <c r="C171" s="190">
        <f t="shared" si="9"/>
        <v>0</v>
      </c>
      <c r="D171" s="190"/>
      <c r="E171" s="190"/>
      <c r="F171" s="191"/>
      <c r="G171" s="489"/>
      <c r="H171" s="45"/>
      <c r="I171" s="253"/>
      <c r="J171" s="253"/>
      <c r="K171" s="38"/>
      <c r="L171" s="193"/>
      <c r="M171" s="607"/>
      <c r="N171" s="39" t="str">
        <f>IF(AND('331-CT'!$E$7=TH!H171,OR(L171="331",M171="331")),"331",IF(AND(OR(L171="131",M171="131"),H171='131-CT'!$E$7),"131",""))</f>
        <v/>
      </c>
      <c r="O171" s="39" t="str">
        <f>IF(AND($B171&gt;='111'!$N$11,$B171&lt;='111'!$O$11,OR($L171=$O$7,$M171=$O$7)),"x","")</f>
        <v/>
      </c>
      <c r="P171" s="39" t="str">
        <f>IF(AND($L171=$O$7,$B171&lt;'111'!$N$11),"x","")</f>
        <v/>
      </c>
      <c r="Q171" s="39" t="str">
        <f>IF(AND($M171=$O$7,$B171&lt;'111'!$N$11),"x","")</f>
        <v/>
      </c>
      <c r="R171" s="39" t="str">
        <f>IF(ISERROR(FIND('112'!$M$9,G171,1)),"",IF((AND(FIND('112'!$M$9,G171,1)&gt;=1,$B171&gt;='112'!$N$8,$B171&lt;='112'!$O$8,OR($L171='112'!$I$6,$M171='112'!$I$6))),"x",""))</f>
        <v/>
      </c>
      <c r="S171" s="39" t="str">
        <f>IF(ISERROR(FIND('112'!$M$9,G171,1)),"",IF((AND(LEFT(G171,2)=LEFT('112'!$M$9,2),B171&lt;'112'!$N$8,$L171='112'!$I$6)),"x",""))</f>
        <v/>
      </c>
      <c r="T171" s="39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39" t="str">
        <f>IF(OR(TH!L171=TH!$V$7,M171=TH!$V$7),"x","")</f>
        <v/>
      </c>
      <c r="W171" s="39" t="str">
        <f>IF(AND(B171&gt;='IN-NX'!$P$3,B171&lt;='IN-NX'!$Q$3,'IN-NX'!$D$7=D171,OR(LEFT(L171,2)="15",AND(LEFT(M171,2)&lt;&gt;"15",LEFT(M171,2)&lt;&gt;"33"))),"x","")</f>
        <v/>
      </c>
      <c r="X171" s="39" t="str">
        <f>IF(AND(OR(LEFT(TH!L171,2)="15",LEFT(TH!M171,2)="15"),'152-CT'!$J$8=TH!F171),"x","")</f>
        <v/>
      </c>
      <c r="Y171" s="39" t="str">
        <f>IF(AND(OR(LEFT(TH!L171,2)="15",LEFT(TH!M171,2)="15"),TK!$E$7=TH!F171),"x","")</f>
        <v/>
      </c>
      <c r="Z171" s="39" t="str">
        <f>IF(AND(B171&lt;=NKC!$N$8,B171&gt;=NKC!$M$8),"x","")</f>
        <v/>
      </c>
      <c r="AA171" s="894"/>
      <c r="AB171" s="598" t="e">
        <f t="shared" si="7"/>
        <v>#N/A</v>
      </c>
    </row>
    <row r="172" spans="1:30" ht="15.75" customHeight="1">
      <c r="A172" s="199" t="str">
        <f>IF(B172&lt;&gt;"",IF(AND(B172&gt;=_TM1,B172&lt;=_TM2,OR(TH!L172="1111",TH!M172="1111")),TH!D172,""),"")</f>
        <v/>
      </c>
      <c r="B172" s="36">
        <f t="shared" si="8"/>
        <v>1</v>
      </c>
      <c r="C172" s="190">
        <f t="shared" si="9"/>
        <v>0</v>
      </c>
      <c r="D172" s="190"/>
      <c r="E172" s="190"/>
      <c r="F172" s="191"/>
      <c r="G172" s="489"/>
      <c r="H172" s="45"/>
      <c r="I172" s="253"/>
      <c r="J172" s="253"/>
      <c r="K172" s="38"/>
      <c r="L172" s="193"/>
      <c r="M172" s="607"/>
      <c r="N172" s="39" t="str">
        <f>IF(AND('331-CT'!$E$7=TH!H172,OR(L172="331",M172="331")),"331",IF(AND(OR(L172="131",M172="131"),H172='131-CT'!$E$7),"131",""))</f>
        <v/>
      </c>
      <c r="O172" s="39" t="str">
        <f>IF(AND($B172&gt;='111'!$N$11,$B172&lt;='111'!$O$11,OR($L172=$O$7,$M172=$O$7)),"x","")</f>
        <v/>
      </c>
      <c r="P172" s="39" t="str">
        <f>IF(AND($L172=$O$7,$B172&lt;'111'!$N$11),"x","")</f>
        <v/>
      </c>
      <c r="Q172" s="39" t="str">
        <f>IF(AND($M172=$O$7,$B172&lt;'111'!$N$11),"x","")</f>
        <v/>
      </c>
      <c r="R172" s="39" t="str">
        <f>IF(ISERROR(FIND('112'!$M$9,G172,1)),"",IF((AND(FIND('112'!$M$9,G172,1)&gt;=1,$B172&gt;='112'!$N$8,$B172&lt;='112'!$O$8,OR($L172='112'!$I$6,$M172='112'!$I$6))),"x",""))</f>
        <v/>
      </c>
      <c r="S172" s="39" t="str">
        <f>IF(ISERROR(FIND('112'!$M$9,G172,1)),"",IF((AND(LEFT(G172,2)=LEFT('112'!$M$9,2),B172&lt;'112'!$N$8,$L172='112'!$I$6)),"x",""))</f>
        <v/>
      </c>
      <c r="T172" s="39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39" t="str">
        <f>IF(OR(TH!L172=TH!$V$7,M172=TH!$V$7),"x","")</f>
        <v/>
      </c>
      <c r="W172" s="39" t="str">
        <f>IF(AND(B172&gt;='IN-NX'!$P$3,B172&lt;='IN-NX'!$Q$3,'IN-NX'!$D$7=D172,OR(LEFT(L172,2)="15",AND(LEFT(M172,2)&lt;&gt;"15",LEFT(M172,2)&lt;&gt;"33"))),"x","")</f>
        <v/>
      </c>
      <c r="X172" s="39" t="str">
        <f>IF(AND(OR(LEFT(TH!L172,2)="15",LEFT(TH!M172,2)="15"),'152-CT'!$J$8=TH!F172),"x","")</f>
        <v/>
      </c>
      <c r="Y172" s="39" t="str">
        <f>IF(AND(OR(LEFT(TH!L172,2)="15",LEFT(TH!M172,2)="15"),TK!$E$7=TH!F172),"x","")</f>
        <v/>
      </c>
      <c r="Z172" s="39" t="str">
        <f>IF(AND(B172&lt;=NKC!$N$8,B172&gt;=NKC!$M$8),"x","")</f>
        <v/>
      </c>
      <c r="AA172" s="894"/>
      <c r="AB172" s="598" t="e">
        <f t="shared" si="7"/>
        <v>#N/A</v>
      </c>
    </row>
    <row r="173" spans="1:30" ht="15.75" customHeight="1">
      <c r="A173" s="199" t="str">
        <f>IF(B173&lt;&gt;"",IF(AND(B173&gt;=_TM1,B173&lt;=_TM2,OR(TH!L173="1111",TH!M173="1111")),TH!D173,""),"")</f>
        <v/>
      </c>
      <c r="B173" s="36">
        <f t="shared" si="8"/>
        <v>1</v>
      </c>
      <c r="C173" s="190">
        <f t="shared" si="9"/>
        <v>0</v>
      </c>
      <c r="D173" s="190"/>
      <c r="E173" s="190"/>
      <c r="F173" s="191"/>
      <c r="G173" s="489"/>
      <c r="H173" s="45"/>
      <c r="I173" s="255"/>
      <c r="J173" s="253"/>
      <c r="K173" s="38"/>
      <c r="L173" s="193"/>
      <c r="M173" s="607"/>
      <c r="N173" s="39" t="str">
        <f>IF(AND('331-CT'!$E$7=TH!H173,OR(L173="331",M173="331")),"331",IF(AND(OR(L173="131",M173="131"),H173='131-CT'!$E$7),"131",""))</f>
        <v/>
      </c>
      <c r="O173" s="39" t="str">
        <f>IF(AND($B173&gt;='111'!$N$11,$B173&lt;='111'!$O$11,OR($L173=$O$7,$M173=$O$7)),"x","")</f>
        <v/>
      </c>
      <c r="P173" s="39" t="str">
        <f>IF(AND($L173=$O$7,$B173&lt;'111'!$N$11),"x","")</f>
        <v/>
      </c>
      <c r="Q173" s="39" t="str">
        <f>IF(AND($M173=$O$7,$B173&lt;'111'!$N$11),"x","")</f>
        <v/>
      </c>
      <c r="R173" s="39" t="str">
        <f>IF(ISERROR(FIND('112'!$M$9,G173,1)),"",IF((AND(FIND('112'!$M$9,G173,1)&gt;=1,$B173&gt;='112'!$N$8,$B173&lt;='112'!$O$8,OR($L173='112'!$I$6,$M173='112'!$I$6))),"x",""))</f>
        <v/>
      </c>
      <c r="S173" s="39" t="str">
        <f>IF(ISERROR(FIND('112'!$M$9,G173,1)),"",IF((AND(LEFT(G173,2)=LEFT('112'!$M$9,2),B173&lt;'112'!$N$8,$L173='112'!$I$6)),"x",""))</f>
        <v/>
      </c>
      <c r="T173" s="39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39" t="str">
        <f>IF(OR(TH!L173=TH!$V$7,M173=TH!$V$7),"x","")</f>
        <v/>
      </c>
      <c r="W173" s="39" t="str">
        <f>IF(AND(B173&gt;='IN-NX'!$P$3,B173&lt;='IN-NX'!$Q$3,'IN-NX'!$D$7=D173,OR(LEFT(L173,2)="15",AND(LEFT(M173,2)&lt;&gt;"15",LEFT(M173,2)&lt;&gt;"33"))),"x","")</f>
        <v/>
      </c>
      <c r="X173" s="39" t="str">
        <f>IF(AND(OR(LEFT(TH!L173,2)="15",LEFT(TH!M173,2)="15"),'152-CT'!$J$8=TH!F173),"x","")</f>
        <v/>
      </c>
      <c r="Y173" s="39" t="str">
        <f>IF(AND(OR(LEFT(TH!L173,2)="15",LEFT(TH!M173,2)="15"),TK!$E$7=TH!F173),"x","")</f>
        <v/>
      </c>
      <c r="Z173" s="39" t="str">
        <f>IF(AND(B173&lt;=NKC!$N$8,B173&gt;=NKC!$M$8),"x","")</f>
        <v/>
      </c>
      <c r="AA173" s="894"/>
      <c r="AB173" s="598" t="e">
        <f t="shared" si="7"/>
        <v>#N/A</v>
      </c>
    </row>
    <row r="174" spans="1:30" ht="15.75" customHeight="1">
      <c r="A174" s="199" t="str">
        <f>IF(B174&lt;&gt;"",IF(AND(B174&gt;=_TM1,B174&lt;=_TM2,OR(TH!L174="1111",TH!M174="1111")),TH!D174,""),"")</f>
        <v/>
      </c>
      <c r="B174" s="36">
        <f t="shared" si="8"/>
        <v>1</v>
      </c>
      <c r="C174" s="190">
        <f t="shared" si="9"/>
        <v>0</v>
      </c>
      <c r="D174" s="190"/>
      <c r="E174" s="190"/>
      <c r="F174" s="191"/>
      <c r="G174" s="491"/>
      <c r="H174" s="192"/>
      <c r="I174" s="253"/>
      <c r="J174" s="255"/>
      <c r="K174" s="38"/>
      <c r="L174" s="193"/>
      <c r="M174" s="193"/>
      <c r="N174" s="39" t="str">
        <f>IF(AND('331-CT'!$E$7=TH!H174,OR(L174="331",M174="331")),"331",IF(AND(OR(L174="131",M174="131"),H174='131-CT'!$E$7),"131",""))</f>
        <v/>
      </c>
      <c r="O174" s="39" t="str">
        <f>IF(AND($B174&gt;='111'!$N$11,$B174&lt;='111'!$O$11,OR($L174=$O$7,$M174=$O$7)),"x","")</f>
        <v/>
      </c>
      <c r="P174" s="39" t="str">
        <f>IF(AND($L174=$O$7,$B174&lt;'111'!$N$11),"x","")</f>
        <v/>
      </c>
      <c r="Q174" s="39" t="str">
        <f>IF(AND($M174=$O$7,$B174&lt;'111'!$N$11),"x","")</f>
        <v/>
      </c>
      <c r="R174" s="39" t="str">
        <f>IF(ISERROR(FIND('112'!$M$9,G174,1)),"",IF((AND(FIND('112'!$M$9,G174,1)&gt;=1,$B174&gt;='112'!$N$8,$B174&lt;='112'!$O$8,OR($L174='112'!$I$6,$M174='112'!$I$6))),"x",""))</f>
        <v/>
      </c>
      <c r="S174" s="39" t="str">
        <f>IF(ISERROR(FIND('112'!$M$9,G174,1)),"",IF((AND(LEFT(G174,2)=LEFT('112'!$M$9,2),B174&lt;'112'!$N$8,$L174='112'!$I$6)),"x",""))</f>
        <v/>
      </c>
      <c r="T174" s="39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39" t="str">
        <f>IF(OR(TH!L174=TH!$V$7,M174=TH!$V$7),"x","")</f>
        <v/>
      </c>
      <c r="W174" s="39" t="str">
        <f>IF(AND(B174&gt;='IN-NX'!$P$3,B174&lt;='IN-NX'!$Q$3,'IN-NX'!$D$7=D174,OR(LEFT(L174,2)="15",AND(LEFT(M174,2)&lt;&gt;"15",LEFT(M174,2)&lt;&gt;"33"))),"x","")</f>
        <v/>
      </c>
      <c r="X174" s="39" t="str">
        <f>IF(AND(OR(LEFT(TH!L174,2)="15",LEFT(TH!M174,2)="15"),'152-CT'!$J$8=TH!F174),"x","")</f>
        <v/>
      </c>
      <c r="Y174" s="39" t="str">
        <f>IF(AND(OR(LEFT(TH!L174,2)="15",LEFT(TH!M174,2)="15"),TK!$E$7=TH!F174),"x","")</f>
        <v/>
      </c>
      <c r="Z174" s="39" t="str">
        <f>IF(AND(B174&lt;=NKC!$N$8,B174&gt;=NKC!$M$8),"x","")</f>
        <v/>
      </c>
      <c r="AA174" s="894"/>
    </row>
    <row r="175" spans="1:30" ht="15.75" customHeight="1">
      <c r="A175" s="199" t="str">
        <f>IF(B175&lt;&gt;"",IF(AND(B175&gt;=_TM1,B175&lt;=_TM2,OR(TH!L175="1111",TH!M175="1111")),TH!D175,""),"")</f>
        <v/>
      </c>
      <c r="B175" s="36">
        <f t="shared" si="8"/>
        <v>1</v>
      </c>
      <c r="C175" s="190">
        <f t="shared" si="9"/>
        <v>0</v>
      </c>
      <c r="D175" s="190"/>
      <c r="E175" s="190"/>
      <c r="F175" s="191"/>
      <c r="G175" s="491"/>
      <c r="H175" s="192"/>
      <c r="I175" s="253"/>
      <c r="J175" s="255"/>
      <c r="K175" s="38"/>
      <c r="L175" s="193"/>
      <c r="M175" s="193"/>
      <c r="N175" s="39" t="str">
        <f>IF(AND('331-CT'!$E$7=TH!H175,OR(L175="331",M175="331")),"331",IF(AND(OR(L175="131",M175="131"),H175='131-CT'!$E$7),"131",""))</f>
        <v/>
      </c>
      <c r="O175" s="39" t="str">
        <f>IF(AND($B175&gt;='111'!$N$11,$B175&lt;='111'!$O$11,OR($L175=$O$7,$M175=$O$7)),"x","")</f>
        <v/>
      </c>
      <c r="P175" s="39" t="str">
        <f>IF(AND($L175=$O$7,$B175&lt;'111'!$N$11),"x","")</f>
        <v/>
      </c>
      <c r="Q175" s="39" t="str">
        <f>IF(AND($M175=$O$7,$B175&lt;'111'!$N$11),"x","")</f>
        <v/>
      </c>
      <c r="R175" s="39" t="str">
        <f>IF(ISERROR(FIND('112'!$M$9,G175,1)),"",IF((AND(FIND('112'!$M$9,G175,1)&gt;=1,$B175&gt;='112'!$N$8,$B175&lt;='112'!$O$8,OR($L175='112'!$I$6,$M175='112'!$I$6))),"x",""))</f>
        <v/>
      </c>
      <c r="S175" s="39" t="str">
        <f>IF(ISERROR(FIND('112'!$M$9,G175,1)),"",IF((AND(LEFT(G175,2)=LEFT('112'!$M$9,2),B175&lt;'112'!$N$8,$L175='112'!$I$6)),"x",""))</f>
        <v/>
      </c>
      <c r="T175" s="39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39" t="str">
        <f>IF(OR(TH!L175=TH!$V$7,M175=TH!$V$7),"x","")</f>
        <v/>
      </c>
      <c r="W175" s="39" t="str">
        <f>IF(AND(B175&gt;='IN-NX'!$P$3,B175&lt;='IN-NX'!$Q$3,'IN-NX'!$D$7=D175,OR(LEFT(L175,2)="15",AND(LEFT(M175,2)&lt;&gt;"15",LEFT(M175,2)&lt;&gt;"33"))),"x","")</f>
        <v/>
      </c>
      <c r="X175" s="39" t="str">
        <f>IF(AND(OR(LEFT(TH!L175,2)="15",LEFT(TH!M175,2)="15"),'152-CT'!$J$8=TH!F175),"x","")</f>
        <v/>
      </c>
      <c r="Y175" s="39" t="str">
        <f>IF(AND(OR(LEFT(TH!L175,2)="15",LEFT(TH!M175,2)="15"),TK!$E$7=TH!F175),"x","")</f>
        <v/>
      </c>
      <c r="Z175" s="39" t="str">
        <f>IF(AND(B175&lt;=NKC!$N$8,B175&gt;=NKC!$M$8),"x","")</f>
        <v/>
      </c>
      <c r="AA175" s="894"/>
    </row>
    <row r="176" spans="1:30" ht="15.75" customHeight="1">
      <c r="A176" s="199" t="str">
        <f>IF(B176&lt;&gt;"",IF(AND(B176&gt;=_TM1,B176&lt;=_TM2,OR(TH!L176="1111",TH!M176="1111")),TH!D176,""),"")</f>
        <v/>
      </c>
      <c r="B176" s="36">
        <f t="shared" si="8"/>
        <v>1</v>
      </c>
      <c r="C176" s="190">
        <f t="shared" si="9"/>
        <v>0</v>
      </c>
      <c r="D176" s="190"/>
      <c r="E176" s="190"/>
      <c r="F176" s="191"/>
      <c r="G176" s="491"/>
      <c r="H176" s="192"/>
      <c r="I176" s="253"/>
      <c r="J176" s="255"/>
      <c r="K176" s="38"/>
      <c r="L176" s="193"/>
      <c r="M176" s="193"/>
      <c r="N176" s="39" t="str">
        <f>IF(AND('331-CT'!$E$7=TH!H176,OR(L176="331",M176="331")),"331",IF(AND(OR(L176="131",M176="131"),H176='131-CT'!$E$7),"131",""))</f>
        <v/>
      </c>
      <c r="O176" s="39" t="str">
        <f>IF(AND($B176&gt;='111'!$N$11,$B176&lt;='111'!$O$11,OR($L176=$O$7,$M176=$O$7)),"x","")</f>
        <v/>
      </c>
      <c r="P176" s="39" t="str">
        <f>IF(AND($L176=$O$7,$B176&lt;'111'!$N$11),"x","")</f>
        <v/>
      </c>
      <c r="Q176" s="39" t="str">
        <f>IF(AND($M176=$O$7,$B176&lt;'111'!$N$11),"x","")</f>
        <v/>
      </c>
      <c r="R176" s="39" t="str">
        <f>IF(ISERROR(FIND('112'!$M$9,G176,1)),"",IF((AND(FIND('112'!$M$9,G176,1)&gt;=1,$B176&gt;='112'!$N$8,$B176&lt;='112'!$O$8,OR($L176='112'!$I$6,$M176='112'!$I$6))),"x",""))</f>
        <v/>
      </c>
      <c r="S176" s="39" t="str">
        <f>IF(ISERROR(FIND('112'!$M$9,G176,1)),"",IF((AND(LEFT(G176,2)=LEFT('112'!$M$9,2),B176&lt;'112'!$N$8,$L176='112'!$I$6)),"x",""))</f>
        <v/>
      </c>
      <c r="T176" s="39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39" t="str">
        <f>IF(OR(TH!L176=TH!$V$7,M176=TH!$V$7),"x","")</f>
        <v/>
      </c>
      <c r="W176" s="39" t="str">
        <f>IF(AND(B176&gt;='IN-NX'!$P$3,B176&lt;='IN-NX'!$Q$3,'IN-NX'!$D$7=D176,OR(LEFT(L176,2)="15",AND(LEFT(M176,2)&lt;&gt;"15",LEFT(M176,2)&lt;&gt;"33"))),"x","")</f>
        <v/>
      </c>
      <c r="X176" s="39" t="str">
        <f>IF(AND(OR(LEFT(TH!L176,2)="15",LEFT(TH!M176,2)="15"),'152-CT'!$J$8=TH!F176),"x","")</f>
        <v/>
      </c>
      <c r="Y176" s="39" t="str">
        <f>IF(AND(OR(LEFT(TH!L176,2)="15",LEFT(TH!M176,2)="15"),TK!$E$7=TH!F176),"x","")</f>
        <v/>
      </c>
      <c r="Z176" s="39" t="str">
        <f>IF(AND(B176&lt;=NKC!$N$8,B176&gt;=NKC!$M$8),"x","")</f>
        <v/>
      </c>
      <c r="AA176" s="894"/>
    </row>
    <row r="177" spans="1:30" ht="15.75" customHeight="1">
      <c r="A177" s="199" t="str">
        <f>IF(B177&lt;&gt;"",IF(AND(B177&gt;=_TM1,B177&lt;=_TM2,OR(TH!L177="1111",TH!M177="1111")),TH!D177,""),"")</f>
        <v/>
      </c>
      <c r="B177" s="36">
        <f t="shared" si="8"/>
        <v>1</v>
      </c>
      <c r="C177" s="190">
        <f t="shared" si="9"/>
        <v>0</v>
      </c>
      <c r="D177" s="190"/>
      <c r="E177" s="190"/>
      <c r="F177" s="191"/>
      <c r="G177" s="491"/>
      <c r="H177" s="192"/>
      <c r="I177" s="253"/>
      <c r="J177" s="255"/>
      <c r="K177" s="38"/>
      <c r="L177" s="193"/>
      <c r="M177" s="193"/>
      <c r="N177" s="39" t="str">
        <f>IF(AND('331-CT'!$E$7=TH!H177,OR(L177="331",M177="331")),"331",IF(AND(OR(L177="131",M177="131"),H177='131-CT'!$E$7),"131",""))</f>
        <v/>
      </c>
      <c r="O177" s="39" t="str">
        <f>IF(AND($B177&gt;='111'!$N$11,$B177&lt;='111'!$O$11,OR($L177=$O$7,$M177=$O$7)),"x","")</f>
        <v/>
      </c>
      <c r="P177" s="39" t="str">
        <f>IF(AND($L177=$O$7,$B177&lt;'111'!$N$11),"x","")</f>
        <v/>
      </c>
      <c r="Q177" s="39" t="str">
        <f>IF(AND($M177=$O$7,$B177&lt;'111'!$N$11),"x","")</f>
        <v/>
      </c>
      <c r="R177" s="39" t="str">
        <f>IF(ISERROR(FIND('112'!$M$9,G177,1)),"",IF((AND(FIND('112'!$M$9,G177,1)&gt;=1,$B177&gt;='112'!$N$8,$B177&lt;='112'!$O$8,OR($L177='112'!$I$6,$M177='112'!$I$6))),"x",""))</f>
        <v/>
      </c>
      <c r="S177" s="39" t="str">
        <f>IF(ISERROR(FIND('112'!$M$9,G177,1)),"",IF((AND(LEFT(G177,2)=LEFT('112'!$M$9,2),B177&lt;'112'!$N$8,$L177='112'!$I$6)),"x",""))</f>
        <v/>
      </c>
      <c r="T177" s="39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39" t="str">
        <f>IF(OR(TH!L177=TH!$V$7,M177=TH!$V$7),"x","")</f>
        <v/>
      </c>
      <c r="W177" s="39" t="str">
        <f>IF(AND(B177&gt;='IN-NX'!$P$3,B177&lt;='IN-NX'!$Q$3,'IN-NX'!$D$7=D177,OR(LEFT(L177,2)="15",AND(LEFT(M177,2)&lt;&gt;"15",LEFT(M177,2)&lt;&gt;"33"))),"x","")</f>
        <v/>
      </c>
      <c r="X177" s="39" t="str">
        <f>IF(AND(OR(LEFT(TH!L177,2)="15",LEFT(TH!M177,2)="15"),'152-CT'!$J$8=TH!F177),"x","")</f>
        <v/>
      </c>
      <c r="Y177" s="39" t="str">
        <f>IF(AND(OR(LEFT(TH!L177,2)="15",LEFT(TH!M177,2)="15"),TK!$E$7=TH!F177),"x","")</f>
        <v/>
      </c>
      <c r="Z177" s="39" t="str">
        <f>IF(AND(B177&lt;=NKC!$N$8,B177&gt;=NKC!$M$8),"x","")</f>
        <v/>
      </c>
      <c r="AA177" s="894"/>
    </row>
    <row r="178" spans="1:30" ht="15.75" customHeight="1">
      <c r="A178" s="199" t="str">
        <f>IF(B178&lt;&gt;"",IF(AND(B178&gt;=_TM1,B178&lt;=_TM2,OR(TH!L178="1111",TH!M178="1111")),TH!D178,""),"")</f>
        <v/>
      </c>
      <c r="B178" s="36">
        <f t="shared" si="8"/>
        <v>1</v>
      </c>
      <c r="C178" s="190">
        <f t="shared" si="9"/>
        <v>0</v>
      </c>
      <c r="D178" s="190"/>
      <c r="E178" s="190"/>
      <c r="F178" s="191"/>
      <c r="G178" s="491"/>
      <c r="H178" s="192"/>
      <c r="I178" s="253"/>
      <c r="J178" s="255"/>
      <c r="K178" s="38"/>
      <c r="L178" s="193"/>
      <c r="M178" s="193"/>
      <c r="N178" s="39" t="str">
        <f>IF(AND('331-CT'!$E$7=TH!H178,OR(L178="331",M178="331")),"331",IF(AND(OR(L178="131",M178="131"),H178='131-CT'!$E$7),"131",""))</f>
        <v/>
      </c>
      <c r="O178" s="39" t="str">
        <f>IF(AND($B178&gt;='111'!$N$11,$B178&lt;='111'!$O$11,OR($L178=$O$7,$M178=$O$7)),"x","")</f>
        <v/>
      </c>
      <c r="P178" s="39" t="str">
        <f>IF(AND($L178=$O$7,$B178&lt;'111'!$N$11),"x","")</f>
        <v/>
      </c>
      <c r="Q178" s="39" t="str">
        <f>IF(AND($M178=$O$7,$B178&lt;'111'!$N$11),"x","")</f>
        <v/>
      </c>
      <c r="R178" s="39" t="str">
        <f>IF(ISERROR(FIND('112'!$M$9,G178,1)),"",IF((AND(FIND('112'!$M$9,G178,1)&gt;=1,$B178&gt;='112'!$N$8,$B178&lt;='112'!$O$8,OR($L178='112'!$I$6,$M178='112'!$I$6))),"x",""))</f>
        <v/>
      </c>
      <c r="S178" s="39" t="str">
        <f>IF(ISERROR(FIND('112'!$M$9,G178,1)),"",IF((AND(LEFT(G178,2)=LEFT('112'!$M$9,2),B178&lt;'112'!$N$8,$L178='112'!$I$6)),"x",""))</f>
        <v/>
      </c>
      <c r="T178" s="39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39" t="str">
        <f>IF(OR(TH!L178=TH!$V$7,M178=TH!$V$7),"x","")</f>
        <v/>
      </c>
      <c r="W178" s="39" t="str">
        <f>IF(AND(B178&gt;='IN-NX'!$P$3,B178&lt;='IN-NX'!$Q$3,'IN-NX'!$D$7=D178,OR(LEFT(L178,2)="15",AND(LEFT(M178,2)&lt;&gt;"15",LEFT(M178,2)&lt;&gt;"33"))),"x","")</f>
        <v/>
      </c>
      <c r="X178" s="39" t="str">
        <f>IF(AND(OR(LEFT(TH!L178,2)="15",LEFT(TH!M178,2)="15"),'152-CT'!$J$8=TH!F178),"x","")</f>
        <v/>
      </c>
      <c r="Y178" s="39" t="str">
        <f>IF(AND(OR(LEFT(TH!L178,2)="15",LEFT(TH!M178,2)="15"),TK!$E$7=TH!F178),"x","")</f>
        <v/>
      </c>
      <c r="Z178" s="39" t="str">
        <f>IF(AND(B178&lt;=NKC!$N$8,B178&gt;=NKC!$M$8),"x","")</f>
        <v/>
      </c>
      <c r="AA178" s="894"/>
    </row>
    <row r="179" spans="1:30" ht="15.75" customHeight="1">
      <c r="A179" s="199" t="str">
        <f>IF(B179&lt;&gt;"",IF(AND(B179&gt;=_TM1,B179&lt;=_TM2,OR(TH!L179="1111",TH!M179="1111")),TH!D179,""),"")</f>
        <v/>
      </c>
      <c r="B179" s="36">
        <f t="shared" si="8"/>
        <v>1</v>
      </c>
      <c r="C179" s="190">
        <f t="shared" si="9"/>
        <v>0</v>
      </c>
      <c r="D179" s="190"/>
      <c r="E179" s="190"/>
      <c r="F179" s="191"/>
      <c r="G179" s="491"/>
      <c r="H179" s="192"/>
      <c r="I179" s="253"/>
      <c r="J179" s="255"/>
      <c r="K179" s="38"/>
      <c r="L179" s="193"/>
      <c r="M179" s="193"/>
      <c r="N179" s="39" t="str">
        <f>IF(AND('331-CT'!$E$7=TH!H179,OR(L179="331",M179="331")),"331",IF(AND(OR(L179="131",M179="131"),H179='131-CT'!$E$7),"131",""))</f>
        <v/>
      </c>
      <c r="O179" s="39" t="str">
        <f>IF(AND($B179&gt;='111'!$N$11,$B179&lt;='111'!$O$11,OR($L179=$O$7,$M179=$O$7)),"x","")</f>
        <v/>
      </c>
      <c r="P179" s="39" t="str">
        <f>IF(AND($L179=$O$7,$B179&lt;'111'!$N$11),"x","")</f>
        <v/>
      </c>
      <c r="Q179" s="39" t="str">
        <f>IF(AND($M179=$O$7,$B179&lt;'111'!$N$11),"x","")</f>
        <v/>
      </c>
      <c r="R179" s="39" t="str">
        <f>IF(ISERROR(FIND('112'!$M$9,G179,1)),"",IF((AND(FIND('112'!$M$9,G179,1)&gt;=1,$B179&gt;='112'!$N$8,$B179&lt;='112'!$O$8,OR($L179='112'!$I$6,$M179='112'!$I$6))),"x",""))</f>
        <v/>
      </c>
      <c r="S179" s="39" t="str">
        <f>IF(ISERROR(FIND('112'!$M$9,G179,1)),"",IF((AND(LEFT(G179,2)=LEFT('112'!$M$9,2),B179&lt;'112'!$N$8,$L179='112'!$I$6)),"x",""))</f>
        <v/>
      </c>
      <c r="T179" s="39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39" t="str">
        <f>IF(OR(TH!L179=TH!$V$7,M179=TH!$V$7),"x","")</f>
        <v/>
      </c>
      <c r="W179" s="39" t="str">
        <f>IF(AND(B179&gt;='IN-NX'!$P$3,B179&lt;='IN-NX'!$Q$3,'IN-NX'!$D$7=D179,OR(LEFT(L179,2)="15",AND(LEFT(M179,2)&lt;&gt;"15",LEFT(M179,2)&lt;&gt;"33"))),"x","")</f>
        <v/>
      </c>
      <c r="X179" s="39" t="str">
        <f>IF(AND(OR(LEFT(TH!L179,2)="15",LEFT(TH!M179,2)="15"),'152-CT'!$J$8=TH!F179),"x","")</f>
        <v/>
      </c>
      <c r="Y179" s="39" t="str">
        <f>IF(AND(OR(LEFT(TH!L179,2)="15",LEFT(TH!M179,2)="15"),TK!$E$7=TH!F179),"x","")</f>
        <v/>
      </c>
      <c r="Z179" s="39" t="str">
        <f>IF(AND(B179&lt;=NKC!$N$8,B179&gt;=NKC!$M$8),"x","")</f>
        <v/>
      </c>
      <c r="AA179" s="894"/>
    </row>
    <row r="180" spans="1:30" ht="15.75" customHeight="1">
      <c r="A180" s="199" t="str">
        <f>IF(B180&lt;&gt;"",IF(AND(B180&gt;=_TM1,B180&lt;=_TM2,OR(TH!L180="1111",TH!M180="1111")),TH!D180,""),"")</f>
        <v/>
      </c>
      <c r="B180" s="36">
        <f t="shared" si="8"/>
        <v>1</v>
      </c>
      <c r="C180" s="190">
        <f t="shared" si="9"/>
        <v>0</v>
      </c>
      <c r="D180" s="190"/>
      <c r="E180" s="190"/>
      <c r="F180" s="191"/>
      <c r="G180" s="491"/>
      <c r="H180" s="192"/>
      <c r="I180" s="253"/>
      <c r="J180" s="255"/>
      <c r="K180" s="38"/>
      <c r="L180" s="193"/>
      <c r="M180" s="193"/>
      <c r="N180" s="39" t="str">
        <f>IF(AND('331-CT'!$E$7=TH!H180,OR(L180="331",M180="331")),"331",IF(AND(OR(L180="131",M180="131"),H180='131-CT'!$E$7),"131",""))</f>
        <v/>
      </c>
      <c r="O180" s="39" t="str">
        <f>IF(AND($B180&gt;='111'!$N$11,$B180&lt;='111'!$O$11,OR($L180=$O$7,$M180=$O$7)),"x","")</f>
        <v/>
      </c>
      <c r="P180" s="39" t="str">
        <f>IF(AND($L180=$O$7,$B180&lt;'111'!$N$11),"x","")</f>
        <v/>
      </c>
      <c r="Q180" s="39" t="str">
        <f>IF(AND($M180=$O$7,$B180&lt;'111'!$N$11),"x","")</f>
        <v/>
      </c>
      <c r="R180" s="39" t="str">
        <f>IF(ISERROR(FIND('112'!$M$9,G180,1)),"",IF((AND(FIND('112'!$M$9,G180,1)&gt;=1,$B180&gt;='112'!$N$8,$B180&lt;='112'!$O$8,OR($L180='112'!$I$6,$M180='112'!$I$6))),"x",""))</f>
        <v/>
      </c>
      <c r="S180" s="39" t="str">
        <f>IF(ISERROR(FIND('112'!$M$9,G180,1)),"",IF((AND(LEFT(G180,2)=LEFT('112'!$M$9,2),B180&lt;'112'!$N$8,$L180='112'!$I$6)),"x",""))</f>
        <v/>
      </c>
      <c r="T180" s="39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39" t="str">
        <f>IF(OR(TH!L180=TH!$V$7,M180=TH!$V$7),"x","")</f>
        <v/>
      </c>
      <c r="W180" s="39" t="str">
        <f>IF(AND(B180&gt;='IN-NX'!$P$3,B180&lt;='IN-NX'!$Q$3,'IN-NX'!$D$7=D180,OR(LEFT(L180,2)="15",AND(LEFT(M180,2)&lt;&gt;"15",LEFT(M180,2)&lt;&gt;"33"))),"x","")</f>
        <v/>
      </c>
      <c r="X180" s="39" t="str">
        <f>IF(AND(OR(LEFT(TH!L180,2)="15",LEFT(TH!M180,2)="15"),'152-CT'!$J$8=TH!F180),"x","")</f>
        <v/>
      </c>
      <c r="Y180" s="39" t="str">
        <f>IF(AND(OR(LEFT(TH!L180,2)="15",LEFT(TH!M180,2)="15"),TK!$E$7=TH!F180),"x","")</f>
        <v/>
      </c>
      <c r="Z180" s="39" t="str">
        <f>IF(AND(B180&lt;=NKC!$N$8,B180&gt;=NKC!$M$8),"x","")</f>
        <v/>
      </c>
      <c r="AA180" s="894"/>
      <c r="AB180" s="598"/>
    </row>
    <row r="181" spans="1:30" ht="15.75" customHeight="1">
      <c r="A181" s="199" t="str">
        <f>IF(B181&lt;&gt;"",IF(AND(B181&gt;=_TM1,B181&lt;=_TM2,OR(TH!L181="1111",TH!M181="1111")),TH!D181,""),"")</f>
        <v/>
      </c>
      <c r="B181" s="36">
        <f t="shared" si="8"/>
        <v>1</v>
      </c>
      <c r="C181" s="190">
        <f t="shared" si="9"/>
        <v>0</v>
      </c>
      <c r="D181" s="190"/>
      <c r="E181" s="190"/>
      <c r="F181" s="191"/>
      <c r="G181" s="491"/>
      <c r="H181" s="192"/>
      <c r="I181" s="253"/>
      <c r="J181" s="255"/>
      <c r="K181" s="38"/>
      <c r="L181" s="193"/>
      <c r="M181" s="193"/>
      <c r="N181" s="39" t="str">
        <f>IF(AND('331-CT'!$E$7=TH!H181,OR(L181="331",M181="331")),"331",IF(AND(OR(L181="131",M181="131"),H181='131-CT'!$E$7),"131",""))</f>
        <v/>
      </c>
      <c r="O181" s="39" t="str">
        <f>IF(AND($B181&gt;='111'!$N$11,$B181&lt;='111'!$O$11,OR($L181=$O$7,$M181=$O$7)),"x","")</f>
        <v/>
      </c>
      <c r="P181" s="39" t="str">
        <f>IF(AND($L181=$O$7,$B181&lt;'111'!$N$11),"x","")</f>
        <v/>
      </c>
      <c r="Q181" s="39" t="str">
        <f>IF(AND($M181=$O$7,$B181&lt;'111'!$N$11),"x","")</f>
        <v/>
      </c>
      <c r="R181" s="39" t="str">
        <f>IF(ISERROR(FIND('112'!$M$9,G181,1)),"",IF((AND(FIND('112'!$M$9,G181,1)&gt;=1,$B181&gt;='112'!$N$8,$B181&lt;='112'!$O$8,OR($L181='112'!$I$6,$M181='112'!$I$6))),"x",""))</f>
        <v/>
      </c>
      <c r="S181" s="39" t="str">
        <f>IF(ISERROR(FIND('112'!$M$9,G181,1)),"",IF((AND(LEFT(G181,2)=LEFT('112'!$M$9,2),B181&lt;'112'!$N$8,$L181='112'!$I$6)),"x",""))</f>
        <v/>
      </c>
      <c r="T181" s="39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39" t="str">
        <f>IF(OR(TH!L181=TH!$V$7,M181=TH!$V$7),"x","")</f>
        <v/>
      </c>
      <c r="W181" s="39" t="str">
        <f>IF(AND(B181&gt;='IN-NX'!$P$3,B181&lt;='IN-NX'!$Q$3,'IN-NX'!$D$7=D181,OR(LEFT(L181,2)="15",AND(LEFT(M181,2)&lt;&gt;"15",LEFT(M181,2)&lt;&gt;"33"))),"x","")</f>
        <v/>
      </c>
      <c r="X181" s="39" t="str">
        <f>IF(AND(OR(LEFT(TH!L181,2)="15",LEFT(TH!M181,2)="15"),'152-CT'!$J$8=TH!F181),"x","")</f>
        <v/>
      </c>
      <c r="Y181" s="39" t="str">
        <f>IF(AND(OR(LEFT(TH!L181,2)="15",LEFT(TH!M181,2)="15"),TK!$E$7=TH!F181),"x","")</f>
        <v/>
      </c>
      <c r="Z181" s="39" t="str">
        <f>IF(AND(B181&lt;=NKC!$N$8,B181&gt;=NKC!$M$8),"x","")</f>
        <v/>
      </c>
      <c r="AA181" s="894"/>
      <c r="AB181" s="598"/>
      <c r="AC181" s="598"/>
      <c r="AD181" s="598"/>
    </row>
    <row r="182" spans="1:30" ht="15.75" customHeight="1">
      <c r="A182" s="199" t="str">
        <f>IF(B182&lt;&gt;"",IF(AND(B182&gt;=_TM1,B182&lt;=_TM2,OR(TH!L182="1111",TH!M182="1111")),TH!D182,""),"")</f>
        <v/>
      </c>
      <c r="B182" s="36">
        <f t="shared" si="8"/>
        <v>1</v>
      </c>
      <c r="C182" s="190">
        <f t="shared" si="9"/>
        <v>0</v>
      </c>
      <c r="D182" s="190"/>
      <c r="E182" s="190"/>
      <c r="F182" s="191"/>
      <c r="G182" s="491"/>
      <c r="H182" s="192"/>
      <c r="I182" s="253"/>
      <c r="J182" s="255"/>
      <c r="K182" s="38"/>
      <c r="L182" s="193"/>
      <c r="M182" s="193"/>
      <c r="N182" s="39" t="str">
        <f>IF(AND('331-CT'!$E$7=TH!H182,OR(L182="331",M182="331")),"331",IF(AND(OR(L182="131",M182="131"),H182='131-CT'!$E$7),"131",""))</f>
        <v/>
      </c>
      <c r="O182" s="39" t="str">
        <f>IF(AND($B182&gt;='111'!$N$11,$B182&lt;='111'!$O$11,OR($L182=$O$7,$M182=$O$7)),"x","")</f>
        <v/>
      </c>
      <c r="P182" s="39" t="str">
        <f>IF(AND($L182=$O$7,$B182&lt;'111'!$N$11),"x","")</f>
        <v/>
      </c>
      <c r="Q182" s="39" t="str">
        <f>IF(AND($M182=$O$7,$B182&lt;'111'!$N$11),"x","")</f>
        <v/>
      </c>
      <c r="R182" s="39" t="str">
        <f>IF(ISERROR(FIND('112'!$M$9,G182,1)),"",IF((AND(FIND('112'!$M$9,G182,1)&gt;=1,$B182&gt;='112'!$N$8,$B182&lt;='112'!$O$8,OR($L182='112'!$I$6,$M182='112'!$I$6))),"x",""))</f>
        <v/>
      </c>
      <c r="S182" s="39" t="str">
        <f>IF(ISERROR(FIND('112'!$M$9,G182,1)),"",IF((AND(LEFT(G182,2)=LEFT('112'!$M$9,2),B182&lt;'112'!$N$8,$L182='112'!$I$6)),"x",""))</f>
        <v/>
      </c>
      <c r="T182" s="39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39" t="str">
        <f>IF(OR(TH!L182=TH!$V$7,M182=TH!$V$7),"x","")</f>
        <v/>
      </c>
      <c r="W182" s="39" t="str">
        <f>IF(AND(B182&gt;='IN-NX'!$P$3,B182&lt;='IN-NX'!$Q$3,'IN-NX'!$D$7=D182,OR(LEFT(L182,2)="15",AND(LEFT(M182,2)&lt;&gt;"15",LEFT(M182,2)&lt;&gt;"33"))),"x","")</f>
        <v/>
      </c>
      <c r="X182" s="39" t="str">
        <f>IF(AND(OR(LEFT(TH!L182,2)="15",LEFT(TH!M182,2)="15"),'152-CT'!$J$8=TH!F182),"x","")</f>
        <v/>
      </c>
      <c r="Y182" s="39" t="str">
        <f>IF(AND(OR(LEFT(TH!L182,2)="15",LEFT(TH!M182,2)="15"),TK!$E$7=TH!F182),"x","")</f>
        <v/>
      </c>
      <c r="Z182" s="39" t="str">
        <f>IF(AND(B182&lt;=NKC!$N$8,B182&gt;=NKC!$M$8),"x","")</f>
        <v/>
      </c>
      <c r="AA182" s="894"/>
      <c r="AB182" s="598"/>
      <c r="AC182" s="598"/>
      <c r="AD182" s="598"/>
    </row>
    <row r="183" spans="1:30" ht="15.75" customHeight="1">
      <c r="A183" s="199" t="str">
        <f>IF(B183&lt;&gt;"",IF(AND(B183&gt;=_TM1,B183&lt;=_TM2,OR(TH!L183="1111",TH!M183="1111")),TH!D183,""),"")</f>
        <v/>
      </c>
      <c r="B183" s="36">
        <f t="shared" si="8"/>
        <v>1</v>
      </c>
      <c r="C183" s="190">
        <f t="shared" si="9"/>
        <v>0</v>
      </c>
      <c r="D183" s="190"/>
      <c r="E183" s="190"/>
      <c r="F183" s="191"/>
      <c r="G183" s="491"/>
      <c r="H183" s="192"/>
      <c r="I183" s="253"/>
      <c r="J183" s="255"/>
      <c r="K183" s="38"/>
      <c r="L183" s="193"/>
      <c r="M183" s="193"/>
      <c r="N183" s="39" t="str">
        <f>IF(AND('331-CT'!$E$7=TH!H183,OR(L183="331",M183="331")),"331",IF(AND(OR(L183="131",M183="131"),H183='131-CT'!$E$7),"131",""))</f>
        <v/>
      </c>
      <c r="O183" s="39" t="str">
        <f>IF(AND($B183&gt;='111'!$N$11,$B183&lt;='111'!$O$11,OR($L183=$O$7,$M183=$O$7)),"x","")</f>
        <v/>
      </c>
      <c r="P183" s="39" t="str">
        <f>IF(AND($L183=$O$7,$B183&lt;'111'!$N$11),"x","")</f>
        <v/>
      </c>
      <c r="Q183" s="39" t="str">
        <f>IF(AND($M183=$O$7,$B183&lt;'111'!$N$11),"x","")</f>
        <v/>
      </c>
      <c r="R183" s="39" t="str">
        <f>IF(ISERROR(FIND('112'!$M$9,G183,1)),"",IF((AND(FIND('112'!$M$9,G183,1)&gt;=1,$B183&gt;='112'!$N$8,$B183&lt;='112'!$O$8,OR($L183='112'!$I$6,$M183='112'!$I$6))),"x",""))</f>
        <v/>
      </c>
      <c r="S183" s="39" t="str">
        <f>IF(ISERROR(FIND('112'!$M$9,G183,1)),"",IF((AND(LEFT(G183,2)=LEFT('112'!$M$9,2),B183&lt;'112'!$N$8,$L183='112'!$I$6)),"x",""))</f>
        <v/>
      </c>
      <c r="T183" s="39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39" t="str">
        <f>IF(OR(TH!L183=TH!$V$7,M183=TH!$V$7),"x","")</f>
        <v/>
      </c>
      <c r="W183" s="39" t="str">
        <f>IF(AND(B183&gt;='IN-NX'!$P$3,B183&lt;='IN-NX'!$Q$3,'IN-NX'!$D$7=D183,OR(LEFT(L183,2)="15",AND(LEFT(M183,2)&lt;&gt;"15",LEFT(M183,2)&lt;&gt;"33"))),"x","")</f>
        <v/>
      </c>
      <c r="X183" s="39" t="str">
        <f>IF(AND(OR(LEFT(TH!L183,2)="15",LEFT(TH!M183,2)="15"),'152-CT'!$J$8=TH!F183),"x","")</f>
        <v/>
      </c>
      <c r="Y183" s="39" t="str">
        <f>IF(AND(OR(LEFT(TH!L183,2)="15",LEFT(TH!M183,2)="15"),TK!$E$7=TH!F183),"x","")</f>
        <v/>
      </c>
      <c r="Z183" s="39" t="str">
        <f>IF(AND(B183&lt;=NKC!$N$8,B183&gt;=NKC!$M$8),"x","")</f>
        <v/>
      </c>
      <c r="AA183" s="894"/>
      <c r="AB183" s="598"/>
      <c r="AD183" s="598"/>
    </row>
    <row r="184" spans="1:30" ht="15.75" customHeight="1">
      <c r="A184" s="199" t="str">
        <f>IF(B184&lt;&gt;"",IF(AND(B184&gt;=_TM1,B184&lt;=_TM2,OR(TH!L184="1111",TH!M184="1111")),TH!D184,""),"")</f>
        <v/>
      </c>
      <c r="B184" s="36">
        <f t="shared" si="8"/>
        <v>1</v>
      </c>
      <c r="C184" s="190">
        <f t="shared" si="9"/>
        <v>0</v>
      </c>
      <c r="D184" s="190"/>
      <c r="E184" s="190"/>
      <c r="F184" s="191"/>
      <c r="G184" s="491"/>
      <c r="H184" s="192"/>
      <c r="I184" s="253"/>
      <c r="J184" s="255"/>
      <c r="K184" s="38"/>
      <c r="L184" s="193"/>
      <c r="M184" s="193"/>
      <c r="N184" s="39" t="str">
        <f>IF(AND('331-CT'!$E$7=TH!H184,OR(L184="331",M184="331")),"331",IF(AND(OR(L184="131",M184="131"),H184='131-CT'!$E$7),"131",""))</f>
        <v/>
      </c>
      <c r="O184" s="39" t="str">
        <f>IF(AND($B184&gt;='111'!$N$11,$B184&lt;='111'!$O$11,OR($L184=$O$7,$M184=$O$7)),"x","")</f>
        <v/>
      </c>
      <c r="P184" s="39" t="str">
        <f>IF(AND($L184=$O$7,$B184&lt;'111'!$N$11),"x","")</f>
        <v/>
      </c>
      <c r="Q184" s="39" t="str">
        <f>IF(AND($M184=$O$7,$B184&lt;'111'!$N$11),"x","")</f>
        <v/>
      </c>
      <c r="R184" s="39" t="str">
        <f>IF(ISERROR(FIND('112'!$M$9,G184,1)),"",IF((AND(FIND('112'!$M$9,G184,1)&gt;=1,$B184&gt;='112'!$N$8,$B184&lt;='112'!$O$8,OR($L184='112'!$I$6,$M184='112'!$I$6))),"x",""))</f>
        <v/>
      </c>
      <c r="S184" s="39" t="str">
        <f>IF(ISERROR(FIND('112'!$M$9,G184,1)),"",IF((AND(LEFT(G184,2)=LEFT('112'!$M$9,2),B184&lt;'112'!$N$8,$L184='112'!$I$6)),"x",""))</f>
        <v/>
      </c>
      <c r="T184" s="39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39" t="str">
        <f>IF(OR(TH!L184=TH!$V$7,M184=TH!$V$7),"x","")</f>
        <v/>
      </c>
      <c r="W184" s="39" t="str">
        <f>IF(AND(B184&gt;='IN-NX'!$P$3,B184&lt;='IN-NX'!$Q$3,'IN-NX'!$D$7=D184,OR(LEFT(L184,2)="15",AND(LEFT(M184,2)&lt;&gt;"15",LEFT(M184,2)&lt;&gt;"33"))),"x","")</f>
        <v/>
      </c>
      <c r="X184" s="39" t="str">
        <f>IF(AND(OR(LEFT(TH!L184,2)="15",LEFT(TH!M184,2)="15"),'152-CT'!$J$8=TH!F184),"x","")</f>
        <v/>
      </c>
      <c r="Y184" s="39" t="str">
        <f>IF(AND(OR(LEFT(TH!L184,2)="15",LEFT(TH!M184,2)="15"),TK!$E$7=TH!F184),"x","")</f>
        <v/>
      </c>
      <c r="Z184" s="39" t="str">
        <f>IF(AND(B184&lt;=NKC!$N$8,B184&gt;=NKC!$M$8),"x","")</f>
        <v/>
      </c>
      <c r="AA184" s="894"/>
    </row>
    <row r="185" spans="1:30" ht="15.75" customHeight="1">
      <c r="A185" s="199" t="str">
        <f>IF(B185&lt;&gt;"",IF(AND(B185&gt;=_TM1,B185&lt;=_TM2,OR(TH!L185="1111",TH!M185="1111")),TH!D185,""),"")</f>
        <v/>
      </c>
      <c r="B185" s="36">
        <f t="shared" si="8"/>
        <v>1</v>
      </c>
      <c r="C185" s="190">
        <f t="shared" si="9"/>
        <v>0</v>
      </c>
      <c r="D185" s="190"/>
      <c r="E185" s="190"/>
      <c r="F185" s="191"/>
      <c r="G185" s="491"/>
      <c r="H185" s="192"/>
      <c r="I185" s="254"/>
      <c r="J185" s="255"/>
      <c r="K185" s="38"/>
      <c r="L185" s="193"/>
      <c r="M185" s="193"/>
      <c r="N185" s="39" t="str">
        <f>IF(AND('331-CT'!$E$7=TH!H185,OR(L185="331",M185="331")),"331",IF(AND(OR(L185="131",M185="131"),H185='131-CT'!$E$7),"131",""))</f>
        <v/>
      </c>
      <c r="O185" s="39" t="str">
        <f>IF(AND($B185&gt;='111'!$N$11,$B185&lt;='111'!$O$11,OR($L185=$O$7,$M185=$O$7)),"x","")</f>
        <v/>
      </c>
      <c r="P185" s="39" t="str">
        <f>IF(AND($L185=$O$7,$B185&lt;'111'!$N$11),"x","")</f>
        <v/>
      </c>
      <c r="Q185" s="39" t="str">
        <f>IF(AND($M185=$O$7,$B185&lt;'111'!$N$11),"x","")</f>
        <v/>
      </c>
      <c r="R185" s="39" t="str">
        <f>IF(ISERROR(FIND('112'!$M$9,G185,1)),"",IF((AND(FIND('112'!$M$9,G185,1)&gt;=1,$B185&gt;='112'!$N$8,$B185&lt;='112'!$O$8,OR($L185='112'!$I$6,$M185='112'!$I$6))),"x",""))</f>
        <v/>
      </c>
      <c r="S185" s="39" t="str">
        <f>IF(ISERROR(FIND('112'!$M$9,G185,1)),"",IF((AND(LEFT(G185,2)=LEFT('112'!$M$9,2),B185&lt;'112'!$N$8,$L185='112'!$I$6)),"x",""))</f>
        <v/>
      </c>
      <c r="T185" s="39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39" t="str">
        <f>IF(OR(TH!L185=TH!$V$7,M185=TH!$V$7),"x","")</f>
        <v/>
      </c>
      <c r="W185" s="39" t="str">
        <f>IF(AND(B185&gt;='IN-NX'!$P$3,B185&lt;='IN-NX'!$Q$3,'IN-NX'!$D$7=D185,OR(LEFT(L185,2)="15",AND(LEFT(M185,2)&lt;&gt;"15",LEFT(M185,2)&lt;&gt;"33"))),"x","")</f>
        <v/>
      </c>
      <c r="X185" s="39" t="str">
        <f>IF(AND(OR(LEFT(TH!L185,2)="15",LEFT(TH!M185,2)="15"),'152-CT'!$J$8=TH!F185),"x","")</f>
        <v/>
      </c>
      <c r="Y185" s="39" t="str">
        <f>IF(AND(OR(LEFT(TH!L185,2)="15",LEFT(TH!M185,2)="15"),TK!$E$7=TH!F185),"x","")</f>
        <v/>
      </c>
      <c r="Z185" s="39" t="str">
        <f>IF(AND(B185&lt;=NKC!$N$8,B185&gt;=NKC!$M$8),"x","")</f>
        <v/>
      </c>
      <c r="AA185" s="894"/>
    </row>
    <row r="186" spans="1:30" ht="15.75" customHeight="1">
      <c r="A186" s="199" t="str">
        <f>IF(B186&lt;&gt;"",IF(AND(B186&gt;=_TM1,B186&lt;=_TM2,OR(TH!L186="1111",TH!M186="1111")),TH!D186,""),"")</f>
        <v/>
      </c>
      <c r="B186" s="36">
        <f t="shared" si="8"/>
        <v>1</v>
      </c>
      <c r="C186" s="190">
        <f t="shared" si="9"/>
        <v>0</v>
      </c>
      <c r="D186" s="190"/>
      <c r="E186" s="190"/>
      <c r="F186" s="191"/>
      <c r="G186" s="491"/>
      <c r="H186" s="192"/>
      <c r="I186" s="254"/>
      <c r="J186" s="255"/>
      <c r="K186" s="38"/>
      <c r="L186" s="193"/>
      <c r="M186" s="193"/>
      <c r="N186" s="39" t="str">
        <f>IF(AND('331-CT'!$E$7=TH!H186,OR(L186="331",M186="331")),"331",IF(AND(OR(L186="131",M186="131"),H186='131-CT'!$E$7),"131",""))</f>
        <v/>
      </c>
      <c r="O186" s="39" t="str">
        <f>IF(AND($B186&gt;='111'!$N$11,$B186&lt;='111'!$O$11,OR($L186=$O$7,$M186=$O$7)),"x","")</f>
        <v/>
      </c>
      <c r="P186" s="39" t="str">
        <f>IF(AND($L186=$O$7,$B186&lt;'111'!$N$11),"x","")</f>
        <v/>
      </c>
      <c r="Q186" s="39" t="str">
        <f>IF(AND($M186=$O$7,$B186&lt;'111'!$N$11),"x","")</f>
        <v/>
      </c>
      <c r="R186" s="39" t="str">
        <f>IF(ISERROR(FIND('112'!$M$9,G186,1)),"",IF((AND(FIND('112'!$M$9,G186,1)&gt;=1,$B186&gt;='112'!$N$8,$B186&lt;='112'!$O$8,OR($L186='112'!$I$6,$M186='112'!$I$6))),"x",""))</f>
        <v/>
      </c>
      <c r="S186" s="39" t="str">
        <f>IF(ISERROR(FIND('112'!$M$9,G186,1)),"",IF((AND(LEFT(G186,2)=LEFT('112'!$M$9,2),B186&lt;'112'!$N$8,$L186='112'!$I$6)),"x",""))</f>
        <v/>
      </c>
      <c r="T186" s="39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39" t="str">
        <f>IF(OR(TH!L186=TH!$V$7,M186=TH!$V$7),"x","")</f>
        <v/>
      </c>
      <c r="W186" s="39" t="str">
        <f>IF(AND(B186&gt;='IN-NX'!$P$3,B186&lt;='IN-NX'!$Q$3,'IN-NX'!$D$7=D186,OR(LEFT(L186,2)="15",AND(LEFT(M186,2)&lt;&gt;"15",LEFT(M186,2)&lt;&gt;"33"))),"x","")</f>
        <v/>
      </c>
      <c r="X186" s="39" t="str">
        <f>IF(AND(OR(LEFT(TH!L186,2)="15",LEFT(TH!M186,2)="15"),'152-CT'!$J$8=TH!F186),"x","")</f>
        <v/>
      </c>
      <c r="Y186" s="39" t="str">
        <f>IF(AND(OR(LEFT(TH!L186,2)="15",LEFT(TH!M186,2)="15"),TK!$E$7=TH!F186),"x","")</f>
        <v/>
      </c>
      <c r="Z186" s="39" t="str">
        <f>IF(AND(B186&lt;=NKC!$N$8,B186&gt;=NKC!$M$8),"x","")</f>
        <v/>
      </c>
      <c r="AA186" s="894"/>
      <c r="AB186" s="598" t="e">
        <f>IF(VLOOKUP(H186,DSKH,1,0)&lt;&gt;"","","x")</f>
        <v>#N/A</v>
      </c>
    </row>
    <row r="187" spans="1:30" ht="15.75" customHeight="1">
      <c r="A187" s="199" t="str">
        <f>IF(B187&lt;&gt;"",IF(AND(B187&gt;=_TM1,B187&lt;=_TM2,OR(TH!L187="1111",TH!M187="1111")),TH!D187,""),"")</f>
        <v/>
      </c>
      <c r="B187" s="36">
        <f t="shared" si="8"/>
        <v>1</v>
      </c>
      <c r="C187" s="190">
        <f t="shared" si="9"/>
        <v>0</v>
      </c>
      <c r="D187" s="190"/>
      <c r="E187" s="190"/>
      <c r="F187" s="191"/>
      <c r="G187" s="491"/>
      <c r="H187" s="192"/>
      <c r="I187" s="253"/>
      <c r="J187" s="255"/>
      <c r="K187" s="38"/>
      <c r="L187" s="193"/>
      <c r="M187" s="193"/>
      <c r="N187" s="39" t="str">
        <f>IF(AND('331-CT'!$E$7=TH!H187,OR(L187="331",M187="331")),"331",IF(AND(OR(L187="131",M187="131"),H187='131-CT'!$E$7),"131",""))</f>
        <v/>
      </c>
      <c r="O187" s="39" t="str">
        <f>IF(AND($B187&gt;='111'!$N$11,$B187&lt;='111'!$O$11,OR($L187=$O$7,$M187=$O$7)),"x","")</f>
        <v/>
      </c>
      <c r="P187" s="39" t="str">
        <f>IF(AND($L187=$O$7,$B187&lt;'111'!$N$11),"x","")</f>
        <v/>
      </c>
      <c r="Q187" s="39" t="str">
        <f>IF(AND($M187=$O$7,$B187&lt;'111'!$N$11),"x","")</f>
        <v/>
      </c>
      <c r="R187" s="39" t="str">
        <f>IF(ISERROR(FIND('112'!$M$9,G187,1)),"",IF((AND(FIND('112'!$M$9,G187,1)&gt;=1,$B187&gt;='112'!$N$8,$B187&lt;='112'!$O$8,OR($L187='112'!$I$6,$M187='112'!$I$6))),"x",""))</f>
        <v/>
      </c>
      <c r="S187" s="39" t="str">
        <f>IF(ISERROR(FIND('112'!$M$9,G187,1)),"",IF((AND(LEFT(G187,2)=LEFT('112'!$M$9,2),B187&lt;'112'!$N$8,$L187='112'!$I$6)),"x",""))</f>
        <v/>
      </c>
      <c r="T187" s="39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39" t="str">
        <f>IF(OR(TH!L187=TH!$V$7,M187=TH!$V$7),"x","")</f>
        <v/>
      </c>
      <c r="W187" s="39" t="str">
        <f>IF(AND(B187&gt;='IN-NX'!$P$3,B187&lt;='IN-NX'!$Q$3,'IN-NX'!$D$7=D187,OR(LEFT(L187,2)="15",AND(LEFT(M187,2)&lt;&gt;"15",LEFT(M187,2)&lt;&gt;"33"))),"x","")</f>
        <v/>
      </c>
      <c r="X187" s="39" t="str">
        <f>IF(AND(OR(LEFT(TH!L187,2)="15",LEFT(TH!M187,2)="15"),'152-CT'!$J$8=TH!F187),"x","")</f>
        <v/>
      </c>
      <c r="Y187" s="39" t="str">
        <f>IF(AND(OR(LEFT(TH!L187,2)="15",LEFT(TH!M187,2)="15"),TK!$E$7=TH!F187),"x","")</f>
        <v/>
      </c>
      <c r="Z187" s="39" t="str">
        <f>IF(AND(B187&lt;=NKC!$N$8,B187&gt;=NKC!$M$8),"x","")</f>
        <v/>
      </c>
      <c r="AA187" s="894"/>
      <c r="AB187" s="598" t="e">
        <f>IF(VLOOKUP(H187,DSKH,1,0)&lt;&gt;"","","x")</f>
        <v>#N/A</v>
      </c>
    </row>
    <row r="188" spans="1:30" ht="15.75" customHeight="1">
      <c r="A188" s="199" t="str">
        <f>IF(B188&lt;&gt;"",IF(AND(B188&gt;=_TM1,B188&lt;=_TM2,OR(TH!L188="1111",TH!M188="1111")),TH!D188,""),"")</f>
        <v/>
      </c>
      <c r="B188" s="36">
        <f t="shared" si="8"/>
        <v>1</v>
      </c>
      <c r="C188" s="190">
        <f t="shared" si="9"/>
        <v>0</v>
      </c>
      <c r="D188" s="190"/>
      <c r="E188" s="190"/>
      <c r="F188" s="191"/>
      <c r="G188" s="491"/>
      <c r="H188" s="818"/>
      <c r="I188" s="255"/>
      <c r="J188" s="255"/>
      <c r="K188" s="38"/>
      <c r="L188" s="193"/>
      <c r="M188" s="193"/>
      <c r="N188" s="39" t="str">
        <f>IF(AND('331-CT'!$E$7=TH!H188,OR(L188="331",M188="331")),"331",IF(AND(OR(L188="131",M188="131"),H188='131-CT'!$E$7),"131",""))</f>
        <v/>
      </c>
      <c r="O188" s="39" t="str">
        <f>IF(AND($B188&gt;='111'!$N$11,$B188&lt;='111'!$O$11,OR($L188=$O$7,$M188=$O$7)),"x","")</f>
        <v/>
      </c>
      <c r="P188" s="39" t="str">
        <f>IF(AND($L188=$O$7,$B188&lt;'111'!$N$11),"x","")</f>
        <v/>
      </c>
      <c r="Q188" s="39" t="str">
        <f>IF(AND($M188=$O$7,$B188&lt;'111'!$N$11),"x","")</f>
        <v/>
      </c>
      <c r="R188" s="39" t="str">
        <f>IF(ISERROR(FIND('112'!$M$9,G188,1)),"",IF((AND(FIND('112'!$M$9,G188,1)&gt;=1,$B188&gt;='112'!$N$8,$B188&lt;='112'!$O$8,OR($L188='112'!$I$6,$M188='112'!$I$6))),"x",""))</f>
        <v/>
      </c>
      <c r="S188" s="39" t="str">
        <f>IF(ISERROR(FIND('112'!$M$9,G188,1)),"",IF((AND(LEFT(G188,2)=LEFT('112'!$M$9,2),B188&lt;'112'!$N$8,$L188='112'!$I$6)),"x",""))</f>
        <v/>
      </c>
      <c r="T188" s="39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39" t="str">
        <f>IF(OR(TH!L188=TH!$V$7,M188=TH!$V$7),"x","")</f>
        <v/>
      </c>
      <c r="W188" s="39" t="str">
        <f>IF(AND(B188&gt;='IN-NX'!$P$3,B188&lt;='IN-NX'!$Q$3,'IN-NX'!$D$7=D188,OR(LEFT(L188,2)="15",AND(LEFT(M188,2)&lt;&gt;"15",LEFT(M188,2)&lt;&gt;"33"))),"x","")</f>
        <v/>
      </c>
      <c r="X188" s="39" t="str">
        <f>IF(AND(OR(LEFT(TH!L188,2)="15",LEFT(TH!M188,2)="15"),'152-CT'!$J$8=TH!F188),"x","")</f>
        <v/>
      </c>
      <c r="Y188" s="39" t="str">
        <f>IF(AND(OR(LEFT(TH!L188,2)="15",LEFT(TH!M188,2)="15"),TK!$E$7=TH!F188),"x","")</f>
        <v/>
      </c>
      <c r="Z188" s="39" t="str">
        <f>IF(AND(B188&lt;=NKC!$N$8,B188&gt;=NKC!$M$8),"x","")</f>
        <v/>
      </c>
      <c r="AA188" s="894"/>
      <c r="AB188" s="598" t="e">
        <f>IF(VLOOKUP(H188,DSKH,1,0)&lt;&gt;"","","x")</f>
        <v>#N/A</v>
      </c>
    </row>
    <row r="189" spans="1:30" ht="15.75" customHeight="1">
      <c r="A189" s="199" t="str">
        <f>IF(B189&lt;&gt;"",IF(AND(B189&gt;=_TM1,B189&lt;=_TM2,OR(TH!L189="1111",TH!M189="1111")),TH!D189,""),"")</f>
        <v/>
      </c>
      <c r="B189" s="36">
        <f t="shared" si="8"/>
        <v>1</v>
      </c>
      <c r="C189" s="190">
        <f t="shared" si="9"/>
        <v>0</v>
      </c>
      <c r="D189" s="190"/>
      <c r="E189" s="190"/>
      <c r="F189" s="191"/>
      <c r="G189" s="491"/>
      <c r="H189" s="818"/>
      <c r="I189" s="253"/>
      <c r="J189" s="255"/>
      <c r="K189" s="38"/>
      <c r="L189" s="193"/>
      <c r="M189" s="193"/>
      <c r="N189" s="39" t="str">
        <f>IF(AND('331-CT'!$E$7=TH!H189,OR(L189="331",M189="331")),"331",IF(AND(OR(L189="131",M189="131"),H189='131-CT'!$E$7),"131",""))</f>
        <v/>
      </c>
      <c r="O189" s="39" t="str">
        <f>IF(AND($B189&gt;='111'!$N$11,$B189&lt;='111'!$O$11,OR($L189=$O$7,$M189=$O$7)),"x","")</f>
        <v/>
      </c>
      <c r="P189" s="39" t="str">
        <f>IF(AND($L189=$O$7,$B189&lt;'111'!$N$11),"x","")</f>
        <v/>
      </c>
      <c r="Q189" s="39" t="str">
        <f>IF(AND($M189=$O$7,$B189&lt;'111'!$N$11),"x","")</f>
        <v/>
      </c>
      <c r="R189" s="39" t="str">
        <f>IF(ISERROR(FIND('112'!$M$9,G189,1)),"",IF((AND(FIND('112'!$M$9,G189,1)&gt;=1,$B189&gt;='112'!$N$8,$B189&lt;='112'!$O$8,OR($L189='112'!$I$6,$M189='112'!$I$6))),"x",""))</f>
        <v/>
      </c>
      <c r="S189" s="39" t="str">
        <f>IF(ISERROR(FIND('112'!$M$9,G189,1)),"",IF((AND(LEFT(G189,2)=LEFT('112'!$M$9,2),B189&lt;'112'!$N$8,$L189='112'!$I$6)),"x",""))</f>
        <v/>
      </c>
      <c r="T189" s="39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39" t="str">
        <f>IF(OR(TH!L189=TH!$V$7,M189=TH!$V$7),"x","")</f>
        <v/>
      </c>
      <c r="W189" s="39" t="str">
        <f>IF(AND(B189&gt;='IN-NX'!$P$3,B189&lt;='IN-NX'!$Q$3,'IN-NX'!$D$7=D189,OR(LEFT(L189,2)="15",AND(LEFT(M189,2)&lt;&gt;"15",LEFT(M189,2)&lt;&gt;"33"))),"x","")</f>
        <v/>
      </c>
      <c r="X189" s="39" t="str">
        <f>IF(AND(OR(LEFT(TH!L189,2)="15",LEFT(TH!M189,2)="15"),'152-CT'!$J$8=TH!F189),"x","")</f>
        <v/>
      </c>
      <c r="Y189" s="39" t="str">
        <f>IF(AND(OR(LEFT(TH!L189,2)="15",LEFT(TH!M189,2)="15"),TK!$E$7=TH!F189),"x","")</f>
        <v/>
      </c>
      <c r="Z189" s="39" t="str">
        <f>IF(AND(B189&lt;=NKC!$N$8,B189&gt;=NKC!$M$8),"x","")</f>
        <v/>
      </c>
      <c r="AA189" s="894"/>
      <c r="AB189" s="598" t="e">
        <f>IF(VLOOKUP(H189,DSKH,1,0)&lt;&gt;"","","x")</f>
        <v>#N/A</v>
      </c>
    </row>
    <row r="190" spans="1:30" ht="15.75" customHeight="1">
      <c r="A190" s="199" t="str">
        <f>IF(B190&lt;&gt;"",IF(AND(B190&gt;=_TM1,B190&lt;=_TM2,OR(TH!L190="1111",TH!M190="1111")),TH!D190,""),"")</f>
        <v/>
      </c>
      <c r="B190" s="36">
        <f t="shared" si="8"/>
        <v>1</v>
      </c>
      <c r="C190" s="190">
        <f t="shared" si="9"/>
        <v>0</v>
      </c>
      <c r="D190" s="190"/>
      <c r="E190" s="190"/>
      <c r="F190" s="191"/>
      <c r="G190" s="491"/>
      <c r="H190" s="192"/>
      <c r="I190" s="253"/>
      <c r="J190" s="255"/>
      <c r="K190" s="38"/>
      <c r="L190" s="193"/>
      <c r="M190" s="193"/>
      <c r="N190" s="39" t="str">
        <f>IF(AND('331-CT'!$E$7=TH!H190,OR(L190="331",M190="331")),"331",IF(AND(OR(L190="131",M190="131"),H190='131-CT'!$E$7),"131",""))</f>
        <v/>
      </c>
      <c r="O190" s="39" t="str">
        <f>IF(AND($B190&gt;='111'!$N$11,$B190&lt;='111'!$O$11,OR($L190=$O$7,$M190=$O$7)),"x","")</f>
        <v/>
      </c>
      <c r="P190" s="39" t="str">
        <f>IF(AND($L190=$O$7,$B190&lt;'111'!$N$11),"x","")</f>
        <v/>
      </c>
      <c r="Q190" s="39" t="str">
        <f>IF(AND($M190=$O$7,$B190&lt;'111'!$N$11),"x","")</f>
        <v/>
      </c>
      <c r="R190" s="39" t="str">
        <f>IF(ISERROR(FIND('112'!$M$9,G190,1)),"",IF((AND(FIND('112'!$M$9,G190,1)&gt;=1,$B190&gt;='112'!$N$8,$B190&lt;='112'!$O$8,OR($L190='112'!$I$6,$M190='112'!$I$6))),"x",""))</f>
        <v/>
      </c>
      <c r="S190" s="39" t="str">
        <f>IF(ISERROR(FIND('112'!$M$9,G190,1)),"",IF((AND(LEFT(G190,2)=LEFT('112'!$M$9,2),B190&lt;'112'!$N$8,$L190='112'!$I$6)),"x",""))</f>
        <v/>
      </c>
      <c r="T190" s="39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39" t="str">
        <f>IF(OR(TH!L190=TH!$V$7,M190=TH!$V$7),"x","")</f>
        <v/>
      </c>
      <c r="W190" s="39" t="str">
        <f>IF(AND(B190&gt;='IN-NX'!$P$3,B190&lt;='IN-NX'!$Q$3,'IN-NX'!$D$7=D190,OR(LEFT(L190,2)="15",AND(LEFT(M190,2)&lt;&gt;"15",LEFT(M190,2)&lt;&gt;"33"))),"x","")</f>
        <v/>
      </c>
      <c r="X190" s="39" t="str">
        <f>IF(AND(OR(LEFT(TH!L190,2)="15",LEFT(TH!M190,2)="15"),'152-CT'!$J$8=TH!F190),"x","")</f>
        <v/>
      </c>
      <c r="Y190" s="39" t="str">
        <f>IF(AND(OR(LEFT(TH!L190,2)="15",LEFT(TH!M190,2)="15"),TK!$E$7=TH!F190),"x","")</f>
        <v/>
      </c>
      <c r="Z190" s="39" t="str">
        <f>IF(AND(B190&lt;=NKC!$N$8,B190&gt;=NKC!$M$8),"x","")</f>
        <v/>
      </c>
      <c r="AA190" s="894"/>
    </row>
    <row r="191" spans="1:30" ht="15.75" customHeight="1">
      <c r="A191" s="199" t="str">
        <f>IF(B191&lt;&gt;"",IF(AND(B191&gt;=_TM1,B191&lt;=_TM2,OR(TH!L191="1111",TH!M191="1111")),TH!D191,""),"")</f>
        <v/>
      </c>
      <c r="B191" s="36">
        <f t="shared" si="8"/>
        <v>1</v>
      </c>
      <c r="C191" s="190">
        <f t="shared" si="9"/>
        <v>0</v>
      </c>
      <c r="D191" s="190"/>
      <c r="E191" s="190"/>
      <c r="F191" s="191"/>
      <c r="G191" s="491"/>
      <c r="H191" s="192"/>
      <c r="I191" s="253"/>
      <c r="J191" s="255"/>
      <c r="K191" s="38"/>
      <c r="L191" s="193"/>
      <c r="M191" s="193"/>
      <c r="N191" s="39" t="str">
        <f>IF(AND('331-CT'!$E$7=TH!H191,OR(L191="331",M191="331")),"331",IF(AND(OR(L191="131",M191="131"),H191='131-CT'!$E$7),"131",""))</f>
        <v/>
      </c>
      <c r="O191" s="39" t="str">
        <f>IF(AND($B191&gt;='111'!$N$11,$B191&lt;='111'!$O$11,OR($L191=$O$7,$M191=$O$7)),"x","")</f>
        <v/>
      </c>
      <c r="P191" s="39" t="str">
        <f>IF(AND($L191=$O$7,$B191&lt;'111'!$N$11),"x","")</f>
        <v/>
      </c>
      <c r="Q191" s="39" t="str">
        <f>IF(AND($M191=$O$7,$B191&lt;'111'!$N$11),"x","")</f>
        <v/>
      </c>
      <c r="R191" s="39" t="str">
        <f>IF(ISERROR(FIND('112'!$M$9,G191,1)),"",IF((AND(FIND('112'!$M$9,G191,1)&gt;=1,$B191&gt;='112'!$N$8,$B191&lt;='112'!$O$8,OR($L191='112'!$I$6,$M191='112'!$I$6))),"x",""))</f>
        <v/>
      </c>
      <c r="S191" s="39" t="str">
        <f>IF(ISERROR(FIND('112'!$M$9,G191,1)),"",IF((AND(LEFT(G191,2)=LEFT('112'!$M$9,2),B191&lt;'112'!$N$8,$L191='112'!$I$6)),"x",""))</f>
        <v/>
      </c>
      <c r="T191" s="39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39" t="str">
        <f>IF(OR(TH!L191=TH!$V$7,M191=TH!$V$7),"x","")</f>
        <v/>
      </c>
      <c r="W191" s="39" t="str">
        <f>IF(AND(B191&gt;='IN-NX'!$P$3,B191&lt;='IN-NX'!$Q$3,'IN-NX'!$D$7=D191,OR(LEFT(L191,2)="15",AND(LEFT(M191,2)&lt;&gt;"15",LEFT(M191,2)&lt;&gt;"33"))),"x","")</f>
        <v/>
      </c>
      <c r="X191" s="39" t="str">
        <f>IF(AND(OR(LEFT(TH!L191,2)="15",LEFT(TH!M191,2)="15"),'152-CT'!$J$8=TH!F191),"x","")</f>
        <v/>
      </c>
      <c r="Y191" s="39" t="str">
        <f>IF(AND(OR(LEFT(TH!L191,2)="15",LEFT(TH!M191,2)="15"),TK!$E$7=TH!F191),"x","")</f>
        <v/>
      </c>
      <c r="Z191" s="39" t="str">
        <f>IF(AND(B191&lt;=NKC!$N$8,B191&gt;=NKC!$M$8),"x","")</f>
        <v/>
      </c>
      <c r="AA191" s="894"/>
    </row>
    <row r="192" spans="1:30" ht="15.75" customHeight="1">
      <c r="A192" s="199" t="str">
        <f>IF(B192&lt;&gt;"",IF(AND(B192&gt;=_TM1,B192&lt;=_TM2,OR(TH!L192="1111",TH!M192="1111")),TH!D192,""),"")</f>
        <v/>
      </c>
      <c r="B192" s="36">
        <f t="shared" si="8"/>
        <v>1</v>
      </c>
      <c r="C192" s="190">
        <f t="shared" si="9"/>
        <v>0</v>
      </c>
      <c r="D192" s="190"/>
      <c r="E192" s="190"/>
      <c r="F192" s="191"/>
      <c r="G192" s="491"/>
      <c r="H192" s="192"/>
      <c r="I192" s="253"/>
      <c r="J192" s="255"/>
      <c r="K192" s="38"/>
      <c r="L192" s="193"/>
      <c r="M192" s="193"/>
      <c r="N192" s="39" t="str">
        <f>IF(AND('331-CT'!$E$7=TH!H192,OR(L192="331",M192="331")),"331",IF(AND(OR(L192="131",M192="131"),H192='131-CT'!$E$7),"131",""))</f>
        <v/>
      </c>
      <c r="O192" s="39" t="str">
        <f>IF(AND($B192&gt;='111'!$N$11,$B192&lt;='111'!$O$11,OR($L192=$O$7,$M192=$O$7)),"x","")</f>
        <v/>
      </c>
      <c r="P192" s="39" t="str">
        <f>IF(AND($L192=$O$7,$B192&lt;'111'!$N$11),"x","")</f>
        <v/>
      </c>
      <c r="Q192" s="39" t="str">
        <f>IF(AND($M192=$O$7,$B192&lt;'111'!$N$11),"x","")</f>
        <v/>
      </c>
      <c r="R192" s="39" t="str">
        <f>IF(ISERROR(FIND('112'!$M$9,G192,1)),"",IF((AND(FIND('112'!$M$9,G192,1)&gt;=1,$B192&gt;='112'!$N$8,$B192&lt;='112'!$O$8,OR($L192='112'!$I$6,$M192='112'!$I$6))),"x",""))</f>
        <v/>
      </c>
      <c r="S192" s="39" t="str">
        <f>IF(ISERROR(FIND('112'!$M$9,G192,1)),"",IF((AND(LEFT(G192,2)=LEFT('112'!$M$9,2),B192&lt;'112'!$N$8,$L192='112'!$I$6)),"x",""))</f>
        <v/>
      </c>
      <c r="T192" s="39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39" t="str">
        <f>IF(OR(TH!L192=TH!$V$7,M192=TH!$V$7),"x","")</f>
        <v/>
      </c>
      <c r="W192" s="39" t="str">
        <f>IF(AND(B192&gt;='IN-NX'!$P$3,B192&lt;='IN-NX'!$Q$3,'IN-NX'!$D$7=D192,OR(LEFT(L192,2)="15",AND(LEFT(M192,2)&lt;&gt;"15",LEFT(M192,2)&lt;&gt;"33"))),"x","")</f>
        <v/>
      </c>
      <c r="X192" s="39" t="str">
        <f>IF(AND(OR(LEFT(TH!L192,2)="15",LEFT(TH!M192,2)="15"),'152-CT'!$J$8=TH!F192),"x","")</f>
        <v/>
      </c>
      <c r="Y192" s="39" t="str">
        <f>IF(AND(OR(LEFT(TH!L192,2)="15",LEFT(TH!M192,2)="15"),TK!$E$7=TH!F192),"x","")</f>
        <v/>
      </c>
      <c r="Z192" s="39" t="str">
        <f>IF(AND(B192&lt;=NKC!$N$8,B192&gt;=NKC!$M$8),"x","")</f>
        <v/>
      </c>
      <c r="AA192" s="894"/>
    </row>
    <row r="193" spans="1:30" ht="15.75" customHeight="1">
      <c r="A193" s="199" t="str">
        <f>IF(B193&lt;&gt;"",IF(AND(B193&gt;=_TM1,B193&lt;=_TM2,OR(TH!L193="1111",TH!M193="1111")),TH!D193,""),"")</f>
        <v/>
      </c>
      <c r="B193" s="36">
        <f t="shared" si="8"/>
        <v>1</v>
      </c>
      <c r="C193" s="190">
        <f t="shared" si="9"/>
        <v>0</v>
      </c>
      <c r="D193" s="190"/>
      <c r="E193" s="190"/>
      <c r="F193" s="191"/>
      <c r="G193" s="491"/>
      <c r="H193" s="192"/>
      <c r="I193" s="253"/>
      <c r="J193" s="255"/>
      <c r="K193" s="38"/>
      <c r="L193" s="193"/>
      <c r="M193" s="193"/>
      <c r="N193" s="39" t="str">
        <f>IF(AND('331-CT'!$E$7=TH!H193,OR(L193="331",M193="331")),"331",IF(AND(OR(L193="131",M193="131"),H193='131-CT'!$E$7),"131",""))</f>
        <v/>
      </c>
      <c r="O193" s="39" t="str">
        <f>IF(AND($B193&gt;='111'!$N$11,$B193&lt;='111'!$O$11,OR($L193=$O$7,$M193=$O$7)),"x","")</f>
        <v/>
      </c>
      <c r="P193" s="39" t="str">
        <f>IF(AND($L193=$O$7,$B193&lt;'111'!$N$11),"x","")</f>
        <v/>
      </c>
      <c r="Q193" s="39" t="str">
        <f>IF(AND($M193=$O$7,$B193&lt;'111'!$N$11),"x","")</f>
        <v/>
      </c>
      <c r="R193" s="39" t="str">
        <f>IF(ISERROR(FIND('112'!$M$9,G193,1)),"",IF((AND(FIND('112'!$M$9,G193,1)&gt;=1,$B193&gt;='112'!$N$8,$B193&lt;='112'!$O$8,OR($L193='112'!$I$6,$M193='112'!$I$6))),"x",""))</f>
        <v/>
      </c>
      <c r="S193" s="39" t="str">
        <f>IF(ISERROR(FIND('112'!$M$9,G193,1)),"",IF((AND(LEFT(G193,2)=LEFT('112'!$M$9,2),B193&lt;'112'!$N$8,$L193='112'!$I$6)),"x",""))</f>
        <v/>
      </c>
      <c r="T193" s="39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39" t="str">
        <f>IF(OR(TH!L193=TH!$V$7,M193=TH!$V$7),"x","")</f>
        <v/>
      </c>
      <c r="W193" s="39" t="str">
        <f>IF(AND(B193&gt;='IN-NX'!$P$3,B193&lt;='IN-NX'!$Q$3,'IN-NX'!$D$7=D193,OR(LEFT(L193,2)="15",AND(LEFT(M193,2)&lt;&gt;"15",LEFT(M193,2)&lt;&gt;"33"))),"x","")</f>
        <v/>
      </c>
      <c r="X193" s="39" t="str">
        <f>IF(AND(OR(LEFT(TH!L193,2)="15",LEFT(TH!M193,2)="15"),'152-CT'!$J$8=TH!F193),"x","")</f>
        <v/>
      </c>
      <c r="Y193" s="39" t="str">
        <f>IF(AND(OR(LEFT(TH!L193,2)="15",LEFT(TH!M193,2)="15"),TK!$E$7=TH!F193),"x","")</f>
        <v/>
      </c>
      <c r="Z193" s="39" t="str">
        <f>IF(AND(B193&lt;=NKC!$N$8,B193&gt;=NKC!$M$8),"x","")</f>
        <v/>
      </c>
      <c r="AA193" s="894"/>
    </row>
    <row r="194" spans="1:30" ht="15.75" customHeight="1">
      <c r="A194" s="199" t="str">
        <f>IF(B194&lt;&gt;"",IF(AND(B194&gt;=_TM1,B194&lt;=_TM2,OR(TH!L194="1111",TH!M194="1111")),TH!D194,""),"")</f>
        <v/>
      </c>
      <c r="B194" s="36">
        <f t="shared" si="8"/>
        <v>1</v>
      </c>
      <c r="C194" s="190">
        <f t="shared" si="9"/>
        <v>0</v>
      </c>
      <c r="D194" s="190"/>
      <c r="E194" s="190"/>
      <c r="F194" s="191"/>
      <c r="G194" s="491"/>
      <c r="H194" s="192"/>
      <c r="I194" s="253"/>
      <c r="J194" s="255"/>
      <c r="K194" s="38"/>
      <c r="L194" s="193"/>
      <c r="M194" s="193"/>
      <c r="N194" s="39" t="str">
        <f>IF(AND('331-CT'!$E$7=TH!H194,OR(L194="331",M194="331")),"331",IF(AND(OR(L194="131",M194="131"),H194='131-CT'!$E$7),"131",""))</f>
        <v/>
      </c>
      <c r="O194" s="39" t="str">
        <f>IF(AND($B194&gt;='111'!$N$11,$B194&lt;='111'!$O$11,OR($L194=$O$7,$M194=$O$7)),"x","")</f>
        <v/>
      </c>
      <c r="P194" s="39" t="str">
        <f>IF(AND($L194=$O$7,$B194&lt;'111'!$N$11),"x","")</f>
        <v/>
      </c>
      <c r="Q194" s="39" t="str">
        <f>IF(AND($M194=$O$7,$B194&lt;'111'!$N$11),"x","")</f>
        <v/>
      </c>
      <c r="R194" s="39" t="str">
        <f>IF(ISERROR(FIND('112'!$M$9,G194,1)),"",IF((AND(FIND('112'!$M$9,G194,1)&gt;=1,$B194&gt;='112'!$N$8,$B194&lt;='112'!$O$8,OR($L194='112'!$I$6,$M194='112'!$I$6))),"x",""))</f>
        <v/>
      </c>
      <c r="S194" s="39" t="str">
        <f>IF(ISERROR(FIND('112'!$M$9,G194,1)),"",IF((AND(LEFT(G194,2)=LEFT('112'!$M$9,2),B194&lt;'112'!$N$8,$L194='112'!$I$6)),"x",""))</f>
        <v/>
      </c>
      <c r="T194" s="39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39" t="str">
        <f>IF(OR(TH!L194=TH!$V$7,M194=TH!$V$7),"x","")</f>
        <v/>
      </c>
      <c r="W194" s="39" t="str">
        <f>IF(AND(B194&gt;='IN-NX'!$P$3,B194&lt;='IN-NX'!$Q$3,'IN-NX'!$D$7=D194,OR(LEFT(L194,2)="15",AND(LEFT(M194,2)&lt;&gt;"15",LEFT(M194,2)&lt;&gt;"33"))),"x","")</f>
        <v/>
      </c>
      <c r="X194" s="39" t="str">
        <f>IF(AND(OR(LEFT(TH!L194,2)="15",LEFT(TH!M194,2)="15"),'152-CT'!$J$8=TH!F194),"x","")</f>
        <v/>
      </c>
      <c r="Y194" s="39" t="str">
        <f>IF(AND(OR(LEFT(TH!L194,2)="15",LEFT(TH!M194,2)="15"),TK!$E$7=TH!F194),"x","")</f>
        <v/>
      </c>
      <c r="Z194" s="39" t="str">
        <f>IF(AND(B194&lt;=NKC!$N$8,B194&gt;=NKC!$M$8),"x","")</f>
        <v/>
      </c>
      <c r="AA194" s="894"/>
    </row>
    <row r="195" spans="1:30" ht="15.75" customHeight="1">
      <c r="A195" s="199" t="str">
        <f>IF(B195&lt;&gt;"",IF(AND(B195&gt;=_TM1,B195&lt;=_TM2,OR(TH!L195="1111",TH!M195="1111")),TH!D195,""),"")</f>
        <v/>
      </c>
      <c r="B195" s="36">
        <f t="shared" si="8"/>
        <v>1</v>
      </c>
      <c r="C195" s="190">
        <f t="shared" si="9"/>
        <v>0</v>
      </c>
      <c r="D195" s="190"/>
      <c r="E195" s="190"/>
      <c r="F195" s="191"/>
      <c r="G195" s="491"/>
      <c r="H195" s="192"/>
      <c r="I195" s="254"/>
      <c r="J195" s="255"/>
      <c r="K195" s="38"/>
      <c r="L195" s="193"/>
      <c r="M195" s="193"/>
      <c r="N195" s="39" t="str">
        <f>IF(AND('331-CT'!$E$7=TH!H195,OR(L195="331",M195="331")),"331",IF(AND(OR(L195="131",M195="131"),H195='131-CT'!$E$7),"131",""))</f>
        <v/>
      </c>
      <c r="O195" s="39" t="str">
        <f>IF(AND($B195&gt;='111'!$N$11,$B195&lt;='111'!$O$11,OR($L195=$O$7,$M195=$O$7)),"x","")</f>
        <v/>
      </c>
      <c r="P195" s="39" t="str">
        <f>IF(AND($L195=$O$7,$B195&lt;'111'!$N$11),"x","")</f>
        <v/>
      </c>
      <c r="Q195" s="39" t="str">
        <f>IF(AND($M195=$O$7,$B195&lt;'111'!$N$11),"x","")</f>
        <v/>
      </c>
      <c r="R195" s="39" t="str">
        <f>IF(ISERROR(FIND('112'!$M$9,G195,1)),"",IF((AND(FIND('112'!$M$9,G195,1)&gt;=1,$B195&gt;='112'!$N$8,$B195&lt;='112'!$O$8,OR($L195='112'!$I$6,$M195='112'!$I$6))),"x",""))</f>
        <v/>
      </c>
      <c r="S195" s="39" t="str">
        <f>IF(ISERROR(FIND('112'!$M$9,G195,1)),"",IF((AND(LEFT(G195,2)=LEFT('112'!$M$9,2),B195&lt;'112'!$N$8,$L195='112'!$I$6)),"x",""))</f>
        <v/>
      </c>
      <c r="T195" s="39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39" t="str">
        <f>IF(OR(TH!L195=TH!$V$7,M195=TH!$V$7),"x","")</f>
        <v/>
      </c>
      <c r="W195" s="39" t="str">
        <f>IF(AND(B195&gt;='IN-NX'!$P$3,B195&lt;='IN-NX'!$Q$3,'IN-NX'!$D$7=D195,OR(LEFT(L195,2)="15",AND(LEFT(M195,2)&lt;&gt;"15",LEFT(M195,2)&lt;&gt;"33"))),"x","")</f>
        <v/>
      </c>
      <c r="X195" s="39" t="str">
        <f>IF(AND(OR(LEFT(TH!L195,2)="15",LEFT(TH!M195,2)="15"),'152-CT'!$J$8=TH!F195),"x","")</f>
        <v/>
      </c>
      <c r="Y195" s="39" t="str">
        <f>IF(AND(OR(LEFT(TH!L195,2)="15",LEFT(TH!M195,2)="15"),TK!$E$7=TH!F195),"x","")</f>
        <v/>
      </c>
      <c r="Z195" s="39" t="str">
        <f>IF(AND(B195&lt;=NKC!$N$8,B195&gt;=NKC!$M$8),"x","")</f>
        <v/>
      </c>
      <c r="AA195" s="894"/>
    </row>
    <row r="196" spans="1:30" ht="15.75" customHeight="1">
      <c r="A196" s="199" t="str">
        <f>IF(B196&lt;&gt;"",IF(AND(B196&gt;=_TM1,B196&lt;=_TM2,OR(TH!L196="1111",TH!M196="1111")),TH!D196,""),"")</f>
        <v/>
      </c>
      <c r="B196" s="36">
        <f t="shared" si="8"/>
        <v>1</v>
      </c>
      <c r="C196" s="190">
        <f t="shared" si="9"/>
        <v>0</v>
      </c>
      <c r="D196" s="190"/>
      <c r="E196" s="190"/>
      <c r="F196" s="191"/>
      <c r="G196" s="491"/>
      <c r="H196" s="192"/>
      <c r="I196" s="254"/>
      <c r="J196" s="255"/>
      <c r="K196" s="38"/>
      <c r="L196" s="193"/>
      <c r="M196" s="193"/>
      <c r="N196" s="39" t="str">
        <f>IF(AND('331-CT'!$E$7=TH!H196,OR(L196="331",M196="331")),"331",IF(AND(OR(L196="131",M196="131"),H196='131-CT'!$E$7),"131",""))</f>
        <v/>
      </c>
      <c r="O196" s="39" t="str">
        <f>IF(AND($B196&gt;='111'!$N$11,$B196&lt;='111'!$O$11,OR($L196=$O$7,$M196=$O$7)),"x","")</f>
        <v/>
      </c>
      <c r="P196" s="39" t="str">
        <f>IF(AND($L196=$O$7,$B196&lt;'111'!$N$11),"x","")</f>
        <v/>
      </c>
      <c r="Q196" s="39" t="str">
        <f>IF(AND($M196=$O$7,$B196&lt;'111'!$N$11),"x","")</f>
        <v/>
      </c>
      <c r="R196" s="39" t="str">
        <f>IF(ISERROR(FIND('112'!$M$9,G196,1)),"",IF((AND(FIND('112'!$M$9,G196,1)&gt;=1,$B196&gt;='112'!$N$8,$B196&lt;='112'!$O$8,OR($L196='112'!$I$6,$M196='112'!$I$6))),"x",""))</f>
        <v/>
      </c>
      <c r="S196" s="39" t="str">
        <f>IF(ISERROR(FIND('112'!$M$9,G196,1)),"",IF((AND(LEFT(G196,2)=LEFT('112'!$M$9,2),B196&lt;'112'!$N$8,$L196='112'!$I$6)),"x",""))</f>
        <v/>
      </c>
      <c r="T196" s="39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39" t="str">
        <f>IF(OR(TH!L196=TH!$V$7,M196=TH!$V$7),"x","")</f>
        <v/>
      </c>
      <c r="W196" s="39" t="str">
        <f>IF(AND(B196&gt;='IN-NX'!$P$3,B196&lt;='IN-NX'!$Q$3,'IN-NX'!$D$7=D196,OR(LEFT(L196,2)="15",AND(LEFT(M196,2)&lt;&gt;"15",LEFT(M196,2)&lt;&gt;"33"))),"x","")</f>
        <v/>
      </c>
      <c r="X196" s="39" t="str">
        <f>IF(AND(OR(LEFT(TH!L196,2)="15",LEFT(TH!M196,2)="15"),'152-CT'!$J$8=TH!F196),"x","")</f>
        <v/>
      </c>
      <c r="Y196" s="39" t="str">
        <f>IF(AND(OR(LEFT(TH!L196,2)="15",LEFT(TH!M196,2)="15"),TK!$E$7=TH!F196),"x","")</f>
        <v/>
      </c>
      <c r="Z196" s="39" t="str">
        <f>IF(AND(B196&lt;=NKC!$N$8,B196&gt;=NKC!$M$8),"x","")</f>
        <v/>
      </c>
      <c r="AA196" s="894"/>
    </row>
    <row r="197" spans="1:30" ht="15.75" customHeight="1">
      <c r="A197" s="199" t="str">
        <f>IF(B197&lt;&gt;"",IF(AND(B197&gt;=_TM1,B197&lt;=_TM2,OR(TH!L197="1111",TH!M197="1111")),TH!D197,""),"")</f>
        <v/>
      </c>
      <c r="B197" s="36">
        <f t="shared" si="8"/>
        <v>1</v>
      </c>
      <c r="C197" s="190">
        <f t="shared" si="9"/>
        <v>0</v>
      </c>
      <c r="D197" s="190"/>
      <c r="E197" s="190"/>
      <c r="F197" s="191"/>
      <c r="G197" s="491"/>
      <c r="H197" s="192"/>
      <c r="I197" s="253"/>
      <c r="J197" s="255"/>
      <c r="K197" s="38"/>
      <c r="L197" s="193"/>
      <c r="M197" s="193"/>
      <c r="N197" s="39" t="str">
        <f>IF(AND('331-CT'!$E$7=TH!H197,OR(L197="331",M197="331")),"331",IF(AND(OR(L197="131",M197="131"),H197='131-CT'!$E$7),"131",""))</f>
        <v/>
      </c>
      <c r="O197" s="39" t="str">
        <f>IF(AND($B197&gt;='111'!$N$11,$B197&lt;='111'!$O$11,OR($L197=$O$7,$M197=$O$7)),"x","")</f>
        <v/>
      </c>
      <c r="P197" s="39" t="str">
        <f>IF(AND($L197=$O$7,$B197&lt;'111'!$N$11),"x","")</f>
        <v/>
      </c>
      <c r="Q197" s="39" t="str">
        <f>IF(AND($M197=$O$7,$B197&lt;'111'!$N$11),"x","")</f>
        <v/>
      </c>
      <c r="R197" s="39" t="str">
        <f>IF(ISERROR(FIND('112'!$M$9,G197,1)),"",IF((AND(FIND('112'!$M$9,G197,1)&gt;=1,$B197&gt;='112'!$N$8,$B197&lt;='112'!$O$8,OR($L197='112'!$I$6,$M197='112'!$I$6))),"x",""))</f>
        <v/>
      </c>
      <c r="S197" s="39" t="str">
        <f>IF(ISERROR(FIND('112'!$M$9,G197,1)),"",IF((AND(LEFT(G197,2)=LEFT('112'!$M$9,2),B197&lt;'112'!$N$8,$L197='112'!$I$6)),"x",""))</f>
        <v/>
      </c>
      <c r="T197" s="39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39" t="str">
        <f>IF(OR(TH!L197=TH!$V$7,M197=TH!$V$7),"x","")</f>
        <v/>
      </c>
      <c r="W197" s="39" t="str">
        <f>IF(AND(B197&gt;='IN-NX'!$P$3,B197&lt;='IN-NX'!$Q$3,'IN-NX'!$D$7=D197,OR(LEFT(L197,2)="15",AND(LEFT(M197,2)&lt;&gt;"15",LEFT(M197,2)&lt;&gt;"33"))),"x","")</f>
        <v/>
      </c>
      <c r="X197" s="39" t="str">
        <f>IF(AND(OR(LEFT(TH!L197,2)="15",LEFT(TH!M197,2)="15"),'152-CT'!$J$8=TH!F197),"x","")</f>
        <v/>
      </c>
      <c r="Y197" s="39" t="str">
        <f>IF(AND(OR(LEFT(TH!L197,2)="15",LEFT(TH!M197,2)="15"),TK!$E$7=TH!F197),"x","")</f>
        <v/>
      </c>
      <c r="Z197" s="39" t="str">
        <f>IF(AND(B197&lt;=NKC!$N$8,B197&gt;=NKC!$M$8),"x","")</f>
        <v/>
      </c>
      <c r="AA197" s="894"/>
    </row>
    <row r="198" spans="1:30" ht="15.75" customHeight="1">
      <c r="A198" s="199" t="str">
        <f>IF(B198&lt;&gt;"",IF(AND(B198&gt;=_TM1,B198&lt;=_TM2,OR(TH!L198="1111",TH!M198="1111")),TH!D198,""),"")</f>
        <v/>
      </c>
      <c r="B198" s="36">
        <f t="shared" si="8"/>
        <v>1</v>
      </c>
      <c r="C198" s="190">
        <f t="shared" si="9"/>
        <v>0</v>
      </c>
      <c r="D198" s="190"/>
      <c r="E198" s="190"/>
      <c r="F198" s="191"/>
      <c r="G198" s="491"/>
      <c r="H198" s="192"/>
      <c r="I198" s="255"/>
      <c r="J198" s="255"/>
      <c r="K198" s="38"/>
      <c r="L198" s="193"/>
      <c r="M198" s="193"/>
      <c r="N198" s="39" t="str">
        <f>IF(AND('331-CT'!$E$7=TH!H198,OR(L198="331",M198="331")),"331",IF(AND(OR(L198="131",M198="131"),H198='131-CT'!$E$7),"131",""))</f>
        <v/>
      </c>
      <c r="O198" s="39" t="str">
        <f>IF(AND($B198&gt;='111'!$N$11,$B198&lt;='111'!$O$11,OR($L198=$O$7,$M198=$O$7)),"x","")</f>
        <v/>
      </c>
      <c r="P198" s="39" t="str">
        <f>IF(AND($L198=$O$7,$B198&lt;'111'!$N$11),"x","")</f>
        <v/>
      </c>
      <c r="Q198" s="39" t="str">
        <f>IF(AND($M198=$O$7,$B198&lt;'111'!$N$11),"x","")</f>
        <v/>
      </c>
      <c r="R198" s="39" t="str">
        <f>IF(ISERROR(FIND('112'!$M$9,G198,1)),"",IF((AND(FIND('112'!$M$9,G198,1)&gt;=1,$B198&gt;='112'!$N$8,$B198&lt;='112'!$O$8,OR($L198='112'!$I$6,$M198='112'!$I$6))),"x",""))</f>
        <v/>
      </c>
      <c r="S198" s="39" t="str">
        <f>IF(ISERROR(FIND('112'!$M$9,G198,1)),"",IF((AND(LEFT(G198,2)=LEFT('112'!$M$9,2),B198&lt;'112'!$N$8,$L198='112'!$I$6)),"x",""))</f>
        <v/>
      </c>
      <c r="T198" s="39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39" t="str">
        <f>IF(OR(TH!L198=TH!$V$7,M198=TH!$V$7),"x","")</f>
        <v/>
      </c>
      <c r="W198" s="39" t="str">
        <f>IF(AND(B198&gt;='IN-NX'!$P$3,B198&lt;='IN-NX'!$Q$3,'IN-NX'!$D$7=D198,OR(LEFT(L198,2)="15",AND(LEFT(M198,2)&lt;&gt;"15",LEFT(M198,2)&lt;&gt;"33"))),"x","")</f>
        <v/>
      </c>
      <c r="X198" s="39" t="str">
        <f>IF(AND(OR(LEFT(TH!L198,2)="15",LEFT(TH!M198,2)="15"),'152-CT'!$J$8=TH!F198),"x","")</f>
        <v/>
      </c>
      <c r="Y198" s="39" t="str">
        <f>IF(AND(OR(LEFT(TH!L198,2)="15",LEFT(TH!M198,2)="15"),TK!$E$7=TH!F198),"x","")</f>
        <v/>
      </c>
      <c r="Z198" s="39" t="str">
        <f>IF(AND(B198&lt;=NKC!$N$8,B198&gt;=NKC!$M$8),"x","")</f>
        <v/>
      </c>
      <c r="AA198" s="894"/>
    </row>
    <row r="199" spans="1:30" ht="15.75" customHeight="1">
      <c r="A199" s="199" t="str">
        <f>IF(B199&lt;&gt;"",IF(AND(B199&gt;=_TM1,B199&lt;=_TM2,OR(TH!L199="1111",TH!M199="1111")),TH!D199,""),"")</f>
        <v/>
      </c>
      <c r="B199" s="36">
        <f t="shared" si="8"/>
        <v>1</v>
      </c>
      <c r="C199" s="190">
        <f t="shared" si="9"/>
        <v>0</v>
      </c>
      <c r="D199" s="190"/>
      <c r="E199" s="190"/>
      <c r="F199" s="191"/>
      <c r="G199" s="491"/>
      <c r="H199" s="192"/>
      <c r="I199" s="253"/>
      <c r="J199" s="255"/>
      <c r="K199" s="38"/>
      <c r="L199" s="193"/>
      <c r="M199" s="193"/>
      <c r="N199" s="39" t="str">
        <f>IF(AND('331-CT'!$E$7=TH!H199,OR(L199="331",M199="331")),"331",IF(AND(OR(L199="131",M199="131"),H199='131-CT'!$E$7),"131",""))</f>
        <v/>
      </c>
      <c r="O199" s="39" t="str">
        <f>IF(AND($B199&gt;='111'!$N$11,$B199&lt;='111'!$O$11,OR($L199=$O$7,$M199=$O$7)),"x","")</f>
        <v/>
      </c>
      <c r="P199" s="39" t="str">
        <f>IF(AND($L199=$O$7,$B199&lt;'111'!$N$11),"x","")</f>
        <v/>
      </c>
      <c r="Q199" s="39" t="str">
        <f>IF(AND($M199=$O$7,$B199&lt;'111'!$N$11),"x","")</f>
        <v/>
      </c>
      <c r="R199" s="39" t="str">
        <f>IF(ISERROR(FIND('112'!$M$9,G199,1)),"",IF((AND(FIND('112'!$M$9,G199,1)&gt;=1,$B199&gt;='112'!$N$8,$B199&lt;='112'!$O$8,OR($L199='112'!$I$6,$M199='112'!$I$6))),"x",""))</f>
        <v/>
      </c>
      <c r="S199" s="39" t="str">
        <f>IF(ISERROR(FIND('112'!$M$9,G199,1)),"",IF((AND(LEFT(G199,2)=LEFT('112'!$M$9,2),B199&lt;'112'!$N$8,$L199='112'!$I$6)),"x",""))</f>
        <v/>
      </c>
      <c r="T199" s="39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39" t="str">
        <f>IF(OR(TH!L199=TH!$V$7,M199=TH!$V$7),"x","")</f>
        <v/>
      </c>
      <c r="W199" s="39" t="str">
        <f>IF(AND(B199&gt;='IN-NX'!$P$3,B199&lt;='IN-NX'!$Q$3,'IN-NX'!$D$7=D199,OR(LEFT(L199,2)="15",AND(LEFT(M199,2)&lt;&gt;"15",LEFT(M199,2)&lt;&gt;"33"))),"x","")</f>
        <v/>
      </c>
      <c r="X199" s="39" t="str">
        <f>IF(AND(OR(LEFT(TH!L199,2)="15",LEFT(TH!M199,2)="15"),'152-CT'!$J$8=TH!F199),"x","")</f>
        <v/>
      </c>
      <c r="Y199" s="39" t="str">
        <f>IF(AND(OR(LEFT(TH!L199,2)="15",LEFT(TH!M199,2)="15"),TK!$E$7=TH!F199),"x","")</f>
        <v/>
      </c>
      <c r="Z199" s="39" t="str">
        <f>IF(AND(B199&lt;=NKC!$N$8,B199&gt;=NKC!$M$8),"x","")</f>
        <v/>
      </c>
      <c r="AA199" s="894"/>
    </row>
    <row r="200" spans="1:30" ht="15.75" customHeight="1">
      <c r="A200" s="199" t="str">
        <f>IF(B200&lt;&gt;"",IF(AND(B200&gt;=_TM1,B200&lt;=_TM2,OR(TH!L200="1111",TH!M200="1111")),TH!D200,""),"")</f>
        <v/>
      </c>
      <c r="B200" s="36">
        <f t="shared" si="8"/>
        <v>1</v>
      </c>
      <c r="C200" s="190">
        <f t="shared" si="9"/>
        <v>0</v>
      </c>
      <c r="D200" s="190"/>
      <c r="E200" s="190"/>
      <c r="F200" s="191"/>
      <c r="G200" s="491"/>
      <c r="H200" s="192"/>
      <c r="I200" s="253"/>
      <c r="J200" s="255"/>
      <c r="K200" s="38"/>
      <c r="L200" s="193"/>
      <c r="M200" s="193"/>
      <c r="N200" s="39" t="str">
        <f>IF(AND('331-CT'!$E$7=TH!H200,OR(L200="331",M200="331")),"331",IF(AND(OR(L200="131",M200="131"),H200='131-CT'!$E$7),"131",""))</f>
        <v/>
      </c>
      <c r="O200" s="39" t="str">
        <f>IF(AND($B200&gt;='111'!$N$11,$B200&lt;='111'!$O$11,OR($L200=$O$7,$M200=$O$7)),"x","")</f>
        <v/>
      </c>
      <c r="P200" s="39" t="str">
        <f>IF(AND($L200=$O$7,$B200&lt;'111'!$N$11),"x","")</f>
        <v/>
      </c>
      <c r="Q200" s="39" t="str">
        <f>IF(AND($M200=$O$7,$B200&lt;'111'!$N$11),"x","")</f>
        <v/>
      </c>
      <c r="R200" s="39" t="str">
        <f>IF(ISERROR(FIND('112'!$M$9,G200,1)),"",IF((AND(FIND('112'!$M$9,G200,1)&gt;=1,$B200&gt;='112'!$N$8,$B200&lt;='112'!$O$8,OR($L200='112'!$I$6,$M200='112'!$I$6))),"x",""))</f>
        <v/>
      </c>
      <c r="S200" s="39" t="str">
        <f>IF(ISERROR(FIND('112'!$M$9,G200,1)),"",IF((AND(LEFT(G200,2)=LEFT('112'!$M$9,2),B200&lt;'112'!$N$8,$L200='112'!$I$6)),"x",""))</f>
        <v/>
      </c>
      <c r="T200" s="39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39" t="str">
        <f>IF(OR(TH!L200=TH!$V$7,M200=TH!$V$7),"x","")</f>
        <v/>
      </c>
      <c r="W200" s="39" t="str">
        <f>IF(AND(B200&gt;='IN-NX'!$P$3,B200&lt;='IN-NX'!$Q$3,'IN-NX'!$D$7=D200,OR(LEFT(L200,2)="15",AND(LEFT(M200,2)&lt;&gt;"15",LEFT(M200,2)&lt;&gt;"33"))),"x","")</f>
        <v/>
      </c>
      <c r="X200" s="39" t="str">
        <f>IF(AND(OR(LEFT(TH!L200,2)="15",LEFT(TH!M200,2)="15"),'152-CT'!$J$8=TH!F200),"x","")</f>
        <v/>
      </c>
      <c r="Y200" s="39" t="str">
        <f>IF(AND(OR(LEFT(TH!L200,2)="15",LEFT(TH!M200,2)="15"),TK!$E$7=TH!F200),"x","")</f>
        <v/>
      </c>
      <c r="Z200" s="39" t="str">
        <f>IF(AND(B200&lt;=NKC!$N$8,B200&gt;=NKC!$M$8),"x","")</f>
        <v/>
      </c>
      <c r="AA200" s="894"/>
    </row>
    <row r="201" spans="1:30" ht="15.75" customHeight="1">
      <c r="A201" s="199" t="str">
        <f>IF(B201&lt;&gt;"",IF(AND(B201&gt;=_TM1,B201&lt;=_TM2,OR(TH!L201="1111",TH!M201="1111")),TH!D201,""),"")</f>
        <v/>
      </c>
      <c r="B201" s="36">
        <f t="shared" si="8"/>
        <v>1</v>
      </c>
      <c r="C201" s="190">
        <f t="shared" si="9"/>
        <v>0</v>
      </c>
      <c r="D201" s="190"/>
      <c r="E201" s="190"/>
      <c r="F201" s="191"/>
      <c r="G201" s="491"/>
      <c r="H201" s="192"/>
      <c r="I201" s="253"/>
      <c r="J201" s="255"/>
      <c r="K201" s="38"/>
      <c r="L201" s="193"/>
      <c r="M201" s="193"/>
      <c r="N201" s="39" t="str">
        <f>IF(AND('331-CT'!$E$7=TH!H201,OR(L201="331",M201="331")),"331",IF(AND(OR(L201="131",M201="131"),H201='131-CT'!$E$7),"131",""))</f>
        <v/>
      </c>
      <c r="O201" s="39" t="str">
        <f>IF(AND($B201&gt;='111'!$N$11,$B201&lt;='111'!$O$11,OR($L201=$O$7,$M201=$O$7)),"x","")</f>
        <v/>
      </c>
      <c r="P201" s="39" t="str">
        <f>IF(AND($L201=$O$7,$B201&lt;'111'!$N$11),"x","")</f>
        <v/>
      </c>
      <c r="Q201" s="39" t="str">
        <f>IF(AND($M201=$O$7,$B201&lt;'111'!$N$11),"x","")</f>
        <v/>
      </c>
      <c r="R201" s="39" t="str">
        <f>IF(ISERROR(FIND('112'!$M$9,G201,1)),"",IF((AND(FIND('112'!$M$9,G201,1)&gt;=1,$B201&gt;='112'!$N$8,$B201&lt;='112'!$O$8,OR($L201='112'!$I$6,$M201='112'!$I$6))),"x",""))</f>
        <v/>
      </c>
      <c r="S201" s="39" t="str">
        <f>IF(ISERROR(FIND('112'!$M$9,G201,1)),"",IF((AND(LEFT(G201,2)=LEFT('112'!$M$9,2),B201&lt;'112'!$N$8,$L201='112'!$I$6)),"x",""))</f>
        <v/>
      </c>
      <c r="T201" s="39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39" t="str">
        <f>IF(OR(TH!L201=TH!$V$7,M201=TH!$V$7),"x","")</f>
        <v/>
      </c>
      <c r="W201" s="39" t="str">
        <f>IF(AND(B201&gt;='IN-NX'!$P$3,B201&lt;='IN-NX'!$Q$3,'IN-NX'!$D$7=D201,OR(LEFT(L201,2)="15",AND(LEFT(M201,2)&lt;&gt;"15",LEFT(M201,2)&lt;&gt;"33"))),"x","")</f>
        <v/>
      </c>
      <c r="X201" s="39" t="str">
        <f>IF(AND(OR(LEFT(TH!L201,2)="15",LEFT(TH!M201,2)="15"),'152-CT'!$J$8=TH!F201),"x","")</f>
        <v/>
      </c>
      <c r="Y201" s="39" t="str">
        <f>IF(AND(OR(LEFT(TH!L201,2)="15",LEFT(TH!M201,2)="15"),TK!$E$7=TH!F201),"x","")</f>
        <v/>
      </c>
      <c r="Z201" s="39" t="str">
        <f>IF(AND(B201&lt;=NKC!$N$8,B201&gt;=NKC!$M$8),"x","")</f>
        <v/>
      </c>
      <c r="AA201" s="894"/>
    </row>
    <row r="202" spans="1:30" ht="15.75" customHeight="1">
      <c r="A202" s="199" t="str">
        <f>IF(B202&lt;&gt;"",IF(AND(B202&gt;=_TM1,B202&lt;=_TM2,OR(TH!L202="1111",TH!M202="1111")),TH!D202,""),"")</f>
        <v/>
      </c>
      <c r="B202" s="36">
        <f t="shared" si="8"/>
        <v>1</v>
      </c>
      <c r="C202" s="190">
        <f t="shared" si="9"/>
        <v>0</v>
      </c>
      <c r="D202" s="190"/>
      <c r="E202" s="190"/>
      <c r="F202" s="191"/>
      <c r="G202" s="491"/>
      <c r="H202" s="192"/>
      <c r="I202" s="254"/>
      <c r="J202" s="255"/>
      <c r="K202" s="38"/>
      <c r="L202" s="193"/>
      <c r="M202" s="193"/>
      <c r="N202" s="39" t="str">
        <f>IF(AND('331-CT'!$E$7=TH!H202,OR(L202="331",M202="331")),"331",IF(AND(OR(L202="131",M202="131"),H202='131-CT'!$E$7),"131",""))</f>
        <v/>
      </c>
      <c r="O202" s="39" t="str">
        <f>IF(AND($B202&gt;='111'!$N$11,$B202&lt;='111'!$O$11,OR($L202=$O$7,$M202=$O$7)),"x","")</f>
        <v/>
      </c>
      <c r="P202" s="39" t="str">
        <f>IF(AND($L202=$O$7,$B202&lt;'111'!$N$11),"x","")</f>
        <v/>
      </c>
      <c r="Q202" s="39" t="str">
        <f>IF(AND($M202=$O$7,$B202&lt;'111'!$N$11),"x","")</f>
        <v/>
      </c>
      <c r="R202" s="39" t="str">
        <f>IF(ISERROR(FIND('112'!$M$9,G202,1)),"",IF((AND(FIND('112'!$M$9,G202,1)&gt;=1,$B202&gt;='112'!$N$8,$B202&lt;='112'!$O$8,OR($L202='112'!$I$6,$M202='112'!$I$6))),"x",""))</f>
        <v/>
      </c>
      <c r="S202" s="39" t="str">
        <f>IF(ISERROR(FIND('112'!$M$9,G202,1)),"",IF((AND(LEFT(G202,2)=LEFT('112'!$M$9,2),B202&lt;'112'!$N$8,$L202='112'!$I$6)),"x",""))</f>
        <v/>
      </c>
      <c r="T202" s="39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39" t="str">
        <f>IF(OR(TH!L202=TH!$V$7,M202=TH!$V$7),"x","")</f>
        <v/>
      </c>
      <c r="W202" s="39" t="str">
        <f>IF(AND(B202&gt;='IN-NX'!$P$3,B202&lt;='IN-NX'!$Q$3,'IN-NX'!$D$7=D202,OR(LEFT(L202,2)="15",AND(LEFT(M202,2)&lt;&gt;"15",LEFT(M202,2)&lt;&gt;"33"))),"x","")</f>
        <v/>
      </c>
      <c r="X202" s="39" t="str">
        <f>IF(AND(OR(LEFT(TH!L202,2)="15",LEFT(TH!M202,2)="15"),'152-CT'!$J$8=TH!F202),"x","")</f>
        <v/>
      </c>
      <c r="Y202" s="39" t="str">
        <f>IF(AND(OR(LEFT(TH!L202,2)="15",LEFT(TH!M202,2)="15"),TK!$E$7=TH!F202),"x","")</f>
        <v/>
      </c>
      <c r="Z202" s="39" t="str">
        <f>IF(AND(B202&lt;=NKC!$N$8,B202&gt;=NKC!$M$8),"x","")</f>
        <v/>
      </c>
      <c r="AA202" s="894"/>
      <c r="AB202" s="598" t="e">
        <f>IF(VLOOKUP(H202,DSKH,1,0)&lt;&gt;"","","x")</f>
        <v>#N/A</v>
      </c>
    </row>
    <row r="203" spans="1:30" ht="15.75" customHeight="1">
      <c r="A203" s="199" t="str">
        <f>IF(B203&lt;&gt;"",IF(AND(B203&gt;=_TM1,B203&lt;=_TM2,OR(TH!L203="1111",TH!M203="1111")),TH!D203,""),"")</f>
        <v/>
      </c>
      <c r="B203" s="36">
        <f t="shared" si="8"/>
        <v>1</v>
      </c>
      <c r="C203" s="190">
        <f t="shared" si="9"/>
        <v>0</v>
      </c>
      <c r="D203" s="190"/>
      <c r="E203" s="190"/>
      <c r="F203" s="191"/>
      <c r="G203" s="491"/>
      <c r="H203" s="192"/>
      <c r="I203" s="253"/>
      <c r="J203" s="255"/>
      <c r="K203" s="38"/>
      <c r="L203" s="193"/>
      <c r="M203" s="193"/>
      <c r="N203" s="39" t="str">
        <f>IF(AND('331-CT'!$E$7=TH!H203,OR(L203="331",M203="331")),"331",IF(AND(OR(L203="131",M203="131"),H203='131-CT'!$E$7),"131",""))</f>
        <v/>
      </c>
      <c r="O203" s="39" t="str">
        <f>IF(AND($B203&gt;='111'!$N$11,$B203&lt;='111'!$O$11,OR($L203=$O$7,$M203=$O$7)),"x","")</f>
        <v/>
      </c>
      <c r="P203" s="39" t="str">
        <f>IF(AND($L203=$O$7,$B203&lt;'111'!$N$11),"x","")</f>
        <v/>
      </c>
      <c r="Q203" s="39" t="str">
        <f>IF(AND($M203=$O$7,$B203&lt;'111'!$N$11),"x","")</f>
        <v/>
      </c>
      <c r="R203" s="39" t="str">
        <f>IF(ISERROR(FIND('112'!$M$9,G203,1)),"",IF((AND(FIND('112'!$M$9,G203,1)&gt;=1,$B203&gt;='112'!$N$8,$B203&lt;='112'!$O$8,OR($L203='112'!$I$6,$M203='112'!$I$6))),"x",""))</f>
        <v/>
      </c>
      <c r="S203" s="39" t="str">
        <f>IF(ISERROR(FIND('112'!$M$9,G203,1)),"",IF((AND(LEFT(G203,2)=LEFT('112'!$M$9,2),B203&lt;'112'!$N$8,$L203='112'!$I$6)),"x",""))</f>
        <v/>
      </c>
      <c r="T203" s="39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39" t="str">
        <f>IF(OR(TH!L203=TH!$V$7,M203=TH!$V$7),"x","")</f>
        <v/>
      </c>
      <c r="W203" s="39" t="str">
        <f>IF(AND(B203&gt;='IN-NX'!$P$3,B203&lt;='IN-NX'!$Q$3,'IN-NX'!$D$7=D203,OR(LEFT(L203,2)="15",AND(LEFT(M203,2)&lt;&gt;"15",LEFT(M203,2)&lt;&gt;"33"))),"x","")</f>
        <v/>
      </c>
      <c r="X203" s="39" t="str">
        <f>IF(AND(OR(LEFT(TH!L203,2)="15",LEFT(TH!M203,2)="15"),'152-CT'!$J$8=TH!F203),"x","")</f>
        <v/>
      </c>
      <c r="Y203" s="39" t="str">
        <f>IF(AND(OR(LEFT(TH!L203,2)="15",LEFT(TH!M203,2)="15"),TK!$E$7=TH!F203),"x","")</f>
        <v/>
      </c>
      <c r="Z203" s="39" t="str">
        <f>IF(AND(B203&lt;=NKC!$N$8,B203&gt;=NKC!$M$8),"x","")</f>
        <v/>
      </c>
      <c r="AA203" s="894"/>
      <c r="AB203" s="598" t="e">
        <f>IF(VLOOKUP(H203,DSKH,1,0)&lt;&gt;"","","x")</f>
        <v>#N/A</v>
      </c>
    </row>
    <row r="204" spans="1:30" ht="15.75" customHeight="1">
      <c r="A204" s="199" t="str">
        <f>IF(B204&lt;&gt;"",IF(AND(B204&gt;=_TM1,B204&lt;=_TM2,OR(TH!L204="1111",TH!M204="1111")),TH!D204,""),"")</f>
        <v/>
      </c>
      <c r="B204" s="36">
        <f t="shared" si="8"/>
        <v>1</v>
      </c>
      <c r="C204" s="190">
        <f t="shared" si="9"/>
        <v>0</v>
      </c>
      <c r="D204" s="190"/>
      <c r="E204" s="190"/>
      <c r="F204" s="191"/>
      <c r="G204" s="491"/>
      <c r="H204" s="192"/>
      <c r="I204" s="254"/>
      <c r="J204" s="255"/>
      <c r="K204" s="38"/>
      <c r="L204" s="193"/>
      <c r="M204" s="193"/>
      <c r="N204" s="39" t="str">
        <f>IF(AND('331-CT'!$E$7=TH!H204,OR(L204="331",M204="331")),"331",IF(AND(OR(L204="131",M204="131"),H204='131-CT'!$E$7),"131",""))</f>
        <v/>
      </c>
      <c r="O204" s="39" t="str">
        <f>IF(AND($B204&gt;='111'!$N$11,$B204&lt;='111'!$O$11,OR($L204=$O$7,$M204=$O$7)),"x","")</f>
        <v/>
      </c>
      <c r="P204" s="39" t="str">
        <f>IF(AND($L204=$O$7,$B204&lt;'111'!$N$11),"x","")</f>
        <v/>
      </c>
      <c r="Q204" s="39" t="str">
        <f>IF(AND($M204=$O$7,$B204&lt;'111'!$N$11),"x","")</f>
        <v/>
      </c>
      <c r="R204" s="39" t="str">
        <f>IF(ISERROR(FIND('112'!$M$9,G204,1)),"",IF((AND(FIND('112'!$M$9,G204,1)&gt;=1,$B204&gt;='112'!$N$8,$B204&lt;='112'!$O$8,OR($L204='112'!$I$6,$M204='112'!$I$6))),"x",""))</f>
        <v/>
      </c>
      <c r="S204" s="39" t="str">
        <f>IF(ISERROR(FIND('112'!$M$9,G204,1)),"",IF((AND(LEFT(G204,2)=LEFT('112'!$M$9,2),B204&lt;'112'!$N$8,$L204='112'!$I$6)),"x",""))</f>
        <v/>
      </c>
      <c r="T204" s="39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39" t="str">
        <f>IF(OR(TH!L204=TH!$V$7,M204=TH!$V$7),"x","")</f>
        <v/>
      </c>
      <c r="W204" s="39" t="str">
        <f>IF(AND(B204&gt;='IN-NX'!$P$3,B204&lt;='IN-NX'!$Q$3,'IN-NX'!$D$7=D204,OR(LEFT(L204,2)="15",AND(LEFT(M204,2)&lt;&gt;"15",LEFT(M204,2)&lt;&gt;"33"))),"x","")</f>
        <v/>
      </c>
      <c r="X204" s="39" t="str">
        <f>IF(AND(OR(LEFT(TH!L204,2)="15",LEFT(TH!M204,2)="15"),'152-CT'!$J$8=TH!F204),"x","")</f>
        <v/>
      </c>
      <c r="Y204" s="39" t="str">
        <f>IF(AND(OR(LEFT(TH!L204,2)="15",LEFT(TH!M204,2)="15"),TK!$E$7=TH!F204),"x","")</f>
        <v/>
      </c>
      <c r="Z204" s="39" t="str">
        <f>IF(AND(B204&lt;=NKC!$N$8,B204&gt;=NKC!$M$8),"x","")</f>
        <v/>
      </c>
      <c r="AA204" s="894"/>
      <c r="AB204" s="598" t="e">
        <f t="shared" ref="AB204:AB267" si="10">IF(VLOOKUP(H204,DS_131,1,0)&lt;&gt;"","","x")</f>
        <v>#N/A</v>
      </c>
    </row>
    <row r="205" spans="1:30" ht="15.75" customHeight="1">
      <c r="A205" s="199" t="str">
        <f>IF(B205&lt;&gt;"",IF(AND(B205&gt;=_TM1,B205&lt;=_TM2,OR(TH!L205="1111",TH!M205="1111")),TH!D205,""),"")</f>
        <v/>
      </c>
      <c r="B205" s="36">
        <f t="shared" si="8"/>
        <v>1</v>
      </c>
      <c r="C205" s="190">
        <f t="shared" si="9"/>
        <v>0</v>
      </c>
      <c r="D205" s="190"/>
      <c r="E205" s="190"/>
      <c r="F205" s="191"/>
      <c r="G205" s="491"/>
      <c r="H205" s="192"/>
      <c r="I205" s="254"/>
      <c r="J205" s="255"/>
      <c r="K205" s="38"/>
      <c r="L205" s="193"/>
      <c r="M205" s="193"/>
      <c r="N205" s="39" t="str">
        <f>IF(AND('331-CT'!$E$7=TH!H205,OR(L205="331",M205="331")),"331",IF(AND(OR(L205="131",M205="131"),H205='131-CT'!$E$7),"131",""))</f>
        <v/>
      </c>
      <c r="O205" s="39" t="str">
        <f>IF(AND($B205&gt;='111'!$N$11,$B205&lt;='111'!$O$11,OR($L205=$O$7,$M205=$O$7)),"x","")</f>
        <v/>
      </c>
      <c r="P205" s="39" t="str">
        <f>IF(AND($L205=$O$7,$B205&lt;'111'!$N$11),"x","")</f>
        <v/>
      </c>
      <c r="Q205" s="39" t="str">
        <f>IF(AND($M205=$O$7,$B205&lt;'111'!$N$11),"x","")</f>
        <v/>
      </c>
      <c r="R205" s="39" t="str">
        <f>IF(ISERROR(FIND('112'!$M$9,G205,1)),"",IF((AND(FIND('112'!$M$9,G205,1)&gt;=1,$B205&gt;='112'!$N$8,$B205&lt;='112'!$O$8,OR($L205='112'!$I$6,$M205='112'!$I$6))),"x",""))</f>
        <v/>
      </c>
      <c r="S205" s="39" t="str">
        <f>IF(ISERROR(FIND('112'!$M$9,G205,1)),"",IF((AND(LEFT(G205,2)=LEFT('112'!$M$9,2),B205&lt;'112'!$N$8,$L205='112'!$I$6)),"x",""))</f>
        <v/>
      </c>
      <c r="T205" s="39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39" t="str">
        <f>IF(OR(TH!L205=TH!$V$7,M205=TH!$V$7),"x","")</f>
        <v/>
      </c>
      <c r="W205" s="39" t="str">
        <f>IF(AND(B205&gt;='IN-NX'!$P$3,B205&lt;='IN-NX'!$Q$3,'IN-NX'!$D$7=D205,OR(LEFT(L205,2)="15",AND(LEFT(M205,2)&lt;&gt;"15",LEFT(M205,2)&lt;&gt;"33"))),"x","")</f>
        <v/>
      </c>
      <c r="X205" s="39" t="str">
        <f>IF(AND(OR(LEFT(TH!L205,2)="15",LEFT(TH!M205,2)="15"),'152-CT'!$J$8=TH!F205),"x","")</f>
        <v/>
      </c>
      <c r="Y205" s="39" t="str">
        <f>IF(AND(OR(LEFT(TH!L205,2)="15",LEFT(TH!M205,2)="15"),TK!$E$7=TH!F205),"x","")</f>
        <v/>
      </c>
      <c r="Z205" s="39" t="str">
        <f>IF(AND(B205&lt;=NKC!$N$8,B205&gt;=NKC!$M$8),"x","")</f>
        <v/>
      </c>
      <c r="AA205" s="894"/>
      <c r="AB205" s="598" t="e">
        <f t="shared" si="10"/>
        <v>#N/A</v>
      </c>
      <c r="AC205" s="598"/>
    </row>
    <row r="206" spans="1:30" ht="15.75" customHeight="1">
      <c r="A206" s="199" t="str">
        <f>IF(B206&lt;&gt;"",IF(AND(B206&gt;=_TM1,B206&lt;=_TM2,OR(TH!L206="1111",TH!M206="1111")),TH!D206,""),"")</f>
        <v/>
      </c>
      <c r="B206" s="36">
        <f t="shared" si="8"/>
        <v>1</v>
      </c>
      <c r="C206" s="190">
        <f t="shared" si="9"/>
        <v>0</v>
      </c>
      <c r="D206" s="190"/>
      <c r="E206" s="190"/>
      <c r="F206" s="191"/>
      <c r="G206" s="191"/>
      <c r="H206" s="818"/>
      <c r="I206" s="254"/>
      <c r="J206" s="254"/>
      <c r="K206" s="38"/>
      <c r="L206" s="193"/>
      <c r="M206" s="193"/>
      <c r="N206" s="39" t="str">
        <f>IF(AND('331-CT'!$E$7=TH!H206,OR(L206="331",M206="331")),"331",IF(AND(OR(L206="131",M206="131"),H206='131-CT'!$E$7),"131",""))</f>
        <v/>
      </c>
      <c r="O206" s="39" t="str">
        <f>IF(AND($B206&gt;='111'!$N$11,$B206&lt;='111'!$O$11,OR($L206=$O$7,$M206=$O$7)),"x","")</f>
        <v/>
      </c>
      <c r="P206" s="39" t="str">
        <f>IF(AND($L206=$O$7,$B206&lt;'111'!$N$11),"x","")</f>
        <v/>
      </c>
      <c r="Q206" s="39" t="str">
        <f>IF(AND($M206=$O$7,$B206&lt;'111'!$N$11),"x","")</f>
        <v/>
      </c>
      <c r="R206" s="39" t="str">
        <f>IF(ISERROR(FIND('112'!$M$9,G206,1)),"",IF((AND(FIND('112'!$M$9,G206,1)&gt;=1,$B206&gt;='112'!$N$8,$B206&lt;='112'!$O$8,OR($L206='112'!$I$6,$M206='112'!$I$6))),"x",""))</f>
        <v/>
      </c>
      <c r="S206" s="39" t="str">
        <f>IF(ISERROR(FIND('112'!$M$9,G206,1)),"",IF((AND(LEFT(G206,2)=LEFT('112'!$M$9,2),B206&lt;'112'!$N$8,$L206='112'!$I$6)),"x",""))</f>
        <v/>
      </c>
      <c r="T206" s="39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39" t="str">
        <f>IF(OR(TH!L206=TH!$V$7,M206=TH!$V$7),"x","")</f>
        <v/>
      </c>
      <c r="W206" s="39" t="str">
        <f>IF(AND(B206&gt;='IN-NX'!$P$3,B206&lt;='IN-NX'!$Q$3,'IN-NX'!$D$7=D206,OR(LEFT(L206,2)="15",AND(LEFT(M206,2)&lt;&gt;"15",LEFT(M206,2)&lt;&gt;"33"))),"x","")</f>
        <v/>
      </c>
      <c r="X206" s="39" t="str">
        <f>IF(AND(OR(LEFT(TH!L206,2)="15",LEFT(TH!M206,2)="15"),'152-CT'!$J$8=TH!F206),"x","")</f>
        <v/>
      </c>
      <c r="Y206" s="39" t="str">
        <f>IF(AND(OR(LEFT(TH!L206,2)="15",LEFT(TH!M206,2)="15"),TK!$E$7=TH!F206),"x","")</f>
        <v/>
      </c>
      <c r="Z206" s="39" t="str">
        <f>IF(AND(B206&lt;=NKC!$N$8,B206&gt;=NKC!$M$8),"x","")</f>
        <v/>
      </c>
      <c r="AA206" s="894"/>
      <c r="AB206" s="598" t="e">
        <f t="shared" si="10"/>
        <v>#N/A</v>
      </c>
      <c r="AC206" s="598"/>
      <c r="AD206" s="598"/>
    </row>
    <row r="207" spans="1:30" ht="15.75" customHeight="1">
      <c r="A207" s="199" t="str">
        <f>IF(B207&lt;&gt;"",IF(AND(B207&gt;=_TM1,B207&lt;=_TM2,OR(TH!L207="1111",TH!M207="1111")),TH!D207,""),"")</f>
        <v/>
      </c>
      <c r="B207" s="36">
        <f t="shared" si="8"/>
        <v>1</v>
      </c>
      <c r="C207" s="190">
        <f t="shared" si="9"/>
        <v>0</v>
      </c>
      <c r="D207" s="190"/>
      <c r="E207" s="190"/>
      <c r="F207" s="191"/>
      <c r="G207" s="491"/>
      <c r="H207" s="192"/>
      <c r="I207" s="253"/>
      <c r="J207" s="255"/>
      <c r="K207" s="38"/>
      <c r="L207" s="193"/>
      <c r="M207" s="193"/>
      <c r="N207" s="39" t="str">
        <f>IF(AND('331-CT'!$E$7=TH!H207,OR(L207="331",M207="331")),"331",IF(AND(OR(L207="131",M207="131"),H207='131-CT'!$E$7),"131",""))</f>
        <v/>
      </c>
      <c r="O207" s="39" t="str">
        <f>IF(AND($B207&gt;='111'!$N$11,$B207&lt;='111'!$O$11,OR($L207=$O$7,$M207=$O$7)),"x","")</f>
        <v/>
      </c>
      <c r="P207" s="39" t="str">
        <f>IF(AND($L207=$O$7,$B207&lt;'111'!$N$11),"x","")</f>
        <v/>
      </c>
      <c r="Q207" s="39" t="str">
        <f>IF(AND($M207=$O$7,$B207&lt;'111'!$N$11),"x","")</f>
        <v/>
      </c>
      <c r="R207" s="39" t="str">
        <f>IF(ISERROR(FIND('112'!$M$9,G207,1)),"",IF((AND(FIND('112'!$M$9,G207,1)&gt;=1,$B207&gt;='112'!$N$8,$B207&lt;='112'!$O$8,OR($L207='112'!$I$6,$M207='112'!$I$6))),"x",""))</f>
        <v/>
      </c>
      <c r="S207" s="39" t="str">
        <f>IF(ISERROR(FIND('112'!$M$9,G207,1)),"",IF((AND(LEFT(G207,2)=LEFT('112'!$M$9,2),B207&lt;'112'!$N$8,$L207='112'!$I$6)),"x",""))</f>
        <v/>
      </c>
      <c r="T207" s="39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39" t="str">
        <f>IF(OR(TH!L207=TH!$V$7,M207=TH!$V$7),"x","")</f>
        <v/>
      </c>
      <c r="W207" s="39" t="str">
        <f>IF(AND(B207&gt;='IN-NX'!$P$3,B207&lt;='IN-NX'!$Q$3,'IN-NX'!$D$7=D207,OR(LEFT(L207,2)="15",AND(LEFT(M207,2)&lt;&gt;"15",LEFT(M207,2)&lt;&gt;"33"))),"x","")</f>
        <v/>
      </c>
      <c r="X207" s="39" t="str">
        <f>IF(AND(OR(LEFT(TH!L207,2)="15",LEFT(TH!M207,2)="15"),'152-CT'!$J$8=TH!F207),"x","")</f>
        <v/>
      </c>
      <c r="Y207" s="39" t="str">
        <f>IF(AND(OR(LEFT(TH!L207,2)="15",LEFT(TH!M207,2)="15"),TK!$E$7=TH!F207),"x","")</f>
        <v/>
      </c>
      <c r="Z207" s="39" t="str">
        <f>IF(AND(B207&lt;=NKC!$N$8,B207&gt;=NKC!$M$8),"x","")</f>
        <v/>
      </c>
      <c r="AA207" s="894"/>
      <c r="AB207" s="598" t="e">
        <f t="shared" si="10"/>
        <v>#N/A</v>
      </c>
      <c r="AD207" s="598"/>
    </row>
    <row r="208" spans="1:30" ht="15.75" customHeight="1">
      <c r="A208" s="199" t="str">
        <f>IF(B208&lt;&gt;"",IF(AND(B208&gt;=_TM1,B208&lt;=_TM2,OR(TH!L208="1111",TH!M208="1111")),TH!D208,""),"")</f>
        <v/>
      </c>
      <c r="B208" s="36">
        <f t="shared" si="8"/>
        <v>1</v>
      </c>
      <c r="C208" s="190">
        <f t="shared" si="9"/>
        <v>0</v>
      </c>
      <c r="D208" s="190"/>
      <c r="E208" s="190"/>
      <c r="F208" s="191"/>
      <c r="G208" s="191"/>
      <c r="H208" s="192"/>
      <c r="I208" s="253"/>
      <c r="J208" s="253"/>
      <c r="K208" s="38"/>
      <c r="L208" s="193"/>
      <c r="M208" s="193"/>
      <c r="N208" s="39" t="str">
        <f>IF(AND('331-CT'!$E$7=TH!H208,OR(L208="331",M208="331")),"331",IF(AND(OR(L208="131",M208="131"),H208='131-CT'!$E$7),"131",""))</f>
        <v/>
      </c>
      <c r="O208" s="39" t="str">
        <f>IF(AND($B208&gt;='111'!$N$11,$B208&lt;='111'!$O$11,OR($L208=$O$7,$M208=$O$7)),"x","")</f>
        <v/>
      </c>
      <c r="P208" s="39" t="str">
        <f>IF(AND($L208=$O$7,$B208&lt;'111'!$N$11),"x","")</f>
        <v/>
      </c>
      <c r="Q208" s="39" t="str">
        <f>IF(AND($M208=$O$7,$B208&lt;'111'!$N$11),"x","")</f>
        <v/>
      </c>
      <c r="R208" s="39" t="str">
        <f>IF(ISERROR(FIND('112'!$M$9,G208,1)),"",IF((AND(FIND('112'!$M$9,G208,1)&gt;=1,$B208&gt;='112'!$N$8,$B208&lt;='112'!$O$8,OR($L208='112'!$I$6,$M208='112'!$I$6))),"x",""))</f>
        <v/>
      </c>
      <c r="S208" s="39" t="str">
        <f>IF(ISERROR(FIND('112'!$M$9,G208,1)),"",IF((AND(LEFT(G208,2)=LEFT('112'!$M$9,2),B208&lt;'112'!$N$8,$L208='112'!$I$6)),"x",""))</f>
        <v/>
      </c>
      <c r="T208" s="39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39" t="str">
        <f>IF(OR(TH!L208=TH!$V$7,M208=TH!$V$7),"x","")</f>
        <v/>
      </c>
      <c r="W208" s="39" t="str">
        <f>IF(AND(B208&gt;='IN-NX'!$P$3,B208&lt;='IN-NX'!$Q$3,'IN-NX'!$D$7=D208,OR(LEFT(L208,2)="15",AND(LEFT(M208,2)&lt;&gt;"15",LEFT(M208,2)&lt;&gt;"33"))),"x","")</f>
        <v/>
      </c>
      <c r="X208" s="39" t="str">
        <f>IF(AND(OR(LEFT(TH!L208,2)="15",LEFT(TH!M208,2)="15"),'152-CT'!$J$8=TH!F208),"x","")</f>
        <v/>
      </c>
      <c r="Y208" s="39" t="str">
        <f>IF(AND(OR(LEFT(TH!L208,2)="15",LEFT(TH!M208,2)="15"),TK!$E$7=TH!F208),"x","")</f>
        <v/>
      </c>
      <c r="Z208" s="39" t="str">
        <f>IF(AND(B208&lt;=NKC!$N$8,B208&gt;=NKC!$M$8),"x","")</f>
        <v/>
      </c>
      <c r="AA208" s="894"/>
      <c r="AB208" s="598" t="e">
        <f t="shared" si="10"/>
        <v>#N/A</v>
      </c>
      <c r="AC208" s="598"/>
      <c r="AD208" s="598"/>
    </row>
    <row r="209" spans="1:30" ht="15.75" customHeight="1">
      <c r="A209" s="199" t="str">
        <f>IF(B209&lt;&gt;"",IF(AND(B209&gt;=_TM1,B209&lt;=_TM2,OR(TH!L209="1111",TH!M209="1111")),TH!D209,""),"")</f>
        <v/>
      </c>
      <c r="B209" s="36">
        <f t="shared" si="8"/>
        <v>1</v>
      </c>
      <c r="C209" s="190">
        <f t="shared" si="9"/>
        <v>0</v>
      </c>
      <c r="D209" s="190"/>
      <c r="E209" s="190"/>
      <c r="F209" s="191"/>
      <c r="G209" s="491"/>
      <c r="H209" s="192"/>
      <c r="I209" s="253"/>
      <c r="J209" s="253"/>
      <c r="K209" s="38"/>
      <c r="L209" s="193"/>
      <c r="M209" s="193"/>
      <c r="N209" s="39" t="str">
        <f>IF(AND('331-CT'!$E$7=TH!H209,OR(L209="331",M209="331")),"331",IF(AND(OR(L209="131",M209="131"),H209='131-CT'!$E$7),"131",""))</f>
        <v/>
      </c>
      <c r="O209" s="39" t="str">
        <f>IF(AND($B209&gt;='111'!$N$11,$B209&lt;='111'!$O$11,OR($L209=$O$7,$M209=$O$7)),"x","")</f>
        <v/>
      </c>
      <c r="P209" s="39" t="str">
        <f>IF(AND($L209=$O$7,$B209&lt;'111'!$N$11),"x","")</f>
        <v/>
      </c>
      <c r="Q209" s="39" t="str">
        <f>IF(AND($M209=$O$7,$B209&lt;'111'!$N$11),"x","")</f>
        <v/>
      </c>
      <c r="R209" s="39" t="str">
        <f>IF(ISERROR(FIND('112'!$M$9,G209,1)),"",IF((AND(FIND('112'!$M$9,G209,1)&gt;=1,$B209&gt;='112'!$N$8,$B209&lt;='112'!$O$8,OR($L209='112'!$I$6,$M209='112'!$I$6))),"x",""))</f>
        <v/>
      </c>
      <c r="S209" s="39" t="str">
        <f>IF(ISERROR(FIND('112'!$M$9,G209,1)),"",IF((AND(LEFT(G209,2)=LEFT('112'!$M$9,2),B209&lt;'112'!$N$8,$L209='112'!$I$6)),"x",""))</f>
        <v/>
      </c>
      <c r="T209" s="39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39" t="str">
        <f>IF(OR(TH!L209=TH!$V$7,M209=TH!$V$7),"x","")</f>
        <v/>
      </c>
      <c r="W209" s="39" t="str">
        <f>IF(AND(B209&gt;='IN-NX'!$P$3,B209&lt;='IN-NX'!$Q$3,'IN-NX'!$D$7=D209,OR(LEFT(L209,2)="15",AND(LEFT(M209,2)&lt;&gt;"15",LEFT(M209,2)&lt;&gt;"33"))),"x","")</f>
        <v/>
      </c>
      <c r="X209" s="39" t="str">
        <f>IF(AND(OR(LEFT(TH!L209,2)="15",LEFT(TH!M209,2)="15"),'152-CT'!$J$8=TH!F209),"x","")</f>
        <v/>
      </c>
      <c r="Y209" s="39" t="str">
        <f>IF(AND(OR(LEFT(TH!L209,2)="15",LEFT(TH!M209,2)="15"),TK!$E$7=TH!F209),"x","")</f>
        <v/>
      </c>
      <c r="Z209" s="39" t="str">
        <f>IF(AND(B209&lt;=NKC!$N$8,B209&gt;=NKC!$M$8),"x","")</f>
        <v/>
      </c>
      <c r="AA209" s="894"/>
      <c r="AB209" s="598" t="e">
        <f t="shared" si="10"/>
        <v>#N/A</v>
      </c>
      <c r="AC209" s="598"/>
      <c r="AD209" s="598"/>
    </row>
    <row r="210" spans="1:30" ht="15.75" customHeight="1">
      <c r="A210" s="199" t="str">
        <f>IF(B210&lt;&gt;"",IF(AND(B210&gt;=_TM1,B210&lt;=_TM2,OR(TH!L210="1111",TH!M210="1111")),TH!D210,""),"")</f>
        <v/>
      </c>
      <c r="B210" s="36">
        <f t="shared" si="8"/>
        <v>1</v>
      </c>
      <c r="C210" s="190">
        <f t="shared" si="9"/>
        <v>0</v>
      </c>
      <c r="D210" s="190"/>
      <c r="E210" s="190"/>
      <c r="F210" s="191"/>
      <c r="G210" s="491"/>
      <c r="H210" s="192"/>
      <c r="I210" s="253"/>
      <c r="J210" s="253"/>
      <c r="K210" s="38"/>
      <c r="L210" s="193"/>
      <c r="M210" s="193"/>
      <c r="N210" s="39" t="str">
        <f>IF(AND('331-CT'!$E$7=TH!H210,OR(L210="331",M210="331")),"331",IF(AND(OR(L210="131",M210="131"),H210='131-CT'!$E$7),"131",""))</f>
        <v/>
      </c>
      <c r="O210" s="39" t="str">
        <f>IF(AND($B210&gt;='111'!$N$11,$B210&lt;='111'!$O$11,OR($L210=$O$7,$M210=$O$7)),"x","")</f>
        <v/>
      </c>
      <c r="P210" s="39" t="str">
        <f>IF(AND($L210=$O$7,$B210&lt;'111'!$N$11),"x","")</f>
        <v/>
      </c>
      <c r="Q210" s="39" t="str">
        <f>IF(AND($M210=$O$7,$B210&lt;'111'!$N$11),"x","")</f>
        <v/>
      </c>
      <c r="R210" s="39" t="str">
        <f>IF(ISERROR(FIND('112'!$M$9,G210,1)),"",IF((AND(FIND('112'!$M$9,G210,1)&gt;=1,$B210&gt;='112'!$N$8,$B210&lt;='112'!$O$8,OR($L210='112'!$I$6,$M210='112'!$I$6))),"x",""))</f>
        <v/>
      </c>
      <c r="S210" s="39" t="str">
        <f>IF(ISERROR(FIND('112'!$M$9,G210,1)),"",IF((AND(LEFT(G210,2)=LEFT('112'!$M$9,2),B210&lt;'112'!$N$8,$L210='112'!$I$6)),"x",""))</f>
        <v/>
      </c>
      <c r="T210" s="39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39" t="str">
        <f>IF(OR(TH!L210=TH!$V$7,M210=TH!$V$7),"x","")</f>
        <v/>
      </c>
      <c r="W210" s="39" t="str">
        <f>IF(AND(B210&gt;='IN-NX'!$P$3,B210&lt;='IN-NX'!$Q$3,'IN-NX'!$D$7=D210,OR(LEFT(L210,2)="15",AND(LEFT(M210,2)&lt;&gt;"15",LEFT(M210,2)&lt;&gt;"33"))),"x","")</f>
        <v/>
      </c>
      <c r="X210" s="39" t="str">
        <f>IF(AND(OR(LEFT(TH!L210,2)="15",LEFT(TH!M210,2)="15"),'152-CT'!$J$8=TH!F210),"x","")</f>
        <v/>
      </c>
      <c r="Y210" s="39" t="str">
        <f>IF(AND(OR(LEFT(TH!L210,2)="15",LEFT(TH!M210,2)="15"),TK!$E$7=TH!F210),"x","")</f>
        <v/>
      </c>
      <c r="Z210" s="39" t="str">
        <f>IF(AND(B210&lt;=NKC!$N$8,B210&gt;=NKC!$M$8),"x","")</f>
        <v/>
      </c>
      <c r="AA210" s="894"/>
      <c r="AB210" s="598" t="e">
        <f t="shared" si="10"/>
        <v>#N/A</v>
      </c>
      <c r="AD210" s="598"/>
    </row>
    <row r="211" spans="1:30" ht="15.75" customHeight="1">
      <c r="A211" s="199" t="str">
        <f>IF(B211&lt;&gt;"",IF(AND(B211&gt;=_TM1,B211&lt;=_TM2,OR(TH!L211="1111",TH!M211="1111")),TH!D211,""),"")</f>
        <v/>
      </c>
      <c r="B211" s="36">
        <f t="shared" si="8"/>
        <v>1</v>
      </c>
      <c r="C211" s="190">
        <f t="shared" si="9"/>
        <v>0</v>
      </c>
      <c r="D211" s="190"/>
      <c r="E211" s="190"/>
      <c r="F211" s="191"/>
      <c r="G211" s="191"/>
      <c r="H211" s="192"/>
      <c r="I211" s="253"/>
      <c r="J211" s="253"/>
      <c r="K211" s="38"/>
      <c r="L211" s="193"/>
      <c r="M211" s="193"/>
      <c r="N211" s="39" t="str">
        <f>IF(AND('331-CT'!$E$7=TH!H211,OR(L211="331",M211="331")),"331",IF(AND(OR(L211="131",M211="131"),H211='131-CT'!$E$7),"131",""))</f>
        <v/>
      </c>
      <c r="O211" s="39" t="str">
        <f>IF(AND($B211&gt;='111'!$N$11,$B211&lt;='111'!$O$11,OR($L211=$O$7,$M211=$O$7)),"x","")</f>
        <v/>
      </c>
      <c r="P211" s="39" t="str">
        <f>IF(AND($L211=$O$7,$B211&lt;'111'!$N$11),"x","")</f>
        <v/>
      </c>
      <c r="Q211" s="39" t="str">
        <f>IF(AND($M211=$O$7,$B211&lt;'111'!$N$11),"x","")</f>
        <v/>
      </c>
      <c r="R211" s="39" t="str">
        <f>IF(ISERROR(FIND('112'!$M$9,G211,1)),"",IF((AND(FIND('112'!$M$9,G211,1)&gt;=1,$B211&gt;='112'!$N$8,$B211&lt;='112'!$O$8,OR($L211='112'!$I$6,$M211='112'!$I$6))),"x",""))</f>
        <v/>
      </c>
      <c r="S211" s="39" t="str">
        <f>IF(ISERROR(FIND('112'!$M$9,G211,1)),"",IF((AND(LEFT(G211,2)=LEFT('112'!$M$9,2),B211&lt;'112'!$N$8,$L211='112'!$I$6)),"x",""))</f>
        <v/>
      </c>
      <c r="T211" s="39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39" t="str">
        <f>IF(OR(TH!L211=TH!$V$7,M211=TH!$V$7),"x","")</f>
        <v/>
      </c>
      <c r="W211" s="39" t="str">
        <f>IF(AND(B211&gt;='IN-NX'!$P$3,B211&lt;='IN-NX'!$Q$3,'IN-NX'!$D$7=D211,OR(LEFT(L211,2)="15",AND(LEFT(M211,2)&lt;&gt;"15",LEFT(M211,2)&lt;&gt;"33"))),"x","")</f>
        <v/>
      </c>
      <c r="X211" s="39" t="str">
        <f>IF(AND(OR(LEFT(TH!L211,2)="15",LEFT(TH!M211,2)="15"),'152-CT'!$J$8=TH!F211),"x","")</f>
        <v/>
      </c>
      <c r="Y211" s="39" t="str">
        <f>IF(AND(OR(LEFT(TH!L211,2)="15",LEFT(TH!M211,2)="15"),TK!$E$7=TH!F211),"x","")</f>
        <v/>
      </c>
      <c r="Z211" s="39" t="str">
        <f>IF(AND(B211&lt;=NKC!$N$8,B211&gt;=NKC!$M$8),"x","")</f>
        <v/>
      </c>
      <c r="AA211" s="894"/>
      <c r="AB211" s="598" t="e">
        <f t="shared" si="10"/>
        <v>#N/A</v>
      </c>
      <c r="AC211" s="598"/>
      <c r="AD211" s="598"/>
    </row>
    <row r="212" spans="1:30" ht="15.75" customHeight="1">
      <c r="A212" s="199" t="str">
        <f>IF(B212&lt;&gt;"",IF(AND(B212&gt;=_TM1,B212&lt;=_TM2,OR(TH!L212="1111",TH!M212="1111")),TH!D212,""),"")</f>
        <v/>
      </c>
      <c r="B212" s="36">
        <f t="shared" si="8"/>
        <v>1</v>
      </c>
      <c r="C212" s="190">
        <f t="shared" si="9"/>
        <v>0</v>
      </c>
      <c r="D212" s="190"/>
      <c r="E212" s="190"/>
      <c r="F212" s="191"/>
      <c r="G212" s="491"/>
      <c r="H212" s="192"/>
      <c r="I212" s="253"/>
      <c r="J212" s="253"/>
      <c r="K212" s="38"/>
      <c r="L212" s="193"/>
      <c r="M212" s="193"/>
      <c r="N212" s="39" t="str">
        <f>IF(AND('331-CT'!$E$7=TH!H212,OR(L212="331",M212="331")),"331",IF(AND(OR(L212="131",M212="131"),H212='131-CT'!$E$7),"131",""))</f>
        <v/>
      </c>
      <c r="O212" s="39" t="str">
        <f>IF(AND($B212&gt;='111'!$N$11,$B212&lt;='111'!$O$11,OR($L212=$O$7,$M212=$O$7)),"x","")</f>
        <v/>
      </c>
      <c r="P212" s="39" t="str">
        <f>IF(AND($L212=$O$7,$B212&lt;'111'!$N$11),"x","")</f>
        <v/>
      </c>
      <c r="Q212" s="39" t="str">
        <f>IF(AND($M212=$O$7,$B212&lt;'111'!$N$11),"x","")</f>
        <v/>
      </c>
      <c r="R212" s="39" t="str">
        <f>IF(ISERROR(FIND('112'!$M$9,G212,1)),"",IF((AND(FIND('112'!$M$9,G212,1)&gt;=1,$B212&gt;='112'!$N$8,$B212&lt;='112'!$O$8,OR($L212='112'!$I$6,$M212='112'!$I$6))),"x",""))</f>
        <v/>
      </c>
      <c r="S212" s="39" t="str">
        <f>IF(ISERROR(FIND('112'!$M$9,G212,1)),"",IF((AND(LEFT(G212,2)=LEFT('112'!$M$9,2),B212&lt;'112'!$N$8,$L212='112'!$I$6)),"x",""))</f>
        <v/>
      </c>
      <c r="T212" s="39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39" t="str">
        <f>IF(OR(TH!L212=TH!$V$7,M212=TH!$V$7),"x","")</f>
        <v/>
      </c>
      <c r="W212" s="39" t="str">
        <f>IF(AND(B212&gt;='IN-NX'!$P$3,B212&lt;='IN-NX'!$Q$3,'IN-NX'!$D$7=D212,OR(LEFT(L212,2)="15",AND(LEFT(M212,2)&lt;&gt;"15",LEFT(M212,2)&lt;&gt;"33"))),"x","")</f>
        <v/>
      </c>
      <c r="X212" s="39" t="str">
        <f>IF(AND(OR(LEFT(TH!L212,2)="15",LEFT(TH!M212,2)="15"),'152-CT'!$J$8=TH!F212),"x","")</f>
        <v/>
      </c>
      <c r="Y212" s="39" t="str">
        <f>IF(AND(OR(LEFT(TH!L212,2)="15",LEFT(TH!M212,2)="15"),TK!$E$7=TH!F212),"x","")</f>
        <v/>
      </c>
      <c r="Z212" s="39" t="str">
        <f>IF(AND(B212&lt;=NKC!$N$8,B212&gt;=NKC!$M$8),"x","")</f>
        <v/>
      </c>
      <c r="AA212" s="894"/>
      <c r="AB212" s="598" t="e">
        <f t="shared" si="10"/>
        <v>#N/A</v>
      </c>
      <c r="AC212" s="598"/>
      <c r="AD212" s="598"/>
    </row>
    <row r="213" spans="1:30" ht="15.75" customHeight="1">
      <c r="A213" s="199" t="str">
        <f>IF(B213&lt;&gt;"",IF(AND(B213&gt;=_TM1,B213&lt;=_TM2,OR(TH!L213="1111",TH!M213="1111")),TH!D213,""),"")</f>
        <v/>
      </c>
      <c r="B213" s="36">
        <f t="shared" si="8"/>
        <v>1</v>
      </c>
      <c r="C213" s="190">
        <f t="shared" si="9"/>
        <v>0</v>
      </c>
      <c r="D213" s="190"/>
      <c r="E213" s="190"/>
      <c r="F213" s="191"/>
      <c r="G213" s="491"/>
      <c r="H213" s="192"/>
      <c r="I213" s="253"/>
      <c r="J213" s="253"/>
      <c r="K213" s="38"/>
      <c r="L213" s="193"/>
      <c r="M213" s="193"/>
      <c r="N213" s="39" t="str">
        <f>IF(AND('331-CT'!$E$7=TH!H213,OR(L213="331",M213="331")),"331",IF(AND(OR(L213="131",M213="131"),H213='131-CT'!$E$7),"131",""))</f>
        <v/>
      </c>
      <c r="O213" s="39" t="str">
        <f>IF(AND($B213&gt;='111'!$N$11,$B213&lt;='111'!$O$11,OR($L213=$O$7,$M213=$O$7)),"x","")</f>
        <v/>
      </c>
      <c r="P213" s="39" t="str">
        <f>IF(AND($L213=$O$7,$B213&lt;'111'!$N$11),"x","")</f>
        <v/>
      </c>
      <c r="Q213" s="39" t="str">
        <f>IF(AND($M213=$O$7,$B213&lt;'111'!$N$11),"x","")</f>
        <v/>
      </c>
      <c r="R213" s="39" t="str">
        <f>IF(ISERROR(FIND('112'!$M$9,G213,1)),"",IF((AND(FIND('112'!$M$9,G213,1)&gt;=1,$B213&gt;='112'!$N$8,$B213&lt;='112'!$O$8,OR($L213='112'!$I$6,$M213='112'!$I$6))),"x",""))</f>
        <v/>
      </c>
      <c r="S213" s="39" t="str">
        <f>IF(ISERROR(FIND('112'!$M$9,G213,1)),"",IF((AND(LEFT(G213,2)=LEFT('112'!$M$9,2),B213&lt;'112'!$N$8,$L213='112'!$I$6)),"x",""))</f>
        <v/>
      </c>
      <c r="T213" s="39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39" t="str">
        <f>IF(OR(TH!L213=TH!$V$7,M213=TH!$V$7),"x","")</f>
        <v/>
      </c>
      <c r="W213" s="39" t="str">
        <f>IF(AND(B213&gt;='IN-NX'!$P$3,B213&lt;='IN-NX'!$Q$3,'IN-NX'!$D$7=D213,OR(LEFT(L213,2)="15",AND(LEFT(M213,2)&lt;&gt;"15",LEFT(M213,2)&lt;&gt;"33"))),"x","")</f>
        <v/>
      </c>
      <c r="X213" s="39" t="str">
        <f>IF(AND(OR(LEFT(TH!L213,2)="15",LEFT(TH!M213,2)="15"),'152-CT'!$J$8=TH!F213),"x","")</f>
        <v/>
      </c>
      <c r="Y213" s="39" t="str">
        <f>IF(AND(OR(LEFT(TH!L213,2)="15",LEFT(TH!M213,2)="15"),TK!$E$7=TH!F213),"x","")</f>
        <v/>
      </c>
      <c r="Z213" s="39" t="str">
        <f>IF(AND(B213&lt;=NKC!$N$8,B213&gt;=NKC!$M$8),"x","")</f>
        <v/>
      </c>
      <c r="AA213" s="894"/>
      <c r="AB213" s="598" t="e">
        <f t="shared" si="10"/>
        <v>#N/A</v>
      </c>
      <c r="AC213" s="598"/>
      <c r="AD213" s="598"/>
    </row>
    <row r="214" spans="1:30" ht="15.75" customHeight="1">
      <c r="A214" s="199" t="str">
        <f>IF(B214&lt;&gt;"",IF(AND(B214&gt;=_TM1,B214&lt;=_TM2,OR(TH!L214="1111",TH!M214="1111")),TH!D214,""),"")</f>
        <v/>
      </c>
      <c r="B214" s="36">
        <f t="shared" si="8"/>
        <v>1</v>
      </c>
      <c r="C214" s="190">
        <f t="shared" si="9"/>
        <v>0</v>
      </c>
      <c r="D214" s="190"/>
      <c r="E214" s="190"/>
      <c r="F214" s="191"/>
      <c r="G214" s="491"/>
      <c r="H214" s="192"/>
      <c r="I214" s="253"/>
      <c r="J214" s="253"/>
      <c r="K214" s="38"/>
      <c r="L214" s="193"/>
      <c r="M214" s="193"/>
      <c r="N214" s="39" t="str">
        <f>IF(AND('331-CT'!$E$7=TH!H214,OR(L214="331",M214="331")),"331",IF(AND(OR(L214="131",M214="131"),H214='131-CT'!$E$7),"131",""))</f>
        <v/>
      </c>
      <c r="O214" s="39" t="str">
        <f>IF(AND($B214&gt;='111'!$N$11,$B214&lt;='111'!$O$11,OR($L214=$O$7,$M214=$O$7)),"x","")</f>
        <v/>
      </c>
      <c r="P214" s="39" t="str">
        <f>IF(AND($L214=$O$7,$B214&lt;'111'!$N$11),"x","")</f>
        <v/>
      </c>
      <c r="Q214" s="39" t="str">
        <f>IF(AND($M214=$O$7,$B214&lt;'111'!$N$11),"x","")</f>
        <v/>
      </c>
      <c r="R214" s="39" t="str">
        <f>IF(ISERROR(FIND('112'!$M$9,G214,1)),"",IF((AND(FIND('112'!$M$9,G214,1)&gt;=1,$B214&gt;='112'!$N$8,$B214&lt;='112'!$O$8,OR($L214='112'!$I$6,$M214='112'!$I$6))),"x",""))</f>
        <v/>
      </c>
      <c r="S214" s="39" t="str">
        <f>IF(ISERROR(FIND('112'!$M$9,G214,1)),"",IF((AND(LEFT(G214,2)=LEFT('112'!$M$9,2),B214&lt;'112'!$N$8,$L214='112'!$I$6)),"x",""))</f>
        <v/>
      </c>
      <c r="T214" s="39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39" t="str">
        <f>IF(OR(TH!L214=TH!$V$7,M214=TH!$V$7),"x","")</f>
        <v/>
      </c>
      <c r="W214" s="39" t="str">
        <f>IF(AND(B214&gt;='IN-NX'!$P$3,B214&lt;='IN-NX'!$Q$3,'IN-NX'!$D$7=D214,OR(LEFT(L214,2)="15",AND(LEFT(M214,2)&lt;&gt;"15",LEFT(M214,2)&lt;&gt;"33"))),"x","")</f>
        <v/>
      </c>
      <c r="X214" s="39" t="str">
        <f>IF(AND(OR(LEFT(TH!L214,2)="15",LEFT(TH!M214,2)="15"),'152-CT'!$J$8=TH!F214),"x","")</f>
        <v/>
      </c>
      <c r="Y214" s="39" t="str">
        <f>IF(AND(OR(LEFT(TH!L214,2)="15",LEFT(TH!M214,2)="15"),TK!$E$7=TH!F214),"x","")</f>
        <v/>
      </c>
      <c r="Z214" s="39" t="str">
        <f>IF(AND(B214&lt;=NKC!$N$8,B214&gt;=NKC!$M$8),"x","")</f>
        <v/>
      </c>
      <c r="AA214" s="894"/>
      <c r="AB214" s="598" t="e">
        <f t="shared" si="10"/>
        <v>#N/A</v>
      </c>
      <c r="AC214" s="598"/>
      <c r="AD214" s="598"/>
    </row>
    <row r="215" spans="1:30" ht="15.75" customHeight="1">
      <c r="A215" s="199" t="str">
        <f>IF(B215&lt;&gt;"",IF(AND(B215&gt;=_TM1,B215&lt;=_TM2,OR(TH!L215="1111",TH!M215="1111")),TH!D215,""),"")</f>
        <v/>
      </c>
      <c r="B215" s="36">
        <f t="shared" si="8"/>
        <v>1</v>
      </c>
      <c r="C215" s="190">
        <f t="shared" si="9"/>
        <v>0</v>
      </c>
      <c r="D215" s="190"/>
      <c r="E215" s="190"/>
      <c r="F215" s="191"/>
      <c r="G215" s="491"/>
      <c r="H215" s="192"/>
      <c r="I215" s="253"/>
      <c r="J215" s="253"/>
      <c r="K215" s="38"/>
      <c r="L215" s="193"/>
      <c r="M215" s="193"/>
      <c r="N215" s="39" t="str">
        <f>IF(AND('331-CT'!$E$7=TH!H215,OR(L215="331",M215="331")),"331",IF(AND(OR(L215="131",M215="131"),H215='131-CT'!$E$7),"131",""))</f>
        <v/>
      </c>
      <c r="O215" s="39" t="str">
        <f>IF(AND($B215&gt;='111'!$N$11,$B215&lt;='111'!$O$11,OR($L215=$O$7,$M215=$O$7)),"x","")</f>
        <v/>
      </c>
      <c r="P215" s="39" t="str">
        <f>IF(AND($L215=$O$7,$B215&lt;'111'!$N$11),"x","")</f>
        <v/>
      </c>
      <c r="Q215" s="39" t="str">
        <f>IF(AND($M215=$O$7,$B215&lt;'111'!$N$11),"x","")</f>
        <v/>
      </c>
      <c r="R215" s="39" t="str">
        <f>IF(ISERROR(FIND('112'!$M$9,G215,1)),"",IF((AND(FIND('112'!$M$9,G215,1)&gt;=1,$B215&gt;='112'!$N$8,$B215&lt;='112'!$O$8,OR($L215='112'!$I$6,$M215='112'!$I$6))),"x",""))</f>
        <v/>
      </c>
      <c r="S215" s="39" t="str">
        <f>IF(ISERROR(FIND('112'!$M$9,G215,1)),"",IF((AND(LEFT(G215,2)=LEFT('112'!$M$9,2),B215&lt;'112'!$N$8,$L215='112'!$I$6)),"x",""))</f>
        <v/>
      </c>
      <c r="T215" s="39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39" t="str">
        <f>IF(OR(TH!L215=TH!$V$7,M215=TH!$V$7),"x","")</f>
        <v/>
      </c>
      <c r="W215" s="39" t="str">
        <f>IF(AND(B215&gt;='IN-NX'!$P$3,B215&lt;='IN-NX'!$Q$3,'IN-NX'!$D$7=D215,OR(LEFT(L215,2)="15",AND(LEFT(M215,2)&lt;&gt;"15",LEFT(M215,2)&lt;&gt;"33"))),"x","")</f>
        <v/>
      </c>
      <c r="X215" s="39" t="str">
        <f>IF(AND(OR(LEFT(TH!L215,2)="15",LEFT(TH!M215,2)="15"),'152-CT'!$J$8=TH!F215),"x","")</f>
        <v/>
      </c>
      <c r="Y215" s="39" t="str">
        <f>IF(AND(OR(LEFT(TH!L215,2)="15",LEFT(TH!M215,2)="15"),TK!$E$7=TH!F215),"x","")</f>
        <v/>
      </c>
      <c r="Z215" s="39" t="str">
        <f>IF(AND(B215&lt;=NKC!$N$8,B215&gt;=NKC!$M$8),"x","")</f>
        <v/>
      </c>
      <c r="AA215" s="894"/>
      <c r="AB215" s="598" t="e">
        <f t="shared" si="10"/>
        <v>#N/A</v>
      </c>
      <c r="AD215" s="598"/>
    </row>
    <row r="216" spans="1:30" ht="15.75" customHeight="1">
      <c r="A216" s="199" t="str">
        <f>IF(B216&lt;&gt;"",IF(AND(B216&gt;=_TM1,B216&lt;=_TM2,OR(TH!L216="1111",TH!M216="1111")),TH!D216,""),"")</f>
        <v/>
      </c>
      <c r="B216" s="36">
        <f t="shared" si="8"/>
        <v>1</v>
      </c>
      <c r="C216" s="190">
        <f t="shared" si="9"/>
        <v>0</v>
      </c>
      <c r="D216" s="190"/>
      <c r="E216" s="190"/>
      <c r="F216" s="191"/>
      <c r="G216" s="191"/>
      <c r="H216" s="192"/>
      <c r="I216" s="254"/>
      <c r="J216" s="254"/>
      <c r="K216" s="38"/>
      <c r="L216" s="193"/>
      <c r="M216" s="193"/>
      <c r="N216" s="39" t="str">
        <f>IF(AND('331-CT'!$E$7=TH!H216,OR(L216="331",M216="331")),"331",IF(AND(OR(L216="131",M216="131"),H216='131-CT'!$E$7),"131",""))</f>
        <v/>
      </c>
      <c r="O216" s="39" t="str">
        <f>IF(AND($B216&gt;='111'!$N$11,$B216&lt;='111'!$O$11,OR($L216=$O$7,$M216=$O$7)),"x","")</f>
        <v/>
      </c>
      <c r="P216" s="39" t="str">
        <f>IF(AND($L216=$O$7,$B216&lt;'111'!$N$11),"x","")</f>
        <v/>
      </c>
      <c r="Q216" s="39" t="str">
        <f>IF(AND($M216=$O$7,$B216&lt;'111'!$N$11),"x","")</f>
        <v/>
      </c>
      <c r="R216" s="39" t="str">
        <f>IF(ISERROR(FIND('112'!$M$9,G216,1)),"",IF((AND(FIND('112'!$M$9,G216,1)&gt;=1,$B216&gt;='112'!$N$8,$B216&lt;='112'!$O$8,OR($L216='112'!$I$6,$M216='112'!$I$6))),"x",""))</f>
        <v/>
      </c>
      <c r="S216" s="39" t="str">
        <f>IF(ISERROR(FIND('112'!$M$9,G216,1)),"",IF((AND(LEFT(G216,2)=LEFT('112'!$M$9,2),B216&lt;'112'!$N$8,$L216='112'!$I$6)),"x",""))</f>
        <v/>
      </c>
      <c r="T216" s="39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39" t="str">
        <f>IF(OR(TH!L216=TH!$V$7,M216=TH!$V$7),"x","")</f>
        <v/>
      </c>
      <c r="W216" s="39" t="str">
        <f>IF(AND(B216&gt;='IN-NX'!$P$3,B216&lt;='IN-NX'!$Q$3,'IN-NX'!$D$7=D216,OR(LEFT(L216,2)="15",AND(LEFT(M216,2)&lt;&gt;"15",LEFT(M216,2)&lt;&gt;"33"))),"x","")</f>
        <v/>
      </c>
      <c r="X216" s="39" t="str">
        <f>IF(AND(OR(LEFT(TH!L216,2)="15",LEFT(TH!M216,2)="15"),'152-CT'!$J$8=TH!F216),"x","")</f>
        <v/>
      </c>
      <c r="Y216" s="39" t="str">
        <f>IF(AND(OR(LEFT(TH!L216,2)="15",LEFT(TH!M216,2)="15"),TK!$E$7=TH!F216),"x","")</f>
        <v/>
      </c>
      <c r="Z216" s="39" t="str">
        <f>IF(AND(B216&lt;=NKC!$N$8,B216&gt;=NKC!$M$8),"x","")</f>
        <v/>
      </c>
      <c r="AA216" s="894"/>
      <c r="AB216" s="598" t="e">
        <f t="shared" si="10"/>
        <v>#N/A</v>
      </c>
      <c r="AC216" s="598"/>
      <c r="AD216" s="598"/>
    </row>
    <row r="217" spans="1:30" ht="15.75" customHeight="1">
      <c r="A217" s="199" t="str">
        <f>IF(B217&lt;&gt;"",IF(AND(B217&gt;=_TM1,B217&lt;=_TM2,OR(TH!L217="1111",TH!M217="1111")),TH!D217,""),"")</f>
        <v/>
      </c>
      <c r="B217" s="36">
        <f t="shared" ref="B217:B280" si="11">IF(C217&lt;&gt;"",MONTH(C217),"")</f>
        <v>1</v>
      </c>
      <c r="C217" s="190">
        <f t="shared" si="9"/>
        <v>0</v>
      </c>
      <c r="D217" s="190"/>
      <c r="E217" s="190"/>
      <c r="F217" s="191"/>
      <c r="G217" s="491"/>
      <c r="H217" s="204"/>
      <c r="I217" s="254"/>
      <c r="J217" s="254"/>
      <c r="K217" s="38"/>
      <c r="L217" s="193"/>
      <c r="M217" s="193"/>
      <c r="N217" s="39" t="str">
        <f>IF(AND('331-CT'!$E$7=TH!H217,OR(L217="331",M217="331")),"331",IF(AND(OR(L217="131",M217="131"),H217='131-CT'!$E$7),"131",""))</f>
        <v/>
      </c>
      <c r="O217" s="39" t="str">
        <f>IF(AND($B217&gt;='111'!$N$11,$B217&lt;='111'!$O$11,OR($L217=$O$7,$M217=$O$7)),"x","")</f>
        <v/>
      </c>
      <c r="P217" s="39" t="str">
        <f>IF(AND($L217=$O$7,$B217&lt;'111'!$N$11),"x","")</f>
        <v/>
      </c>
      <c r="Q217" s="39" t="str">
        <f>IF(AND($M217=$O$7,$B217&lt;'111'!$N$11),"x","")</f>
        <v/>
      </c>
      <c r="R217" s="39" t="str">
        <f>IF(ISERROR(FIND('112'!$M$9,G217,1)),"",IF((AND(FIND('112'!$M$9,G217,1)&gt;=1,$B217&gt;='112'!$N$8,$B217&lt;='112'!$O$8,OR($L217='112'!$I$6,$M217='112'!$I$6))),"x",""))</f>
        <v/>
      </c>
      <c r="S217" s="39" t="str">
        <f>IF(ISERROR(FIND('112'!$M$9,G217,1)),"",IF((AND(LEFT(G217,2)=LEFT('112'!$M$9,2),B217&lt;'112'!$N$8,$L217='112'!$I$6)),"x",""))</f>
        <v/>
      </c>
      <c r="T217" s="39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39" t="str">
        <f>IF(OR(TH!L217=TH!$V$7,M217=TH!$V$7),"x","")</f>
        <v/>
      </c>
      <c r="W217" s="39" t="str">
        <f>IF(AND(B217&gt;='IN-NX'!$P$3,B217&lt;='IN-NX'!$Q$3,'IN-NX'!$D$7=D217,OR(LEFT(L217,2)="15",AND(LEFT(M217,2)&lt;&gt;"15",LEFT(M217,2)&lt;&gt;"33"))),"x","")</f>
        <v/>
      </c>
      <c r="X217" s="39" t="str">
        <f>IF(AND(OR(LEFT(TH!L217,2)="15",LEFT(TH!M217,2)="15"),'152-CT'!$J$8=TH!F217),"x","")</f>
        <v/>
      </c>
      <c r="Y217" s="39" t="str">
        <f>IF(AND(OR(LEFT(TH!L217,2)="15",LEFT(TH!M217,2)="15"),TK!$E$7=TH!F217),"x","")</f>
        <v/>
      </c>
      <c r="Z217" s="39" t="str">
        <f>IF(AND(B217&lt;=NKC!$N$8,B217&gt;=NKC!$M$8),"x","")</f>
        <v/>
      </c>
      <c r="AA217" s="894"/>
      <c r="AB217" s="598" t="e">
        <f t="shared" si="10"/>
        <v>#N/A</v>
      </c>
      <c r="AD217" s="598"/>
    </row>
    <row r="218" spans="1:30" ht="15.75" customHeight="1">
      <c r="A218" s="199" t="str">
        <f>IF(B218&lt;&gt;"",IF(AND(B218&gt;=_TM1,B218&lt;=_TM2,OR(TH!L218="1111",TH!M218="1111")),TH!D218,""),"")</f>
        <v/>
      </c>
      <c r="B218" s="36">
        <f t="shared" si="11"/>
        <v>1</v>
      </c>
      <c r="C218" s="190">
        <f t="shared" si="9"/>
        <v>0</v>
      </c>
      <c r="D218" s="190"/>
      <c r="E218" s="190"/>
      <c r="F218" s="191"/>
      <c r="G218" s="191"/>
      <c r="H218" s="890"/>
      <c r="I218" s="253"/>
      <c r="J218" s="253"/>
      <c r="K218" s="38"/>
      <c r="L218" s="193"/>
      <c r="M218" s="193"/>
      <c r="N218" s="39" t="str">
        <f>IF(AND('331-CT'!$E$7=TH!H218,OR(L218="331",M218="331")),"331",IF(AND(OR(L218="131",M218="131"),H218='131-CT'!$E$7),"131",""))</f>
        <v/>
      </c>
      <c r="O218" s="39" t="str">
        <f>IF(AND($B218&gt;='111'!$N$11,$B218&lt;='111'!$O$11,OR($L218=$O$7,$M218=$O$7)),"x","")</f>
        <v/>
      </c>
      <c r="P218" s="39" t="str">
        <f>IF(AND($L218=$O$7,$B218&lt;'111'!$N$11),"x","")</f>
        <v/>
      </c>
      <c r="Q218" s="39" t="str">
        <f>IF(AND($M218=$O$7,$B218&lt;'111'!$N$11),"x","")</f>
        <v/>
      </c>
      <c r="R218" s="39" t="str">
        <f>IF(ISERROR(FIND('112'!$M$9,G218,1)),"",IF((AND(FIND('112'!$M$9,G218,1)&gt;=1,$B218&gt;='112'!$N$8,$B218&lt;='112'!$O$8,OR($L218='112'!$I$6,$M218='112'!$I$6))),"x",""))</f>
        <v/>
      </c>
      <c r="S218" s="39" t="str">
        <f>IF(ISERROR(FIND('112'!$M$9,G218,1)),"",IF((AND(LEFT(G218,2)=LEFT('112'!$M$9,2),B218&lt;'112'!$N$8,$L218='112'!$I$6)),"x",""))</f>
        <v/>
      </c>
      <c r="T218" s="39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39" t="str">
        <f>IF(OR(TH!L218=TH!$V$7,M218=TH!$V$7),"x","")</f>
        <v/>
      </c>
      <c r="W218" s="39" t="str">
        <f>IF(AND(B218&gt;='IN-NX'!$P$3,B218&lt;='IN-NX'!$Q$3,'IN-NX'!$D$7=D218,OR(LEFT(L218,2)="15",AND(LEFT(M218,2)&lt;&gt;"15",LEFT(M218,2)&lt;&gt;"33"))),"x","")</f>
        <v/>
      </c>
      <c r="X218" s="39" t="str">
        <f>IF(AND(OR(LEFT(TH!L218,2)="15",LEFT(TH!M218,2)="15"),'152-CT'!$J$8=TH!F218),"x","")</f>
        <v/>
      </c>
      <c r="Y218" s="39" t="str">
        <f>IF(AND(OR(LEFT(TH!L218,2)="15",LEFT(TH!M218,2)="15"),TK!$E$7=TH!F218),"x","")</f>
        <v/>
      </c>
      <c r="Z218" s="39" t="str">
        <f>IF(AND(B218&lt;=NKC!$N$8,B218&gt;=NKC!$M$8),"x","")</f>
        <v/>
      </c>
      <c r="AA218" s="894"/>
      <c r="AB218" s="598" t="e">
        <f t="shared" si="10"/>
        <v>#N/A</v>
      </c>
      <c r="AC218" s="598"/>
      <c r="AD218" s="598"/>
    </row>
    <row r="219" spans="1:30" ht="15.75" customHeight="1">
      <c r="A219" s="199" t="str">
        <f>IF(B219&lt;&gt;"",IF(AND(B219&gt;=_TM1,B219&lt;=_TM2,OR(TH!L219="1111",TH!M219="1111")),TH!D219,""),"")</f>
        <v/>
      </c>
      <c r="B219" s="36">
        <f t="shared" si="11"/>
        <v>1</v>
      </c>
      <c r="C219" s="190">
        <f t="shared" ref="C219:C308" si="12">E219</f>
        <v>0</v>
      </c>
      <c r="D219" s="190"/>
      <c r="E219" s="190"/>
      <c r="F219" s="191"/>
      <c r="G219" s="491"/>
      <c r="H219" s="192"/>
      <c r="I219" s="253"/>
      <c r="J219" s="253"/>
      <c r="K219" s="38"/>
      <c r="L219" s="193"/>
      <c r="M219" s="193"/>
      <c r="N219" s="39" t="str">
        <f>IF(AND('331-CT'!$E$7=TH!H219,OR(L219="331",M219="331")),"331",IF(AND(OR(L219="131",M219="131"),H219='131-CT'!$E$7),"131",""))</f>
        <v/>
      </c>
      <c r="O219" s="39" t="str">
        <f>IF(AND($B219&gt;='111'!$N$11,$B219&lt;='111'!$O$11,OR($L219=$O$7,$M219=$O$7)),"x","")</f>
        <v/>
      </c>
      <c r="P219" s="39" t="str">
        <f>IF(AND($L219=$O$7,$B219&lt;'111'!$N$11),"x","")</f>
        <v/>
      </c>
      <c r="Q219" s="39" t="str">
        <f>IF(AND($M219=$O$7,$B219&lt;'111'!$N$11),"x","")</f>
        <v/>
      </c>
      <c r="R219" s="39" t="str">
        <f>IF(ISERROR(FIND('112'!$M$9,G219,1)),"",IF((AND(FIND('112'!$M$9,G219,1)&gt;=1,$B219&gt;='112'!$N$8,$B219&lt;='112'!$O$8,OR($L219='112'!$I$6,$M219='112'!$I$6))),"x",""))</f>
        <v/>
      </c>
      <c r="S219" s="39" t="str">
        <f>IF(ISERROR(FIND('112'!$M$9,G219,1)),"",IF((AND(LEFT(G219,2)=LEFT('112'!$M$9,2),B219&lt;'112'!$N$8,$L219='112'!$I$6)),"x",""))</f>
        <v/>
      </c>
      <c r="T219" s="39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39" t="str">
        <f>IF(OR(TH!L219=TH!$V$7,M219=TH!$V$7),"x","")</f>
        <v/>
      </c>
      <c r="W219" s="39" t="str">
        <f>IF(AND(B219&gt;='IN-NX'!$P$3,B219&lt;='IN-NX'!$Q$3,'IN-NX'!$D$7=D219,OR(LEFT(L219,2)="15",AND(LEFT(M219,2)&lt;&gt;"15",LEFT(M219,2)&lt;&gt;"33"))),"x","")</f>
        <v/>
      </c>
      <c r="X219" s="39" t="str">
        <f>IF(AND(OR(LEFT(TH!L219,2)="15",LEFT(TH!M219,2)="15"),'152-CT'!$J$8=TH!F219),"x","")</f>
        <v/>
      </c>
      <c r="Y219" s="39" t="str">
        <f>IF(AND(OR(LEFT(TH!L219,2)="15",LEFT(TH!M219,2)="15"),TK!$E$7=TH!F219),"x","")</f>
        <v/>
      </c>
      <c r="Z219" s="39" t="str">
        <f>IF(AND(B219&lt;=NKC!$N$8,B219&gt;=NKC!$M$8),"x","")</f>
        <v/>
      </c>
      <c r="AA219" s="894"/>
      <c r="AB219" s="598" t="e">
        <f t="shared" si="10"/>
        <v>#N/A</v>
      </c>
    </row>
    <row r="220" spans="1:30" ht="15.75" customHeight="1">
      <c r="A220" s="199" t="str">
        <f>IF(B220&lt;&gt;"",IF(AND(B220&gt;=_TM1,B220&lt;=_TM2,OR(TH!L220="1111",TH!M220="1111")),TH!D220,""),"")</f>
        <v/>
      </c>
      <c r="B220" s="36">
        <f t="shared" si="11"/>
        <v>1</v>
      </c>
      <c r="C220" s="190">
        <f t="shared" si="12"/>
        <v>0</v>
      </c>
      <c r="D220" s="190"/>
      <c r="E220" s="190"/>
      <c r="F220" s="191"/>
      <c r="G220" s="191"/>
      <c r="H220" s="890"/>
      <c r="I220" s="253"/>
      <c r="J220" s="253"/>
      <c r="K220" s="38"/>
      <c r="L220" s="193"/>
      <c r="M220" s="193"/>
      <c r="N220" s="39" t="str">
        <f>IF(AND('331-CT'!$E$7=TH!H220,OR(L220="331",M220="331")),"331",IF(AND(OR(L220="131",M220="131"),H220='131-CT'!$E$7),"131",""))</f>
        <v/>
      </c>
      <c r="O220" s="39" t="str">
        <f>IF(AND($B220&gt;='111'!$N$11,$B220&lt;='111'!$O$11,OR($L220=$O$7,$M220=$O$7)),"x","")</f>
        <v/>
      </c>
      <c r="P220" s="39" t="str">
        <f>IF(AND($L220=$O$7,$B220&lt;'111'!$N$11),"x","")</f>
        <v/>
      </c>
      <c r="Q220" s="39" t="str">
        <f>IF(AND($M220=$O$7,$B220&lt;'111'!$N$11),"x","")</f>
        <v/>
      </c>
      <c r="R220" s="39" t="str">
        <f>IF(ISERROR(FIND('112'!$M$9,G220,1)),"",IF((AND(FIND('112'!$M$9,G220,1)&gt;=1,$B220&gt;='112'!$N$8,$B220&lt;='112'!$O$8,OR($L220='112'!$I$6,$M220='112'!$I$6))),"x",""))</f>
        <v/>
      </c>
      <c r="S220" s="39" t="str">
        <f>IF(ISERROR(FIND('112'!$M$9,G220,1)),"",IF((AND(LEFT(G220,2)=LEFT('112'!$M$9,2),B220&lt;'112'!$N$8,$L220='112'!$I$6)),"x",""))</f>
        <v/>
      </c>
      <c r="T220" s="39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39" t="str">
        <f>IF(OR(TH!L220=TH!$V$7,M220=TH!$V$7),"x","")</f>
        <v/>
      </c>
      <c r="W220" s="39" t="str">
        <f>IF(AND(B220&gt;='IN-NX'!$P$3,B220&lt;='IN-NX'!$Q$3,'IN-NX'!$D$7=D220,OR(LEFT(L220,2)="15",AND(LEFT(M220,2)&lt;&gt;"15",LEFT(M220,2)&lt;&gt;"33"))),"x","")</f>
        <v/>
      </c>
      <c r="X220" s="39" t="str">
        <f>IF(AND(OR(LEFT(TH!L220,2)="15",LEFT(TH!M220,2)="15"),'152-CT'!$J$8=TH!F220),"x","")</f>
        <v/>
      </c>
      <c r="Y220" s="39" t="str">
        <f>IF(AND(OR(LEFT(TH!L220,2)="15",LEFT(TH!M220,2)="15"),TK!$E$7=TH!F220),"x","")</f>
        <v/>
      </c>
      <c r="Z220" s="39" t="str">
        <f>IF(AND(B220&lt;=NKC!$N$8,B220&gt;=NKC!$M$8),"x","")</f>
        <v/>
      </c>
      <c r="AA220" s="894"/>
      <c r="AB220" s="598" t="e">
        <f t="shared" si="10"/>
        <v>#N/A</v>
      </c>
    </row>
    <row r="221" spans="1:30" ht="15.75" customHeight="1">
      <c r="A221" s="199" t="str">
        <f>IF(B221&lt;&gt;"",IF(AND(B221&gt;=_TM1,B221&lt;=_TM2,OR(TH!L221="1111",TH!M221="1111")),TH!D221,""),"")</f>
        <v/>
      </c>
      <c r="B221" s="36">
        <f t="shared" si="11"/>
        <v>1</v>
      </c>
      <c r="C221" s="190">
        <f t="shared" si="12"/>
        <v>0</v>
      </c>
      <c r="D221" s="190"/>
      <c r="E221" s="190"/>
      <c r="F221" s="191"/>
      <c r="G221" s="491"/>
      <c r="H221" s="192"/>
      <c r="I221" s="253"/>
      <c r="J221" s="253"/>
      <c r="K221" s="38"/>
      <c r="L221" s="193"/>
      <c r="M221" s="193"/>
      <c r="N221" s="39" t="str">
        <f>IF(AND('331-CT'!$E$7=TH!H221,OR(L221="331",M221="331")),"331",IF(AND(OR(L221="131",M221="131"),H221='131-CT'!$E$7),"131",""))</f>
        <v/>
      </c>
      <c r="O221" s="39" t="str">
        <f>IF(AND($B221&gt;='111'!$N$11,$B221&lt;='111'!$O$11,OR($L221=$O$7,$M221=$O$7)),"x","")</f>
        <v/>
      </c>
      <c r="P221" s="39" t="str">
        <f>IF(AND($L221=$O$7,$B221&lt;'111'!$N$11),"x","")</f>
        <v/>
      </c>
      <c r="Q221" s="39" t="str">
        <f>IF(AND($M221=$O$7,$B221&lt;'111'!$N$11),"x","")</f>
        <v/>
      </c>
      <c r="R221" s="39" t="str">
        <f>IF(ISERROR(FIND('112'!$M$9,G221,1)),"",IF((AND(FIND('112'!$M$9,G221,1)&gt;=1,$B221&gt;='112'!$N$8,$B221&lt;='112'!$O$8,OR($L221='112'!$I$6,$M221='112'!$I$6))),"x",""))</f>
        <v/>
      </c>
      <c r="S221" s="39" t="str">
        <f>IF(ISERROR(FIND('112'!$M$9,G221,1)),"",IF((AND(LEFT(G221,2)=LEFT('112'!$M$9,2),B221&lt;'112'!$N$8,$L221='112'!$I$6)),"x",""))</f>
        <v/>
      </c>
      <c r="T221" s="39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39" t="str">
        <f>IF(OR(TH!L221=TH!$V$7,M221=TH!$V$7),"x","")</f>
        <v/>
      </c>
      <c r="W221" s="39" t="str">
        <f>IF(AND(B221&gt;='IN-NX'!$P$3,B221&lt;='IN-NX'!$Q$3,'IN-NX'!$D$7=D221,OR(LEFT(L221,2)="15",AND(LEFT(M221,2)&lt;&gt;"15",LEFT(M221,2)&lt;&gt;"33"))),"x","")</f>
        <v/>
      </c>
      <c r="X221" s="39" t="str">
        <f>IF(AND(OR(LEFT(TH!L221,2)="15",LEFT(TH!M221,2)="15"),'152-CT'!$J$8=TH!F221),"x","")</f>
        <v/>
      </c>
      <c r="Y221" s="39" t="str">
        <f>IF(AND(OR(LEFT(TH!L221,2)="15",LEFT(TH!M221,2)="15"),TK!$E$7=TH!F221),"x","")</f>
        <v/>
      </c>
      <c r="Z221" s="39" t="str">
        <f>IF(AND(B221&lt;=NKC!$N$8,B221&gt;=NKC!$M$8),"x","")</f>
        <v/>
      </c>
      <c r="AA221" s="894"/>
      <c r="AB221" s="598" t="e">
        <f t="shared" si="10"/>
        <v>#N/A</v>
      </c>
    </row>
    <row r="222" spans="1:30" ht="15.75" customHeight="1">
      <c r="A222" s="199" t="str">
        <f>IF(B222&lt;&gt;"",IF(AND(B222&gt;=_TM1,B222&lt;=_TM2,OR(TH!L222="1111",TH!M222="1111")),TH!D222,""),"")</f>
        <v/>
      </c>
      <c r="B222" s="36">
        <f t="shared" si="11"/>
        <v>1</v>
      </c>
      <c r="C222" s="190">
        <f t="shared" si="12"/>
        <v>0</v>
      </c>
      <c r="D222" s="190"/>
      <c r="E222" s="190"/>
      <c r="F222" s="191"/>
      <c r="G222" s="491"/>
      <c r="H222" s="192"/>
      <c r="I222" s="253"/>
      <c r="J222" s="253"/>
      <c r="K222" s="38"/>
      <c r="L222" s="193"/>
      <c r="M222" s="193"/>
      <c r="N222" s="39" t="str">
        <f>IF(AND('331-CT'!$E$7=TH!H222,OR(L222="331",M222="331")),"331",IF(AND(OR(L222="131",M222="131"),H222='131-CT'!$E$7),"131",""))</f>
        <v/>
      </c>
      <c r="O222" s="39" t="str">
        <f>IF(AND($B222&gt;='111'!$N$11,$B222&lt;='111'!$O$11,OR($L222=$O$7,$M222=$O$7)),"x","")</f>
        <v/>
      </c>
      <c r="P222" s="39" t="str">
        <f>IF(AND($L222=$O$7,$B222&lt;'111'!$N$11),"x","")</f>
        <v/>
      </c>
      <c r="Q222" s="39" t="str">
        <f>IF(AND($M222=$O$7,$B222&lt;'111'!$N$11),"x","")</f>
        <v/>
      </c>
      <c r="R222" s="39" t="str">
        <f>IF(ISERROR(FIND('112'!$M$9,G222,1)),"",IF((AND(FIND('112'!$M$9,G222,1)&gt;=1,$B222&gt;='112'!$N$8,$B222&lt;='112'!$O$8,OR($L222='112'!$I$6,$M222='112'!$I$6))),"x",""))</f>
        <v/>
      </c>
      <c r="S222" s="39" t="str">
        <f>IF(ISERROR(FIND('112'!$M$9,G222,1)),"",IF((AND(LEFT(G222,2)=LEFT('112'!$M$9,2),B222&lt;'112'!$N$8,$L222='112'!$I$6)),"x",""))</f>
        <v/>
      </c>
      <c r="T222" s="39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39" t="str">
        <f>IF(OR(TH!L222=TH!$V$7,M222=TH!$V$7),"x","")</f>
        <v/>
      </c>
      <c r="W222" s="39" t="str">
        <f>IF(AND(B222&gt;='IN-NX'!$P$3,B222&lt;='IN-NX'!$Q$3,'IN-NX'!$D$7=D222,OR(LEFT(L222,2)="15",AND(LEFT(M222,2)&lt;&gt;"15",LEFT(M222,2)&lt;&gt;"33"))),"x","")</f>
        <v/>
      </c>
      <c r="X222" s="39" t="str">
        <f>IF(AND(OR(LEFT(TH!L222,2)="15",LEFT(TH!M222,2)="15"),'152-CT'!$J$8=TH!F222),"x","")</f>
        <v/>
      </c>
      <c r="Y222" s="39" t="str">
        <f>IF(AND(OR(LEFT(TH!L222,2)="15",LEFT(TH!M222,2)="15"),TK!$E$7=TH!F222),"x","")</f>
        <v/>
      </c>
      <c r="Z222" s="39" t="str">
        <f>IF(AND(B222&lt;=NKC!$N$8,B222&gt;=NKC!$M$8),"x","")</f>
        <v/>
      </c>
      <c r="AA222" s="894"/>
      <c r="AB222" s="598" t="e">
        <f t="shared" si="10"/>
        <v>#N/A</v>
      </c>
    </row>
    <row r="223" spans="1:30" ht="15.75" customHeight="1">
      <c r="A223" s="199" t="str">
        <f>IF(B223&lt;&gt;"",IF(AND(B223&gt;=_TM1,B223&lt;=_TM2,OR(TH!L223="1111",TH!M223="1111")),TH!D223,""),"")</f>
        <v/>
      </c>
      <c r="B223" s="36">
        <f t="shared" si="11"/>
        <v>1</v>
      </c>
      <c r="C223" s="190">
        <f t="shared" si="12"/>
        <v>0</v>
      </c>
      <c r="D223" s="190"/>
      <c r="E223" s="190"/>
      <c r="F223" s="191"/>
      <c r="G223" s="491"/>
      <c r="H223" s="192"/>
      <c r="I223" s="253"/>
      <c r="J223" s="253"/>
      <c r="K223" s="38"/>
      <c r="L223" s="193"/>
      <c r="M223" s="193"/>
      <c r="N223" s="39" t="str">
        <f>IF(AND('331-CT'!$E$7=TH!H223,OR(L223="331",M223="331")),"331",IF(AND(OR(L223="131",M223="131"),H223='131-CT'!$E$7),"131",""))</f>
        <v/>
      </c>
      <c r="O223" s="39" t="str">
        <f>IF(AND($B223&gt;='111'!$N$11,$B223&lt;='111'!$O$11,OR($L223=$O$7,$M223=$O$7)),"x","")</f>
        <v/>
      </c>
      <c r="P223" s="39" t="str">
        <f>IF(AND($L223=$O$7,$B223&lt;'111'!$N$11),"x","")</f>
        <v/>
      </c>
      <c r="Q223" s="39" t="str">
        <f>IF(AND($M223=$O$7,$B223&lt;'111'!$N$11),"x","")</f>
        <v/>
      </c>
      <c r="R223" s="39" t="str">
        <f>IF(ISERROR(FIND('112'!$M$9,G223,1)),"",IF((AND(FIND('112'!$M$9,G223,1)&gt;=1,$B223&gt;='112'!$N$8,$B223&lt;='112'!$O$8,OR($L223='112'!$I$6,$M223='112'!$I$6))),"x",""))</f>
        <v/>
      </c>
      <c r="S223" s="39" t="str">
        <f>IF(ISERROR(FIND('112'!$M$9,G223,1)),"",IF((AND(LEFT(G223,2)=LEFT('112'!$M$9,2),B223&lt;'112'!$N$8,$L223='112'!$I$6)),"x",""))</f>
        <v/>
      </c>
      <c r="T223" s="39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39" t="str">
        <f>IF(OR(TH!L223=TH!$V$7,M223=TH!$V$7),"x","")</f>
        <v/>
      </c>
      <c r="W223" s="39" t="str">
        <f>IF(AND(B223&gt;='IN-NX'!$P$3,B223&lt;='IN-NX'!$Q$3,'IN-NX'!$D$7=D223,OR(LEFT(L223,2)="15",AND(LEFT(M223,2)&lt;&gt;"15",LEFT(M223,2)&lt;&gt;"33"))),"x","")</f>
        <v/>
      </c>
      <c r="X223" s="39" t="str">
        <f>IF(AND(OR(LEFT(TH!L223,2)="15",LEFT(TH!M223,2)="15"),'152-CT'!$J$8=TH!F223),"x","")</f>
        <v/>
      </c>
      <c r="Y223" s="39" t="str">
        <f>IF(AND(OR(LEFT(TH!L223,2)="15",LEFT(TH!M223,2)="15"),TK!$E$7=TH!F223),"x","")</f>
        <v/>
      </c>
      <c r="Z223" s="39" t="str">
        <f>IF(AND(B223&lt;=NKC!$N$8,B223&gt;=NKC!$M$8),"x","")</f>
        <v/>
      </c>
      <c r="AA223" s="894"/>
      <c r="AB223" s="598" t="e">
        <f t="shared" si="10"/>
        <v>#N/A</v>
      </c>
    </row>
    <row r="224" spans="1:30" ht="15.75" customHeight="1">
      <c r="A224" s="199" t="str">
        <f>IF(B224&lt;&gt;"",IF(AND(B224&gt;=_TM1,B224&lt;=_TM2,OR(TH!L224="1111",TH!M224="1111")),TH!D224,""),"")</f>
        <v/>
      </c>
      <c r="B224" s="36">
        <f t="shared" si="11"/>
        <v>1</v>
      </c>
      <c r="C224" s="190">
        <f t="shared" si="12"/>
        <v>0</v>
      </c>
      <c r="D224" s="190"/>
      <c r="E224" s="190"/>
      <c r="F224" s="191"/>
      <c r="G224" s="491"/>
      <c r="H224" s="192"/>
      <c r="I224" s="253"/>
      <c r="J224" s="253"/>
      <c r="K224" s="38"/>
      <c r="L224" s="193"/>
      <c r="M224" s="193"/>
      <c r="N224" s="39" t="str">
        <f>IF(AND('331-CT'!$E$7=TH!H224,OR(L224="331",M224="331")),"331",IF(AND(OR(L224="131",M224="131"),H224='131-CT'!$E$7),"131",""))</f>
        <v/>
      </c>
      <c r="O224" s="39" t="str">
        <f>IF(AND($B224&gt;='111'!$N$11,$B224&lt;='111'!$O$11,OR($L224=$O$7,$M224=$O$7)),"x","")</f>
        <v/>
      </c>
      <c r="P224" s="39" t="str">
        <f>IF(AND($L224=$O$7,$B224&lt;'111'!$N$11),"x","")</f>
        <v/>
      </c>
      <c r="Q224" s="39" t="str">
        <f>IF(AND($M224=$O$7,$B224&lt;'111'!$N$11),"x","")</f>
        <v/>
      </c>
      <c r="R224" s="39" t="str">
        <f>IF(ISERROR(FIND('112'!$M$9,G224,1)),"",IF((AND(FIND('112'!$M$9,G224,1)&gt;=1,$B224&gt;='112'!$N$8,$B224&lt;='112'!$O$8,OR($L224='112'!$I$6,$M224='112'!$I$6))),"x",""))</f>
        <v/>
      </c>
      <c r="S224" s="39" t="str">
        <f>IF(ISERROR(FIND('112'!$M$9,G224,1)),"",IF((AND(LEFT(G224,2)=LEFT('112'!$M$9,2),B224&lt;'112'!$N$8,$L224='112'!$I$6)),"x",""))</f>
        <v/>
      </c>
      <c r="T224" s="39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39" t="str">
        <f>IF(OR(TH!L224=TH!$V$7,M224=TH!$V$7),"x","")</f>
        <v/>
      </c>
      <c r="W224" s="39" t="str">
        <f>IF(AND(B224&gt;='IN-NX'!$P$3,B224&lt;='IN-NX'!$Q$3,'IN-NX'!$D$7=D224,OR(LEFT(L224,2)="15",AND(LEFT(M224,2)&lt;&gt;"15",LEFT(M224,2)&lt;&gt;"33"))),"x","")</f>
        <v/>
      </c>
      <c r="X224" s="39" t="str">
        <f>IF(AND(OR(LEFT(TH!L224,2)="15",LEFT(TH!M224,2)="15"),'152-CT'!$J$8=TH!F224),"x","")</f>
        <v/>
      </c>
      <c r="Y224" s="39" t="str">
        <f>IF(AND(OR(LEFT(TH!L224,2)="15",LEFT(TH!M224,2)="15"),TK!$E$7=TH!F224),"x","")</f>
        <v/>
      </c>
      <c r="Z224" s="39" t="str">
        <f>IF(AND(B224&lt;=NKC!$N$8,B224&gt;=NKC!$M$8),"x","")</f>
        <v/>
      </c>
      <c r="AA224" s="894"/>
      <c r="AB224" s="598" t="e">
        <f t="shared" si="10"/>
        <v>#N/A</v>
      </c>
    </row>
    <row r="225" spans="1:30" ht="15.75" customHeight="1">
      <c r="A225" s="199" t="str">
        <f>IF(B225&lt;&gt;"",IF(AND(B225&gt;=_TM1,B225&lt;=_TM2,OR(TH!L225="1111",TH!M225="1111")),TH!D225,""),"")</f>
        <v/>
      </c>
      <c r="B225" s="36">
        <f t="shared" si="11"/>
        <v>1</v>
      </c>
      <c r="C225" s="190">
        <f t="shared" si="12"/>
        <v>0</v>
      </c>
      <c r="D225" s="190"/>
      <c r="E225" s="190"/>
      <c r="F225" s="191"/>
      <c r="G225" s="491"/>
      <c r="H225" s="192"/>
      <c r="I225" s="253"/>
      <c r="J225" s="253"/>
      <c r="K225" s="38"/>
      <c r="L225" s="193"/>
      <c r="M225" s="193"/>
      <c r="N225" s="39" t="str">
        <f>IF(AND('331-CT'!$E$7=TH!H225,OR(L225="331",M225="331")),"331",IF(AND(OR(L225="131",M225="131"),H225='131-CT'!$E$7),"131",""))</f>
        <v/>
      </c>
      <c r="O225" s="39" t="str">
        <f>IF(AND($B225&gt;='111'!$N$11,$B225&lt;='111'!$O$11,OR($L225=$O$7,$M225=$O$7)),"x","")</f>
        <v/>
      </c>
      <c r="P225" s="39" t="str">
        <f>IF(AND($L225=$O$7,$B225&lt;'111'!$N$11),"x","")</f>
        <v/>
      </c>
      <c r="Q225" s="39" t="str">
        <f>IF(AND($M225=$O$7,$B225&lt;'111'!$N$11),"x","")</f>
        <v/>
      </c>
      <c r="R225" s="39" t="str">
        <f>IF(ISERROR(FIND('112'!$M$9,G225,1)),"",IF((AND(FIND('112'!$M$9,G225,1)&gt;=1,$B225&gt;='112'!$N$8,$B225&lt;='112'!$O$8,OR($L225='112'!$I$6,$M225='112'!$I$6))),"x",""))</f>
        <v/>
      </c>
      <c r="S225" s="39" t="str">
        <f>IF(ISERROR(FIND('112'!$M$9,G225,1)),"",IF((AND(LEFT(G225,2)=LEFT('112'!$M$9,2),B225&lt;'112'!$N$8,$L225='112'!$I$6)),"x",""))</f>
        <v/>
      </c>
      <c r="T225" s="39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39" t="str">
        <f>IF(OR(TH!L225=TH!$V$7,M225=TH!$V$7),"x","")</f>
        <v/>
      </c>
      <c r="W225" s="39" t="str">
        <f>IF(AND(B225&gt;='IN-NX'!$P$3,B225&lt;='IN-NX'!$Q$3,'IN-NX'!$D$7=D225,OR(LEFT(L225,2)="15",AND(LEFT(M225,2)&lt;&gt;"15",LEFT(M225,2)&lt;&gt;"33"))),"x","")</f>
        <v/>
      </c>
      <c r="X225" s="39" t="str">
        <f>IF(AND(OR(LEFT(TH!L225,2)="15",LEFT(TH!M225,2)="15"),'152-CT'!$J$8=TH!F225),"x","")</f>
        <v/>
      </c>
      <c r="Y225" s="39" t="str">
        <f>IF(AND(OR(LEFT(TH!L225,2)="15",LEFT(TH!M225,2)="15"),TK!$E$7=TH!F225),"x","")</f>
        <v/>
      </c>
      <c r="Z225" s="39" t="str">
        <f>IF(AND(B225&lt;=NKC!$N$8,B225&gt;=NKC!$M$8),"x","")</f>
        <v/>
      </c>
      <c r="AA225" s="894"/>
      <c r="AB225" s="598" t="e">
        <f t="shared" si="10"/>
        <v>#N/A</v>
      </c>
    </row>
    <row r="226" spans="1:30" ht="15.75" customHeight="1">
      <c r="A226" s="199" t="str">
        <f>IF(B226&lt;&gt;"",IF(AND(B226&gt;=_TM1,B226&lt;=_TM2,OR(TH!L226="1111",TH!M226="1111")),TH!D226,""),"")</f>
        <v/>
      </c>
      <c r="B226" s="36">
        <f t="shared" si="11"/>
        <v>1</v>
      </c>
      <c r="C226" s="190">
        <f t="shared" si="12"/>
        <v>0</v>
      </c>
      <c r="D226" s="190"/>
      <c r="E226" s="190"/>
      <c r="F226" s="191"/>
      <c r="G226" s="491"/>
      <c r="H226" s="192"/>
      <c r="I226" s="253"/>
      <c r="J226" s="253"/>
      <c r="K226" s="38"/>
      <c r="L226" s="193"/>
      <c r="M226" s="193"/>
      <c r="N226" s="39" t="str">
        <f>IF(AND('331-CT'!$E$7=TH!H226,OR(L226="331",M226="331")),"331",IF(AND(OR(L226="131",M226="131"),H226='131-CT'!$E$7),"131",""))</f>
        <v/>
      </c>
      <c r="O226" s="39" t="str">
        <f>IF(AND($B226&gt;='111'!$N$11,$B226&lt;='111'!$O$11,OR($L226=$O$7,$M226=$O$7)),"x","")</f>
        <v/>
      </c>
      <c r="P226" s="39" t="str">
        <f>IF(AND($L226=$O$7,$B226&lt;'111'!$N$11),"x","")</f>
        <v/>
      </c>
      <c r="Q226" s="39" t="str">
        <f>IF(AND($M226=$O$7,$B226&lt;'111'!$N$11),"x","")</f>
        <v/>
      </c>
      <c r="R226" s="39" t="str">
        <f>IF(ISERROR(FIND('112'!$M$9,G226,1)),"",IF((AND(FIND('112'!$M$9,G226,1)&gt;=1,$B226&gt;='112'!$N$8,$B226&lt;='112'!$O$8,OR($L226='112'!$I$6,$M226='112'!$I$6))),"x",""))</f>
        <v/>
      </c>
      <c r="S226" s="39" t="str">
        <f>IF(ISERROR(FIND('112'!$M$9,G226,1)),"",IF((AND(LEFT(G226,2)=LEFT('112'!$M$9,2),B226&lt;'112'!$N$8,$L226='112'!$I$6)),"x",""))</f>
        <v/>
      </c>
      <c r="T226" s="39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39" t="str">
        <f>IF(OR(TH!L226=TH!$V$7,M226=TH!$V$7),"x","")</f>
        <v/>
      </c>
      <c r="W226" s="39" t="str">
        <f>IF(AND(B226&gt;='IN-NX'!$P$3,B226&lt;='IN-NX'!$Q$3,'IN-NX'!$D$7=D226,OR(LEFT(L226,2)="15",AND(LEFT(M226,2)&lt;&gt;"15",LEFT(M226,2)&lt;&gt;"33"))),"x","")</f>
        <v/>
      </c>
      <c r="X226" s="39" t="str">
        <f>IF(AND(OR(LEFT(TH!L226,2)="15",LEFT(TH!M226,2)="15"),'152-CT'!$J$8=TH!F226),"x","")</f>
        <v/>
      </c>
      <c r="Y226" s="39" t="str">
        <f>IF(AND(OR(LEFT(TH!L226,2)="15",LEFT(TH!M226,2)="15"),TK!$E$7=TH!F226),"x","")</f>
        <v/>
      </c>
      <c r="Z226" s="39" t="str">
        <f>IF(AND(B226&lt;=NKC!$N$8,B226&gt;=NKC!$M$8),"x","")</f>
        <v/>
      </c>
      <c r="AA226" s="894"/>
      <c r="AB226" s="598" t="e">
        <f t="shared" si="10"/>
        <v>#N/A</v>
      </c>
    </row>
    <row r="227" spans="1:30" ht="15.75" customHeight="1">
      <c r="A227" s="199" t="str">
        <f>IF(B227&lt;&gt;"",IF(AND(B227&gt;=_TM1,B227&lt;=_TM2,OR(TH!L227="1111",TH!M227="1111")),TH!D227,""),"")</f>
        <v/>
      </c>
      <c r="B227" s="36">
        <f t="shared" si="11"/>
        <v>1</v>
      </c>
      <c r="C227" s="190">
        <f t="shared" si="12"/>
        <v>0</v>
      </c>
      <c r="D227" s="190"/>
      <c r="E227" s="190"/>
      <c r="F227" s="191"/>
      <c r="G227" s="491"/>
      <c r="H227" s="192"/>
      <c r="I227" s="253"/>
      <c r="J227" s="253"/>
      <c r="K227" s="38"/>
      <c r="L227" s="193"/>
      <c r="M227" s="193"/>
      <c r="N227" s="39" t="str">
        <f>IF(AND('331-CT'!$E$7=TH!H227,OR(L227="331",M227="331")),"331",IF(AND(OR(L227="131",M227="131"),H227='131-CT'!$E$7),"131",""))</f>
        <v/>
      </c>
      <c r="O227" s="39" t="str">
        <f>IF(AND($B227&gt;='111'!$N$11,$B227&lt;='111'!$O$11,OR($L227=$O$7,$M227=$O$7)),"x","")</f>
        <v/>
      </c>
      <c r="P227" s="39" t="str">
        <f>IF(AND($L227=$O$7,$B227&lt;'111'!$N$11),"x","")</f>
        <v/>
      </c>
      <c r="Q227" s="39" t="str">
        <f>IF(AND($M227=$O$7,$B227&lt;'111'!$N$11),"x","")</f>
        <v/>
      </c>
      <c r="R227" s="39" t="str">
        <f>IF(ISERROR(FIND('112'!$M$9,G227,1)),"",IF((AND(FIND('112'!$M$9,G227,1)&gt;=1,$B227&gt;='112'!$N$8,$B227&lt;='112'!$O$8,OR($L227='112'!$I$6,$M227='112'!$I$6))),"x",""))</f>
        <v/>
      </c>
      <c r="S227" s="39" t="str">
        <f>IF(ISERROR(FIND('112'!$M$9,G227,1)),"",IF((AND(LEFT(G227,2)=LEFT('112'!$M$9,2),B227&lt;'112'!$N$8,$L227='112'!$I$6)),"x",""))</f>
        <v/>
      </c>
      <c r="T227" s="39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39" t="str">
        <f>IF(OR(TH!L227=TH!$V$7,M227=TH!$V$7),"x","")</f>
        <v/>
      </c>
      <c r="W227" s="39" t="str">
        <f>IF(AND(B227&gt;='IN-NX'!$P$3,B227&lt;='IN-NX'!$Q$3,'IN-NX'!$D$7=D227,OR(LEFT(L227,2)="15",AND(LEFT(M227,2)&lt;&gt;"15",LEFT(M227,2)&lt;&gt;"33"))),"x","")</f>
        <v/>
      </c>
      <c r="X227" s="39" t="str">
        <f>IF(AND(OR(LEFT(TH!L227,2)="15",LEFT(TH!M227,2)="15"),'152-CT'!$J$8=TH!F227),"x","")</f>
        <v/>
      </c>
      <c r="Y227" s="39" t="str">
        <f>IF(AND(OR(LEFT(TH!L227,2)="15",LEFT(TH!M227,2)="15"),TK!$E$7=TH!F227),"x","")</f>
        <v/>
      </c>
      <c r="Z227" s="39" t="str">
        <f>IF(AND(B227&lt;=NKC!$N$8,B227&gt;=NKC!$M$8),"x","")</f>
        <v/>
      </c>
      <c r="AA227" s="894"/>
      <c r="AB227" s="598" t="e">
        <f t="shared" si="10"/>
        <v>#N/A</v>
      </c>
    </row>
    <row r="228" spans="1:30" ht="15.75" customHeight="1">
      <c r="A228" s="199" t="str">
        <f>IF(B228&lt;&gt;"",IF(AND(B228&gt;=_TM1,B228&lt;=_TM2,OR(TH!L228="1111",TH!M228="1111")),TH!D228,""),"")</f>
        <v/>
      </c>
      <c r="B228" s="36">
        <f t="shared" si="11"/>
        <v>1</v>
      </c>
      <c r="C228" s="190">
        <f t="shared" si="12"/>
        <v>0</v>
      </c>
      <c r="D228" s="190"/>
      <c r="E228" s="190"/>
      <c r="F228" s="191"/>
      <c r="G228" s="491"/>
      <c r="H228" s="192"/>
      <c r="I228" s="253"/>
      <c r="J228" s="253"/>
      <c r="K228" s="38"/>
      <c r="L228" s="193"/>
      <c r="M228" s="193"/>
      <c r="N228" s="39" t="str">
        <f>IF(AND('331-CT'!$E$7=TH!H228,OR(L228="331",M228="331")),"331",IF(AND(OR(L228="131",M228="131"),H228='131-CT'!$E$7),"131",""))</f>
        <v/>
      </c>
      <c r="O228" s="39" t="str">
        <f>IF(AND($B228&gt;='111'!$N$11,$B228&lt;='111'!$O$11,OR($L228=$O$7,$M228=$O$7)),"x","")</f>
        <v/>
      </c>
      <c r="P228" s="39" t="str">
        <f>IF(AND($L228=$O$7,$B228&lt;'111'!$N$11),"x","")</f>
        <v/>
      </c>
      <c r="Q228" s="39" t="str">
        <f>IF(AND($M228=$O$7,$B228&lt;'111'!$N$11),"x","")</f>
        <v/>
      </c>
      <c r="R228" s="39" t="str">
        <f>IF(ISERROR(FIND('112'!$M$9,G228,1)),"",IF((AND(FIND('112'!$M$9,G228,1)&gt;=1,$B228&gt;='112'!$N$8,$B228&lt;='112'!$O$8,OR($L228='112'!$I$6,$M228='112'!$I$6))),"x",""))</f>
        <v/>
      </c>
      <c r="S228" s="39" t="str">
        <f>IF(ISERROR(FIND('112'!$M$9,G228,1)),"",IF((AND(LEFT(G228,2)=LEFT('112'!$M$9,2),B228&lt;'112'!$N$8,$L228='112'!$I$6)),"x",""))</f>
        <v/>
      </c>
      <c r="T228" s="39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39" t="str">
        <f>IF(OR(TH!L228=TH!$V$7,M228=TH!$V$7),"x","")</f>
        <v/>
      </c>
      <c r="W228" s="39" t="str">
        <f>IF(AND(B228&gt;='IN-NX'!$P$3,B228&lt;='IN-NX'!$Q$3,'IN-NX'!$D$7=D228,OR(LEFT(L228,2)="15",AND(LEFT(M228,2)&lt;&gt;"15",LEFT(M228,2)&lt;&gt;"33"))),"x","")</f>
        <v/>
      </c>
      <c r="X228" s="39" t="str">
        <f>IF(AND(OR(LEFT(TH!L228,2)="15",LEFT(TH!M228,2)="15"),'152-CT'!$J$8=TH!F228),"x","")</f>
        <v/>
      </c>
      <c r="Y228" s="39" t="str">
        <f>IF(AND(OR(LEFT(TH!L228,2)="15",LEFT(TH!M228,2)="15"),TK!$E$7=TH!F228),"x","")</f>
        <v/>
      </c>
      <c r="Z228" s="39" t="str">
        <f>IF(AND(B228&lt;=NKC!$N$8,B228&gt;=NKC!$M$8),"x","")</f>
        <v/>
      </c>
      <c r="AA228" s="894"/>
      <c r="AB228" s="598" t="e">
        <f t="shared" si="10"/>
        <v>#N/A</v>
      </c>
      <c r="AC228" s="598"/>
      <c r="AD228" s="598"/>
    </row>
    <row r="229" spans="1:30" ht="15.75" customHeight="1">
      <c r="A229" s="199" t="str">
        <f>IF(B229&lt;&gt;"",IF(AND(B229&gt;=_TM1,B229&lt;=_TM2,OR(TH!L229="1111",TH!M229="1111")),TH!D229,""),"")</f>
        <v/>
      </c>
      <c r="B229" s="36">
        <f t="shared" si="11"/>
        <v>1</v>
      </c>
      <c r="C229" s="190">
        <f t="shared" si="12"/>
        <v>0</v>
      </c>
      <c r="D229" s="190"/>
      <c r="E229" s="190"/>
      <c r="F229" s="191"/>
      <c r="G229" s="491"/>
      <c r="H229" s="192"/>
      <c r="I229" s="253"/>
      <c r="J229" s="253"/>
      <c r="K229" s="38"/>
      <c r="L229" s="193"/>
      <c r="M229" s="193"/>
      <c r="N229" s="39" t="str">
        <f>IF(AND('331-CT'!$E$7=TH!H229,OR(L229="331",M229="331")),"331",IF(AND(OR(L229="131",M229="131"),H229='131-CT'!$E$7),"131",""))</f>
        <v/>
      </c>
      <c r="O229" s="39" t="str">
        <f>IF(AND($B229&gt;='111'!$N$11,$B229&lt;='111'!$O$11,OR($L229=$O$7,$M229=$O$7)),"x","")</f>
        <v/>
      </c>
      <c r="P229" s="39" t="str">
        <f>IF(AND($L229=$O$7,$B229&lt;'111'!$N$11),"x","")</f>
        <v/>
      </c>
      <c r="Q229" s="39" t="str">
        <f>IF(AND($M229=$O$7,$B229&lt;'111'!$N$11),"x","")</f>
        <v/>
      </c>
      <c r="R229" s="39" t="str">
        <f>IF(ISERROR(FIND('112'!$M$9,G229,1)),"",IF((AND(FIND('112'!$M$9,G229,1)&gt;=1,$B229&gt;='112'!$N$8,$B229&lt;='112'!$O$8,OR($L229='112'!$I$6,$M229='112'!$I$6))),"x",""))</f>
        <v/>
      </c>
      <c r="S229" s="39" t="str">
        <f>IF(ISERROR(FIND('112'!$M$9,G229,1)),"",IF((AND(LEFT(G229,2)=LEFT('112'!$M$9,2),B229&lt;'112'!$N$8,$L229='112'!$I$6)),"x",""))</f>
        <v/>
      </c>
      <c r="T229" s="39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39" t="str">
        <f>IF(OR(TH!L229=TH!$V$7,M229=TH!$V$7),"x","")</f>
        <v/>
      </c>
      <c r="W229" s="39" t="str">
        <f>IF(AND(B229&gt;='IN-NX'!$P$3,B229&lt;='IN-NX'!$Q$3,'IN-NX'!$D$7=D229,OR(LEFT(L229,2)="15",AND(LEFT(M229,2)&lt;&gt;"15",LEFT(M229,2)&lt;&gt;"33"))),"x","")</f>
        <v/>
      </c>
      <c r="X229" s="39" t="str">
        <f>IF(AND(OR(LEFT(TH!L229,2)="15",LEFT(TH!M229,2)="15"),'152-CT'!$J$8=TH!F229),"x","")</f>
        <v/>
      </c>
      <c r="Y229" s="39" t="str">
        <f>IF(AND(OR(LEFT(TH!L229,2)="15",LEFT(TH!M229,2)="15"),TK!$E$7=TH!F229),"x","")</f>
        <v/>
      </c>
      <c r="Z229" s="39" t="str">
        <f>IF(AND(B229&lt;=NKC!$N$8,B229&gt;=NKC!$M$8),"x","")</f>
        <v/>
      </c>
      <c r="AA229" s="894"/>
      <c r="AB229" s="598" t="e">
        <f t="shared" si="10"/>
        <v>#N/A</v>
      </c>
    </row>
    <row r="230" spans="1:30" ht="15.75" customHeight="1">
      <c r="A230" s="199" t="str">
        <f>IF(B230&lt;&gt;"",IF(AND(B230&gt;=_TM1,B230&lt;=_TM2,OR(TH!L230="1111",TH!M230="1111")),TH!D230,""),"")</f>
        <v/>
      </c>
      <c r="B230" s="36">
        <f t="shared" si="11"/>
        <v>1</v>
      </c>
      <c r="C230" s="190">
        <f t="shared" si="12"/>
        <v>0</v>
      </c>
      <c r="D230" s="190"/>
      <c r="E230" s="190"/>
      <c r="F230" s="191"/>
      <c r="G230" s="491"/>
      <c r="H230" s="192"/>
      <c r="I230" s="253"/>
      <c r="J230" s="253"/>
      <c r="K230" s="38"/>
      <c r="L230" s="193"/>
      <c r="M230" s="193"/>
      <c r="N230" s="39" t="str">
        <f>IF(AND('331-CT'!$E$7=TH!H230,OR(L230="331",M230="331")),"331",IF(AND(OR(L230="131",M230="131"),H230='131-CT'!$E$7),"131",""))</f>
        <v/>
      </c>
      <c r="O230" s="39" t="str">
        <f>IF(AND($B230&gt;='111'!$N$11,$B230&lt;='111'!$O$11,OR($L230=$O$7,$M230=$O$7)),"x","")</f>
        <v/>
      </c>
      <c r="P230" s="39" t="str">
        <f>IF(AND($L230=$O$7,$B230&lt;'111'!$N$11),"x","")</f>
        <v/>
      </c>
      <c r="Q230" s="39" t="str">
        <f>IF(AND($M230=$O$7,$B230&lt;'111'!$N$11),"x","")</f>
        <v/>
      </c>
      <c r="R230" s="39" t="str">
        <f>IF(ISERROR(FIND('112'!$M$9,G230,1)),"",IF((AND(FIND('112'!$M$9,G230,1)&gt;=1,$B230&gt;='112'!$N$8,$B230&lt;='112'!$O$8,OR($L230='112'!$I$6,$M230='112'!$I$6))),"x",""))</f>
        <v/>
      </c>
      <c r="S230" s="39" t="str">
        <f>IF(ISERROR(FIND('112'!$M$9,G230,1)),"",IF((AND(LEFT(G230,2)=LEFT('112'!$M$9,2),B230&lt;'112'!$N$8,$L230='112'!$I$6)),"x",""))</f>
        <v/>
      </c>
      <c r="T230" s="39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39" t="str">
        <f>IF(OR(TH!L230=TH!$V$7,M230=TH!$V$7),"x","")</f>
        <v/>
      </c>
      <c r="W230" s="39" t="str">
        <f>IF(AND(B230&gt;='IN-NX'!$P$3,B230&lt;='IN-NX'!$Q$3,'IN-NX'!$D$7=D230,OR(LEFT(L230,2)="15",AND(LEFT(M230,2)&lt;&gt;"15",LEFT(M230,2)&lt;&gt;"33"))),"x","")</f>
        <v/>
      </c>
      <c r="X230" s="39" t="str">
        <f>IF(AND(OR(LEFT(TH!L230,2)="15",LEFT(TH!M230,2)="15"),'152-CT'!$J$8=TH!F230),"x","")</f>
        <v/>
      </c>
      <c r="Y230" s="39" t="str">
        <f>IF(AND(OR(LEFT(TH!L230,2)="15",LEFT(TH!M230,2)="15"),TK!$E$7=TH!F230),"x","")</f>
        <v/>
      </c>
      <c r="Z230" s="39" t="str">
        <f>IF(AND(B230&lt;=NKC!$N$8,B230&gt;=NKC!$M$8),"x","")</f>
        <v/>
      </c>
      <c r="AA230" s="894"/>
      <c r="AB230" s="598" t="e">
        <f t="shared" si="10"/>
        <v>#N/A</v>
      </c>
      <c r="AC230" s="598"/>
      <c r="AD230" s="598"/>
    </row>
    <row r="231" spans="1:30" ht="15.75" customHeight="1">
      <c r="A231" s="199" t="str">
        <f>IF(B231&lt;&gt;"",IF(AND(B231&gt;=_TM1,B231&lt;=_TM2,OR(TH!L231="1111",TH!M231="1111")),TH!D231,""),"")</f>
        <v/>
      </c>
      <c r="B231" s="36">
        <f t="shared" si="11"/>
        <v>1</v>
      </c>
      <c r="C231" s="190">
        <f t="shared" si="12"/>
        <v>0</v>
      </c>
      <c r="D231" s="190"/>
      <c r="E231" s="190"/>
      <c r="F231" s="191"/>
      <c r="G231" s="191"/>
      <c r="H231" s="890"/>
      <c r="I231" s="254"/>
      <c r="J231" s="253"/>
      <c r="K231" s="38"/>
      <c r="L231" s="193"/>
      <c r="M231" s="193"/>
      <c r="N231" s="39" t="str">
        <f>IF(AND('331-CT'!$E$7=TH!H231,OR(L231="331",M231="331")),"331",IF(AND(OR(L231="131",M231="131"),H231='131-CT'!$E$7),"131",""))</f>
        <v/>
      </c>
      <c r="O231" s="39" t="str">
        <f>IF(AND($B231&gt;='111'!$N$11,$B231&lt;='111'!$O$11,OR($L231=$O$7,$M231=$O$7)),"x","")</f>
        <v/>
      </c>
      <c r="P231" s="39" t="str">
        <f>IF(AND($L231=$O$7,$B231&lt;'111'!$N$11),"x","")</f>
        <v/>
      </c>
      <c r="Q231" s="39" t="str">
        <f>IF(AND($M231=$O$7,$B231&lt;'111'!$N$11),"x","")</f>
        <v/>
      </c>
      <c r="R231" s="39" t="str">
        <f>IF(ISERROR(FIND('112'!$M$9,G231,1)),"",IF((AND(FIND('112'!$M$9,G231,1)&gt;=1,$B231&gt;='112'!$N$8,$B231&lt;='112'!$O$8,OR($L231='112'!$I$6,$M231='112'!$I$6))),"x",""))</f>
        <v/>
      </c>
      <c r="S231" s="39" t="str">
        <f>IF(ISERROR(FIND('112'!$M$9,G231,1)),"",IF((AND(LEFT(G231,2)=LEFT('112'!$M$9,2),B231&lt;'112'!$N$8,$L231='112'!$I$6)),"x",""))</f>
        <v/>
      </c>
      <c r="T231" s="39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39" t="str">
        <f>IF(OR(TH!L231=TH!$V$7,M231=TH!$V$7),"x","")</f>
        <v/>
      </c>
      <c r="W231" s="39" t="str">
        <f>IF(AND(B231&gt;='IN-NX'!$P$3,B231&lt;='IN-NX'!$Q$3,'IN-NX'!$D$7=D231,OR(LEFT(L231,2)="15",AND(LEFT(M231,2)&lt;&gt;"15",LEFT(M231,2)&lt;&gt;"33"))),"x","")</f>
        <v/>
      </c>
      <c r="X231" s="39" t="str">
        <f>IF(AND(OR(LEFT(TH!L231,2)="15",LEFT(TH!M231,2)="15"),'152-CT'!$J$8=TH!F231),"x","")</f>
        <v/>
      </c>
      <c r="Y231" s="39" t="str">
        <f>IF(AND(OR(LEFT(TH!L231,2)="15",LEFT(TH!M231,2)="15"),TK!$E$7=TH!F231),"x","")</f>
        <v/>
      </c>
      <c r="Z231" s="39" t="str">
        <f>IF(AND(B231&lt;=NKC!$N$8,B231&gt;=NKC!$M$8),"x","")</f>
        <v/>
      </c>
      <c r="AA231" s="894"/>
      <c r="AB231" s="598" t="e">
        <f t="shared" si="10"/>
        <v>#N/A</v>
      </c>
      <c r="AC231" s="598"/>
      <c r="AD231" s="598"/>
    </row>
    <row r="232" spans="1:30" ht="15.75" customHeight="1">
      <c r="A232" s="199" t="str">
        <f>IF(B232&lt;&gt;"",IF(AND(B232&gt;=_TM1,B232&lt;=_TM2,OR(TH!L232="1111",TH!M232="1111")),TH!D232,""),"")</f>
        <v/>
      </c>
      <c r="B232" s="36">
        <f t="shared" si="11"/>
        <v>1</v>
      </c>
      <c r="C232" s="190">
        <f t="shared" si="12"/>
        <v>0</v>
      </c>
      <c r="D232" s="190"/>
      <c r="E232" s="190"/>
      <c r="F232" s="191"/>
      <c r="G232" s="491"/>
      <c r="H232" s="204"/>
      <c r="I232" s="254"/>
      <c r="J232" s="254"/>
      <c r="K232" s="38"/>
      <c r="L232" s="193"/>
      <c r="M232" s="193"/>
      <c r="N232" s="39" t="str">
        <f>IF(AND('331-CT'!$E$7=TH!H232,OR(L232="331",M232="331")),"331",IF(AND(OR(L232="131",M232="131"),H232='131-CT'!$E$7),"131",""))</f>
        <v/>
      </c>
      <c r="O232" s="39" t="str">
        <f>IF(AND($B232&gt;='111'!$N$11,$B232&lt;='111'!$O$11,OR($L232=$O$7,$M232=$O$7)),"x","")</f>
        <v/>
      </c>
      <c r="P232" s="39" t="str">
        <f>IF(AND($L232=$O$7,$B232&lt;'111'!$N$11),"x","")</f>
        <v/>
      </c>
      <c r="Q232" s="39" t="str">
        <f>IF(AND($M232=$O$7,$B232&lt;'111'!$N$11),"x","")</f>
        <v/>
      </c>
      <c r="R232" s="39" t="str">
        <f>IF(ISERROR(FIND('112'!$M$9,G232,1)),"",IF((AND(FIND('112'!$M$9,G232,1)&gt;=1,$B232&gt;='112'!$N$8,$B232&lt;='112'!$O$8,OR($L232='112'!$I$6,$M232='112'!$I$6))),"x",""))</f>
        <v/>
      </c>
      <c r="S232" s="39" t="str">
        <f>IF(ISERROR(FIND('112'!$M$9,G232,1)),"",IF((AND(LEFT(G232,2)=LEFT('112'!$M$9,2),B232&lt;'112'!$N$8,$L232='112'!$I$6)),"x",""))</f>
        <v/>
      </c>
      <c r="T232" s="39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39" t="str">
        <f>IF(OR(TH!L232=TH!$V$7,M232=TH!$V$7),"x","")</f>
        <v/>
      </c>
      <c r="W232" s="39" t="str">
        <f>IF(AND(B232&gt;='IN-NX'!$P$3,B232&lt;='IN-NX'!$Q$3,'IN-NX'!$D$7=D232,OR(LEFT(L232,2)="15",AND(LEFT(M232,2)&lt;&gt;"15",LEFT(M232,2)&lt;&gt;"33"))),"x","")</f>
        <v/>
      </c>
      <c r="X232" s="39" t="str">
        <f>IF(AND(OR(LEFT(TH!L232,2)="15",LEFT(TH!M232,2)="15"),'152-CT'!$J$8=TH!F232),"x","")</f>
        <v/>
      </c>
      <c r="Y232" s="39" t="str">
        <f>IF(AND(OR(LEFT(TH!L232,2)="15",LEFT(TH!M232,2)="15"),TK!$E$7=TH!F232),"x","")</f>
        <v/>
      </c>
      <c r="Z232" s="39" t="str">
        <f>IF(AND(B232&lt;=NKC!$N$8,B232&gt;=NKC!$M$8),"x","")</f>
        <v/>
      </c>
      <c r="AA232" s="894"/>
      <c r="AB232" s="598" t="e">
        <f t="shared" si="10"/>
        <v>#N/A</v>
      </c>
      <c r="AC232" s="598"/>
      <c r="AD232" s="598"/>
    </row>
    <row r="233" spans="1:30" ht="15.75" customHeight="1">
      <c r="A233" s="199" t="str">
        <f>IF(B233&lt;&gt;"",IF(AND(B233&gt;=_TM1,B233&lt;=_TM2,OR(TH!L233="1111",TH!M233="1111")),TH!D233,""),"")</f>
        <v/>
      </c>
      <c r="B233" s="36">
        <f t="shared" si="11"/>
        <v>1</v>
      </c>
      <c r="C233" s="190">
        <f t="shared" si="12"/>
        <v>0</v>
      </c>
      <c r="D233" s="190"/>
      <c r="E233" s="190"/>
      <c r="F233" s="191"/>
      <c r="G233" s="491"/>
      <c r="H233" s="204"/>
      <c r="I233" s="254"/>
      <c r="J233" s="254"/>
      <c r="K233" s="38"/>
      <c r="L233" s="193"/>
      <c r="M233" s="193"/>
      <c r="N233" s="39" t="str">
        <f>IF(AND('331-CT'!$E$7=TH!H233,OR(L233="331",M233="331")),"331",IF(AND(OR(L233="131",M233="131"),H233='131-CT'!$E$7),"131",""))</f>
        <v/>
      </c>
      <c r="O233" s="39" t="str">
        <f>IF(AND($B233&gt;='111'!$N$11,$B233&lt;='111'!$O$11,OR($L233=$O$7,$M233=$O$7)),"x","")</f>
        <v/>
      </c>
      <c r="P233" s="39" t="str">
        <f>IF(AND($L233=$O$7,$B233&lt;'111'!$N$11),"x","")</f>
        <v/>
      </c>
      <c r="Q233" s="39" t="str">
        <f>IF(AND($M233=$O$7,$B233&lt;'111'!$N$11),"x","")</f>
        <v/>
      </c>
      <c r="R233" s="39" t="str">
        <f>IF(ISERROR(FIND('112'!$M$9,G233,1)),"",IF((AND(FIND('112'!$M$9,G233,1)&gt;=1,$B233&gt;='112'!$N$8,$B233&lt;='112'!$O$8,OR($L233='112'!$I$6,$M233='112'!$I$6))),"x",""))</f>
        <v/>
      </c>
      <c r="S233" s="39" t="str">
        <f>IF(ISERROR(FIND('112'!$M$9,G233,1)),"",IF((AND(LEFT(G233,2)=LEFT('112'!$M$9,2),B233&lt;'112'!$N$8,$L233='112'!$I$6)),"x",""))</f>
        <v/>
      </c>
      <c r="T233" s="39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39" t="str">
        <f>IF(OR(TH!L233=TH!$V$7,M233=TH!$V$7),"x","")</f>
        <v/>
      </c>
      <c r="W233" s="39" t="str">
        <f>IF(AND(B233&gt;='IN-NX'!$P$3,B233&lt;='IN-NX'!$Q$3,'IN-NX'!$D$7=D233,OR(LEFT(L233,2)="15",AND(LEFT(M233,2)&lt;&gt;"15",LEFT(M233,2)&lt;&gt;"33"))),"x","")</f>
        <v/>
      </c>
      <c r="X233" s="39" t="str">
        <f>IF(AND(OR(LEFT(TH!L233,2)="15",LEFT(TH!M233,2)="15"),'152-CT'!$J$8=TH!F233),"x","")</f>
        <v/>
      </c>
      <c r="Y233" s="39" t="str">
        <f>IF(AND(OR(LEFT(TH!L233,2)="15",LEFT(TH!M233,2)="15"),TK!$E$7=TH!F233),"x","")</f>
        <v/>
      </c>
      <c r="Z233" s="39" t="str">
        <f>IF(AND(B233&lt;=NKC!$N$8,B233&gt;=NKC!$M$8),"x","")</f>
        <v/>
      </c>
      <c r="AA233" s="894"/>
      <c r="AB233" s="598" t="e">
        <f t="shared" si="10"/>
        <v>#N/A</v>
      </c>
      <c r="AC233" s="598"/>
      <c r="AD233" s="598"/>
    </row>
    <row r="234" spans="1:30" ht="15.75" customHeight="1">
      <c r="A234" s="199" t="str">
        <f>IF(B234&lt;&gt;"",IF(AND(B234&gt;=_TM1,B234&lt;=_TM2,OR(TH!L234="1111",TH!M234="1111")),TH!D234,""),"")</f>
        <v/>
      </c>
      <c r="B234" s="36">
        <f t="shared" si="11"/>
        <v>1</v>
      </c>
      <c r="C234" s="190">
        <f t="shared" si="12"/>
        <v>0</v>
      </c>
      <c r="D234" s="190"/>
      <c r="E234" s="190"/>
      <c r="F234" s="191"/>
      <c r="G234" s="491"/>
      <c r="H234" s="204"/>
      <c r="I234" s="254"/>
      <c r="J234" s="254"/>
      <c r="K234" s="38"/>
      <c r="L234" s="193"/>
      <c r="M234" s="193"/>
      <c r="N234" s="39" t="str">
        <f>IF(AND('331-CT'!$E$7=TH!H234,OR(L234="331",M234="331")),"331",IF(AND(OR(L234="131",M234="131"),H234='131-CT'!$E$7),"131",""))</f>
        <v/>
      </c>
      <c r="O234" s="39" t="str">
        <f>IF(AND($B234&gt;='111'!$N$11,$B234&lt;='111'!$O$11,OR($L234=$O$7,$M234=$O$7)),"x","")</f>
        <v/>
      </c>
      <c r="P234" s="39" t="str">
        <f>IF(AND($L234=$O$7,$B234&lt;'111'!$N$11),"x","")</f>
        <v/>
      </c>
      <c r="Q234" s="39" t="str">
        <f>IF(AND($M234=$O$7,$B234&lt;'111'!$N$11),"x","")</f>
        <v/>
      </c>
      <c r="R234" s="39" t="str">
        <f>IF(ISERROR(FIND('112'!$M$9,G234,1)),"",IF((AND(FIND('112'!$M$9,G234,1)&gt;=1,$B234&gt;='112'!$N$8,$B234&lt;='112'!$O$8,OR($L234='112'!$I$6,$M234='112'!$I$6))),"x",""))</f>
        <v/>
      </c>
      <c r="S234" s="39" t="str">
        <f>IF(ISERROR(FIND('112'!$M$9,G234,1)),"",IF((AND(LEFT(G234,2)=LEFT('112'!$M$9,2),B234&lt;'112'!$N$8,$L234='112'!$I$6)),"x",""))</f>
        <v/>
      </c>
      <c r="T234" s="39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39" t="str">
        <f>IF(OR(TH!L234=TH!$V$7,M234=TH!$V$7),"x","")</f>
        <v/>
      </c>
      <c r="W234" s="39" t="str">
        <f>IF(AND(B234&gt;='IN-NX'!$P$3,B234&lt;='IN-NX'!$Q$3,'IN-NX'!$D$7=D234,OR(LEFT(L234,2)="15",AND(LEFT(M234,2)&lt;&gt;"15",LEFT(M234,2)&lt;&gt;"33"))),"x","")</f>
        <v/>
      </c>
      <c r="X234" s="39" t="str">
        <f>IF(AND(OR(LEFT(TH!L234,2)="15",LEFT(TH!M234,2)="15"),'152-CT'!$J$8=TH!F234),"x","")</f>
        <v/>
      </c>
      <c r="Y234" s="39" t="str">
        <f>IF(AND(OR(LEFT(TH!L234,2)="15",LEFT(TH!M234,2)="15"),TK!$E$7=TH!F234),"x","")</f>
        <v/>
      </c>
      <c r="Z234" s="39" t="str">
        <f>IF(AND(B234&lt;=NKC!$N$8,B234&gt;=NKC!$M$8),"x","")</f>
        <v/>
      </c>
      <c r="AA234" s="894"/>
      <c r="AB234" s="598" t="e">
        <f t="shared" si="10"/>
        <v>#N/A</v>
      </c>
      <c r="AD234" s="598"/>
    </row>
    <row r="235" spans="1:30" ht="15.75" customHeight="1">
      <c r="A235" s="199" t="str">
        <f>IF(B235&lt;&gt;"",IF(AND(B235&gt;=_TM1,B235&lt;=_TM2,OR(TH!L235="1111",TH!M235="1111")),TH!D235,""),"")</f>
        <v/>
      </c>
      <c r="B235" s="36">
        <f t="shared" si="11"/>
        <v>1</v>
      </c>
      <c r="C235" s="190">
        <f t="shared" si="12"/>
        <v>0</v>
      </c>
      <c r="D235" s="190"/>
      <c r="E235" s="190"/>
      <c r="F235" s="191"/>
      <c r="G235" s="491"/>
      <c r="H235" s="204"/>
      <c r="I235" s="254"/>
      <c r="J235" s="254"/>
      <c r="K235" s="38"/>
      <c r="L235" s="193"/>
      <c r="M235" s="193"/>
      <c r="N235" s="39" t="str">
        <f>IF(AND('331-CT'!$E$7=TH!H235,OR(L235="331",M235="331")),"331",IF(AND(OR(L235="131",M235="131"),H235='131-CT'!$E$7),"131",""))</f>
        <v/>
      </c>
      <c r="O235" s="39" t="str">
        <f>IF(AND($B235&gt;='111'!$N$11,$B235&lt;='111'!$O$11,OR($L235=$O$7,$M235=$O$7)),"x","")</f>
        <v/>
      </c>
      <c r="P235" s="39" t="str">
        <f>IF(AND($L235=$O$7,$B235&lt;'111'!$N$11),"x","")</f>
        <v/>
      </c>
      <c r="Q235" s="39" t="str">
        <f>IF(AND($M235=$O$7,$B235&lt;'111'!$N$11),"x","")</f>
        <v/>
      </c>
      <c r="R235" s="39" t="str">
        <f>IF(ISERROR(FIND('112'!$M$9,G235,1)),"",IF((AND(FIND('112'!$M$9,G235,1)&gt;=1,$B235&gt;='112'!$N$8,$B235&lt;='112'!$O$8,OR($L235='112'!$I$6,$M235='112'!$I$6))),"x",""))</f>
        <v/>
      </c>
      <c r="S235" s="39" t="str">
        <f>IF(ISERROR(FIND('112'!$M$9,G235,1)),"",IF((AND(LEFT(G235,2)=LEFT('112'!$M$9,2),B235&lt;'112'!$N$8,$L235='112'!$I$6)),"x",""))</f>
        <v/>
      </c>
      <c r="T235" s="39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39" t="str">
        <f>IF(OR(TH!L235=TH!$V$7,M235=TH!$V$7),"x","")</f>
        <v/>
      </c>
      <c r="W235" s="39" t="str">
        <f>IF(AND(B235&gt;='IN-NX'!$P$3,B235&lt;='IN-NX'!$Q$3,'IN-NX'!$D$7=D235,OR(LEFT(L235,2)="15",AND(LEFT(M235,2)&lt;&gt;"15",LEFT(M235,2)&lt;&gt;"33"))),"x","")</f>
        <v/>
      </c>
      <c r="X235" s="39" t="str">
        <f>IF(AND(OR(LEFT(TH!L235,2)="15",LEFT(TH!M235,2)="15"),'152-CT'!$J$8=TH!F235),"x","")</f>
        <v/>
      </c>
      <c r="Y235" s="39" t="str">
        <f>IF(AND(OR(LEFT(TH!L235,2)="15",LEFT(TH!M235,2)="15"),TK!$E$7=TH!F235),"x","")</f>
        <v/>
      </c>
      <c r="Z235" s="39" t="str">
        <f>IF(AND(B235&lt;=NKC!$N$8,B235&gt;=NKC!$M$8),"x","")</f>
        <v/>
      </c>
      <c r="AA235" s="894"/>
      <c r="AB235" s="598" t="e">
        <f t="shared" si="10"/>
        <v>#N/A</v>
      </c>
      <c r="AC235" s="598"/>
      <c r="AD235" s="598"/>
    </row>
    <row r="236" spans="1:30" ht="15.75" customHeight="1">
      <c r="A236" s="199" t="str">
        <f>IF(B236&lt;&gt;"",IF(AND(B236&gt;=_TM1,B236&lt;=_TM2,OR(TH!L236="1111",TH!M236="1111")),TH!D236,""),"")</f>
        <v/>
      </c>
      <c r="B236" s="36">
        <f t="shared" si="11"/>
        <v>1</v>
      </c>
      <c r="C236" s="190">
        <f t="shared" si="12"/>
        <v>0</v>
      </c>
      <c r="D236" s="190"/>
      <c r="E236" s="190"/>
      <c r="F236" s="191"/>
      <c r="G236" s="491"/>
      <c r="H236" s="204"/>
      <c r="I236" s="254"/>
      <c r="J236" s="254"/>
      <c r="K236" s="38"/>
      <c r="L236" s="193"/>
      <c r="M236" s="193"/>
      <c r="N236" s="39" t="str">
        <f>IF(AND('331-CT'!$E$7=TH!H236,OR(L236="331",M236="331")),"331",IF(AND(OR(L236="131",M236="131"),H236='131-CT'!$E$7),"131",""))</f>
        <v/>
      </c>
      <c r="O236" s="39" t="str">
        <f>IF(AND($B236&gt;='111'!$N$11,$B236&lt;='111'!$O$11,OR($L236=$O$7,$M236=$O$7)),"x","")</f>
        <v/>
      </c>
      <c r="P236" s="39" t="str">
        <f>IF(AND($L236=$O$7,$B236&lt;'111'!$N$11),"x","")</f>
        <v/>
      </c>
      <c r="Q236" s="39" t="str">
        <f>IF(AND($M236=$O$7,$B236&lt;'111'!$N$11),"x","")</f>
        <v/>
      </c>
      <c r="R236" s="39" t="str">
        <f>IF(ISERROR(FIND('112'!$M$9,G236,1)),"",IF((AND(FIND('112'!$M$9,G236,1)&gt;=1,$B236&gt;='112'!$N$8,$B236&lt;='112'!$O$8,OR($L236='112'!$I$6,$M236='112'!$I$6))),"x",""))</f>
        <v/>
      </c>
      <c r="S236" s="39" t="str">
        <f>IF(ISERROR(FIND('112'!$M$9,G236,1)),"",IF((AND(LEFT(G236,2)=LEFT('112'!$M$9,2),B236&lt;'112'!$N$8,$L236='112'!$I$6)),"x",""))</f>
        <v/>
      </c>
      <c r="T236" s="39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39" t="str">
        <f>IF(OR(TH!L236=TH!$V$7,M236=TH!$V$7),"x","")</f>
        <v/>
      </c>
      <c r="W236" s="39" t="str">
        <f>IF(AND(B236&gt;='IN-NX'!$P$3,B236&lt;='IN-NX'!$Q$3,'IN-NX'!$D$7=D236,OR(LEFT(L236,2)="15",AND(LEFT(M236,2)&lt;&gt;"15",LEFT(M236,2)&lt;&gt;"33"))),"x","")</f>
        <v/>
      </c>
      <c r="X236" s="39" t="str">
        <f>IF(AND(OR(LEFT(TH!L236,2)="15",LEFT(TH!M236,2)="15"),'152-CT'!$J$8=TH!F236),"x","")</f>
        <v/>
      </c>
      <c r="Y236" s="39" t="str">
        <f>IF(AND(OR(LEFT(TH!L236,2)="15",LEFT(TH!M236,2)="15"),TK!$E$7=TH!F236),"x","")</f>
        <v/>
      </c>
      <c r="Z236" s="39" t="str">
        <f>IF(AND(B236&lt;=NKC!$N$8,B236&gt;=NKC!$M$8),"x","")</f>
        <v/>
      </c>
      <c r="AA236" s="894"/>
      <c r="AB236" s="598" t="e">
        <f t="shared" si="10"/>
        <v>#N/A</v>
      </c>
      <c r="AC236" s="598"/>
      <c r="AD236" s="598"/>
    </row>
    <row r="237" spans="1:30" ht="15.75" customHeight="1">
      <c r="A237" s="199" t="str">
        <f>IF(B237&lt;&gt;"",IF(AND(B237&gt;=_TM1,B237&lt;=_TM2,OR(TH!L237="1111",TH!M237="1111")),TH!D237,""),"")</f>
        <v/>
      </c>
      <c r="B237" s="36">
        <f t="shared" si="11"/>
        <v>1</v>
      </c>
      <c r="C237" s="190">
        <f t="shared" si="12"/>
        <v>0</v>
      </c>
      <c r="D237" s="190"/>
      <c r="E237" s="190"/>
      <c r="F237" s="191"/>
      <c r="G237" s="491"/>
      <c r="H237" s="204"/>
      <c r="I237" s="254"/>
      <c r="J237" s="254"/>
      <c r="K237" s="38"/>
      <c r="L237" s="193"/>
      <c r="M237" s="193"/>
      <c r="N237" s="39" t="str">
        <f>IF(AND('331-CT'!$E$7=TH!H237,OR(L237="331",M237="331")),"331",IF(AND(OR(L237="131",M237="131"),H237='131-CT'!$E$7),"131",""))</f>
        <v/>
      </c>
      <c r="O237" s="39" t="str">
        <f>IF(AND($B237&gt;='111'!$N$11,$B237&lt;='111'!$O$11,OR($L237=$O$7,$M237=$O$7)),"x","")</f>
        <v/>
      </c>
      <c r="P237" s="39" t="str">
        <f>IF(AND($L237=$O$7,$B237&lt;'111'!$N$11),"x","")</f>
        <v/>
      </c>
      <c r="Q237" s="39" t="str">
        <f>IF(AND($M237=$O$7,$B237&lt;'111'!$N$11),"x","")</f>
        <v/>
      </c>
      <c r="R237" s="39" t="str">
        <f>IF(ISERROR(FIND('112'!$M$9,G237,1)),"",IF((AND(FIND('112'!$M$9,G237,1)&gt;=1,$B237&gt;='112'!$N$8,$B237&lt;='112'!$O$8,OR($L237='112'!$I$6,$M237='112'!$I$6))),"x",""))</f>
        <v/>
      </c>
      <c r="S237" s="39" t="str">
        <f>IF(ISERROR(FIND('112'!$M$9,G237,1)),"",IF((AND(LEFT(G237,2)=LEFT('112'!$M$9,2),B237&lt;'112'!$N$8,$L237='112'!$I$6)),"x",""))</f>
        <v/>
      </c>
      <c r="T237" s="39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39" t="str">
        <f>IF(OR(TH!L237=TH!$V$7,M237=TH!$V$7),"x","")</f>
        <v/>
      </c>
      <c r="W237" s="39" t="str">
        <f>IF(AND(B237&gt;='IN-NX'!$P$3,B237&lt;='IN-NX'!$Q$3,'IN-NX'!$D$7=D237,OR(LEFT(L237,2)="15",AND(LEFT(M237,2)&lt;&gt;"15",LEFT(M237,2)&lt;&gt;"33"))),"x","")</f>
        <v/>
      </c>
      <c r="X237" s="39" t="str">
        <f>IF(AND(OR(LEFT(TH!L237,2)="15",LEFT(TH!M237,2)="15"),'152-CT'!$J$8=TH!F237),"x","")</f>
        <v/>
      </c>
      <c r="Y237" s="39" t="str">
        <f>IF(AND(OR(LEFT(TH!L237,2)="15",LEFT(TH!M237,2)="15"),TK!$E$7=TH!F237),"x","")</f>
        <v/>
      </c>
      <c r="Z237" s="39" t="str">
        <f>IF(AND(B237&lt;=NKC!$N$8,B237&gt;=NKC!$M$8),"x","")</f>
        <v/>
      </c>
      <c r="AA237" s="894"/>
      <c r="AB237" s="598" t="e">
        <f t="shared" si="10"/>
        <v>#N/A</v>
      </c>
      <c r="AC237" s="598"/>
      <c r="AD237" s="598"/>
    </row>
    <row r="238" spans="1:30" ht="15.75" customHeight="1">
      <c r="A238" s="199" t="str">
        <f>IF(B238&lt;&gt;"",IF(AND(B238&gt;=_TM1,B238&lt;=_TM2,OR(TH!L238="1111",TH!M238="1111")),TH!D238,""),"")</f>
        <v/>
      </c>
      <c r="B238" s="36">
        <f t="shared" si="11"/>
        <v>1</v>
      </c>
      <c r="C238" s="190">
        <f t="shared" si="12"/>
        <v>0</v>
      </c>
      <c r="D238" s="190"/>
      <c r="E238" s="190"/>
      <c r="F238" s="191"/>
      <c r="G238" s="491"/>
      <c r="H238" s="204"/>
      <c r="I238" s="254"/>
      <c r="J238" s="254"/>
      <c r="K238" s="38"/>
      <c r="L238" s="193"/>
      <c r="M238" s="193"/>
      <c r="N238" s="39" t="str">
        <f>IF(AND('331-CT'!$E$7=TH!H238,OR(L238="331",M238="331")),"331",IF(AND(OR(L238="131",M238="131"),H238='131-CT'!$E$7),"131",""))</f>
        <v/>
      </c>
      <c r="O238" s="39" t="str">
        <f>IF(AND($B238&gt;='111'!$N$11,$B238&lt;='111'!$O$11,OR($L238=$O$7,$M238=$O$7)),"x","")</f>
        <v/>
      </c>
      <c r="P238" s="39" t="str">
        <f>IF(AND($L238=$O$7,$B238&lt;'111'!$N$11),"x","")</f>
        <v/>
      </c>
      <c r="Q238" s="39" t="str">
        <f>IF(AND($M238=$O$7,$B238&lt;'111'!$N$11),"x","")</f>
        <v/>
      </c>
      <c r="R238" s="39" t="str">
        <f>IF(ISERROR(FIND('112'!$M$9,G238,1)),"",IF((AND(FIND('112'!$M$9,G238,1)&gt;=1,$B238&gt;='112'!$N$8,$B238&lt;='112'!$O$8,OR($L238='112'!$I$6,$M238='112'!$I$6))),"x",""))</f>
        <v/>
      </c>
      <c r="S238" s="39" t="str">
        <f>IF(ISERROR(FIND('112'!$M$9,G238,1)),"",IF((AND(LEFT(G238,2)=LEFT('112'!$M$9,2),B238&lt;'112'!$N$8,$L238='112'!$I$6)),"x",""))</f>
        <v/>
      </c>
      <c r="T238" s="39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39" t="str">
        <f>IF(OR(TH!L238=TH!$V$7,M238=TH!$V$7),"x","")</f>
        <v/>
      </c>
      <c r="W238" s="39" t="str">
        <f>IF(AND(B238&gt;='IN-NX'!$P$3,B238&lt;='IN-NX'!$Q$3,'IN-NX'!$D$7=D238,OR(LEFT(L238,2)="15",AND(LEFT(M238,2)&lt;&gt;"15",LEFT(M238,2)&lt;&gt;"33"))),"x","")</f>
        <v/>
      </c>
      <c r="X238" s="39" t="str">
        <f>IF(AND(OR(LEFT(TH!L238,2)="15",LEFT(TH!M238,2)="15"),'152-CT'!$J$8=TH!F238),"x","")</f>
        <v/>
      </c>
      <c r="Y238" s="39" t="str">
        <f>IF(AND(OR(LEFT(TH!L238,2)="15",LEFT(TH!M238,2)="15"),TK!$E$7=TH!F238),"x","")</f>
        <v/>
      </c>
      <c r="Z238" s="39" t="str">
        <f>IF(AND(B238&lt;=NKC!$N$8,B238&gt;=NKC!$M$8),"x","")</f>
        <v/>
      </c>
      <c r="AA238" s="894"/>
      <c r="AB238" s="598" t="e">
        <f t="shared" si="10"/>
        <v>#N/A</v>
      </c>
      <c r="AC238" s="598"/>
      <c r="AD238" s="598"/>
    </row>
    <row r="239" spans="1:30" ht="15.75" customHeight="1">
      <c r="A239" s="199" t="str">
        <f>IF(B239&lt;&gt;"",IF(AND(B239&gt;=_TM1,B239&lt;=_TM2,OR(TH!L239="1111",TH!M239="1111")),TH!D239,""),"")</f>
        <v/>
      </c>
      <c r="B239" s="36">
        <f t="shared" si="11"/>
        <v>1</v>
      </c>
      <c r="C239" s="190">
        <f t="shared" si="12"/>
        <v>0</v>
      </c>
      <c r="D239" s="190"/>
      <c r="E239" s="190"/>
      <c r="F239" s="191"/>
      <c r="G239" s="491"/>
      <c r="H239" s="204"/>
      <c r="I239" s="254"/>
      <c r="J239" s="254"/>
      <c r="K239" s="38"/>
      <c r="L239" s="193"/>
      <c r="M239" s="193"/>
      <c r="N239" s="39" t="str">
        <f>IF(AND('331-CT'!$E$7=TH!H239,OR(L239="331",M239="331")),"331",IF(AND(OR(L239="131",M239="131"),H239='131-CT'!$E$7),"131",""))</f>
        <v/>
      </c>
      <c r="O239" s="39" t="str">
        <f>IF(AND($B239&gt;='111'!$N$11,$B239&lt;='111'!$O$11,OR($L239=$O$7,$M239=$O$7)),"x","")</f>
        <v/>
      </c>
      <c r="P239" s="39" t="str">
        <f>IF(AND($L239=$O$7,$B239&lt;'111'!$N$11),"x","")</f>
        <v/>
      </c>
      <c r="Q239" s="39" t="str">
        <f>IF(AND($M239=$O$7,$B239&lt;'111'!$N$11),"x","")</f>
        <v/>
      </c>
      <c r="R239" s="39" t="str">
        <f>IF(ISERROR(FIND('112'!$M$9,G239,1)),"",IF((AND(FIND('112'!$M$9,G239,1)&gt;=1,$B239&gt;='112'!$N$8,$B239&lt;='112'!$O$8,OR($L239='112'!$I$6,$M239='112'!$I$6))),"x",""))</f>
        <v/>
      </c>
      <c r="S239" s="39" t="str">
        <f>IF(ISERROR(FIND('112'!$M$9,G239,1)),"",IF((AND(LEFT(G239,2)=LEFT('112'!$M$9,2),B239&lt;'112'!$N$8,$L239='112'!$I$6)),"x",""))</f>
        <v/>
      </c>
      <c r="T239" s="39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39" t="str">
        <f>IF(OR(TH!L239=TH!$V$7,M239=TH!$V$7),"x","")</f>
        <v/>
      </c>
      <c r="W239" s="39" t="str">
        <f>IF(AND(B239&gt;='IN-NX'!$P$3,B239&lt;='IN-NX'!$Q$3,'IN-NX'!$D$7=D239,OR(LEFT(L239,2)="15",AND(LEFT(M239,2)&lt;&gt;"15",LEFT(M239,2)&lt;&gt;"33"))),"x","")</f>
        <v/>
      </c>
      <c r="X239" s="39" t="str">
        <f>IF(AND(OR(LEFT(TH!L239,2)="15",LEFT(TH!M239,2)="15"),'152-CT'!$J$8=TH!F239),"x","")</f>
        <v/>
      </c>
      <c r="Y239" s="39" t="str">
        <f>IF(AND(OR(LEFT(TH!L239,2)="15",LEFT(TH!M239,2)="15"),TK!$E$7=TH!F239),"x","")</f>
        <v/>
      </c>
      <c r="Z239" s="39" t="str">
        <f>IF(AND(B239&lt;=NKC!$N$8,B239&gt;=NKC!$M$8),"x","")</f>
        <v/>
      </c>
      <c r="AA239" s="894"/>
      <c r="AB239" s="598" t="e">
        <f t="shared" si="10"/>
        <v>#N/A</v>
      </c>
    </row>
    <row r="240" spans="1:30" ht="15.75" customHeight="1">
      <c r="A240" s="199" t="str">
        <f>IF(B240&lt;&gt;"",IF(AND(B240&gt;=_TM1,B240&lt;=_TM2,OR(TH!L240="1111",TH!M240="1111")),TH!D240,""),"")</f>
        <v/>
      </c>
      <c r="B240" s="36">
        <f t="shared" si="11"/>
        <v>1</v>
      </c>
      <c r="C240" s="190">
        <f t="shared" si="12"/>
        <v>0</v>
      </c>
      <c r="D240" s="190"/>
      <c r="E240" s="190"/>
      <c r="F240" s="191"/>
      <c r="G240" s="491"/>
      <c r="H240" s="204"/>
      <c r="I240" s="254"/>
      <c r="J240" s="254"/>
      <c r="K240" s="38"/>
      <c r="L240" s="193"/>
      <c r="M240" s="193"/>
      <c r="N240" s="39" t="str">
        <f>IF(AND('331-CT'!$E$7=TH!H240,OR(L240="331",M240="331")),"331",IF(AND(OR(L240="131",M240="131"),H240='131-CT'!$E$7),"131",""))</f>
        <v/>
      </c>
      <c r="O240" s="39" t="str">
        <f>IF(AND($B240&gt;='111'!$N$11,$B240&lt;='111'!$O$11,OR($L240=$O$7,$M240=$O$7)),"x","")</f>
        <v/>
      </c>
      <c r="P240" s="39" t="str">
        <f>IF(AND($L240=$O$7,$B240&lt;'111'!$N$11),"x","")</f>
        <v/>
      </c>
      <c r="Q240" s="39" t="str">
        <f>IF(AND($M240=$O$7,$B240&lt;'111'!$N$11),"x","")</f>
        <v/>
      </c>
      <c r="R240" s="39" t="str">
        <f>IF(ISERROR(FIND('112'!$M$9,G240,1)),"",IF((AND(FIND('112'!$M$9,G240,1)&gt;=1,$B240&gt;='112'!$N$8,$B240&lt;='112'!$O$8,OR($L240='112'!$I$6,$M240='112'!$I$6))),"x",""))</f>
        <v/>
      </c>
      <c r="S240" s="39" t="str">
        <f>IF(ISERROR(FIND('112'!$M$9,G240,1)),"",IF((AND(LEFT(G240,2)=LEFT('112'!$M$9,2),B240&lt;'112'!$N$8,$L240='112'!$I$6)),"x",""))</f>
        <v/>
      </c>
      <c r="T240" s="39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39" t="str">
        <f>IF(OR(TH!L240=TH!$V$7,M240=TH!$V$7),"x","")</f>
        <v/>
      </c>
      <c r="W240" s="39" t="str">
        <f>IF(AND(B240&gt;='IN-NX'!$P$3,B240&lt;='IN-NX'!$Q$3,'IN-NX'!$D$7=D240,OR(LEFT(L240,2)="15",AND(LEFT(M240,2)&lt;&gt;"15",LEFT(M240,2)&lt;&gt;"33"))),"x","")</f>
        <v/>
      </c>
      <c r="X240" s="39" t="str">
        <f>IF(AND(OR(LEFT(TH!L240,2)="15",LEFT(TH!M240,2)="15"),'152-CT'!$J$8=TH!F240),"x","")</f>
        <v/>
      </c>
      <c r="Y240" s="39" t="str">
        <f>IF(AND(OR(LEFT(TH!L240,2)="15",LEFT(TH!M240,2)="15"),TK!$E$7=TH!F240),"x","")</f>
        <v/>
      </c>
      <c r="Z240" s="39" t="str">
        <f>IF(AND(B240&lt;=NKC!$N$8,B240&gt;=NKC!$M$8),"x","")</f>
        <v/>
      </c>
      <c r="AA240" s="894"/>
      <c r="AB240" s="598" t="e">
        <f t="shared" si="10"/>
        <v>#N/A</v>
      </c>
    </row>
    <row r="241" spans="1:28" ht="15.75" customHeight="1">
      <c r="A241" s="199" t="str">
        <f>IF(B241&lt;&gt;"",IF(AND(B241&gt;=_TM1,B241&lt;=_TM2,OR(TH!L241="1111",TH!M241="1111")),TH!D241,""),"")</f>
        <v/>
      </c>
      <c r="B241" s="36">
        <f t="shared" si="11"/>
        <v>1</v>
      </c>
      <c r="C241" s="190">
        <f t="shared" si="12"/>
        <v>0</v>
      </c>
      <c r="D241" s="190"/>
      <c r="E241" s="190"/>
      <c r="F241" s="191"/>
      <c r="G241" s="491"/>
      <c r="H241" s="204"/>
      <c r="I241" s="254"/>
      <c r="J241" s="254"/>
      <c r="K241" s="38"/>
      <c r="L241" s="193"/>
      <c r="M241" s="193"/>
      <c r="N241" s="39" t="str">
        <f>IF(AND('331-CT'!$E$7=TH!H241,OR(L241="331",M241="331")),"331",IF(AND(OR(L241="131",M241="131"),H241='131-CT'!$E$7),"131",""))</f>
        <v/>
      </c>
      <c r="O241" s="39" t="str">
        <f>IF(AND($B241&gt;='111'!$N$11,$B241&lt;='111'!$O$11,OR($L241=$O$7,$M241=$O$7)),"x","")</f>
        <v/>
      </c>
      <c r="P241" s="39" t="str">
        <f>IF(AND($L241=$O$7,$B241&lt;'111'!$N$11),"x","")</f>
        <v/>
      </c>
      <c r="Q241" s="39" t="str">
        <f>IF(AND($M241=$O$7,$B241&lt;'111'!$N$11),"x","")</f>
        <v/>
      </c>
      <c r="R241" s="39" t="str">
        <f>IF(ISERROR(FIND('112'!$M$9,G241,1)),"",IF((AND(FIND('112'!$M$9,G241,1)&gt;=1,$B241&gt;='112'!$N$8,$B241&lt;='112'!$O$8,OR($L241='112'!$I$6,$M241='112'!$I$6))),"x",""))</f>
        <v/>
      </c>
      <c r="S241" s="39" t="str">
        <f>IF(ISERROR(FIND('112'!$M$9,G241,1)),"",IF((AND(LEFT(G241,2)=LEFT('112'!$M$9,2),B241&lt;'112'!$N$8,$L241='112'!$I$6)),"x",""))</f>
        <v/>
      </c>
      <c r="T241" s="39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39" t="str">
        <f>IF(OR(TH!L241=TH!$V$7,M241=TH!$V$7),"x","")</f>
        <v/>
      </c>
      <c r="W241" s="39" t="str">
        <f>IF(AND(B241&gt;='IN-NX'!$P$3,B241&lt;='IN-NX'!$Q$3,'IN-NX'!$D$7=D241,OR(LEFT(L241,2)="15",AND(LEFT(M241,2)&lt;&gt;"15",LEFT(M241,2)&lt;&gt;"33"))),"x","")</f>
        <v/>
      </c>
      <c r="X241" s="39" t="str">
        <f>IF(AND(OR(LEFT(TH!L241,2)="15",LEFT(TH!M241,2)="15"),'152-CT'!$J$8=TH!F241),"x","")</f>
        <v/>
      </c>
      <c r="Y241" s="39" t="str">
        <f>IF(AND(OR(LEFT(TH!L241,2)="15",LEFT(TH!M241,2)="15"),TK!$E$7=TH!F241),"x","")</f>
        <v/>
      </c>
      <c r="Z241" s="39" t="str">
        <f>IF(AND(B241&lt;=NKC!$N$8,B241&gt;=NKC!$M$8),"x","")</f>
        <v/>
      </c>
      <c r="AA241" s="894"/>
      <c r="AB241" s="598" t="e">
        <f t="shared" si="10"/>
        <v>#N/A</v>
      </c>
    </row>
    <row r="242" spans="1:28" ht="15.75" customHeight="1">
      <c r="A242" s="199" t="str">
        <f>IF(B242&lt;&gt;"",IF(AND(B242&gt;=_TM1,B242&lt;=_TM2,OR(TH!L242="1111",TH!M242="1111")),TH!D242,""),"")</f>
        <v/>
      </c>
      <c r="B242" s="36">
        <f t="shared" si="11"/>
        <v>1</v>
      </c>
      <c r="C242" s="190">
        <f t="shared" si="12"/>
        <v>0</v>
      </c>
      <c r="D242" s="190"/>
      <c r="E242" s="190"/>
      <c r="F242" s="191"/>
      <c r="G242" s="191"/>
      <c r="H242" s="890"/>
      <c r="I242" s="253"/>
      <c r="J242" s="253"/>
      <c r="K242" s="38"/>
      <c r="L242" s="193"/>
      <c r="M242" s="193"/>
      <c r="N242" s="39" t="str">
        <f>IF(AND('331-CT'!$E$7=TH!H242,OR(L242="331",M242="331")),"331",IF(AND(OR(L242="131",M242="131"),H242='131-CT'!$E$7),"131",""))</f>
        <v/>
      </c>
      <c r="O242" s="39" t="str">
        <f>IF(AND($B242&gt;='111'!$N$11,$B242&lt;='111'!$O$11,OR($L242=$O$7,$M242=$O$7)),"x","")</f>
        <v/>
      </c>
      <c r="P242" s="39" t="str">
        <f>IF(AND($L242=$O$7,$B242&lt;'111'!$N$11),"x","")</f>
        <v/>
      </c>
      <c r="Q242" s="39" t="str">
        <f>IF(AND($M242=$O$7,$B242&lt;'111'!$N$11),"x","")</f>
        <v/>
      </c>
      <c r="R242" s="39" t="str">
        <f>IF(ISERROR(FIND('112'!$M$9,G242,1)),"",IF((AND(FIND('112'!$M$9,G242,1)&gt;=1,$B242&gt;='112'!$N$8,$B242&lt;='112'!$O$8,OR($L242='112'!$I$6,$M242='112'!$I$6))),"x",""))</f>
        <v/>
      </c>
      <c r="S242" s="39" t="str">
        <f>IF(ISERROR(FIND('112'!$M$9,G242,1)),"",IF((AND(LEFT(G242,2)=LEFT('112'!$M$9,2),B242&lt;'112'!$N$8,$L242='112'!$I$6)),"x",""))</f>
        <v/>
      </c>
      <c r="T242" s="39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39" t="str">
        <f>IF(OR(TH!L242=TH!$V$7,M242=TH!$V$7),"x","")</f>
        <v/>
      </c>
      <c r="W242" s="39" t="str">
        <f>IF(AND(B242&gt;='IN-NX'!$P$3,B242&lt;='IN-NX'!$Q$3,'IN-NX'!$D$7=D242,OR(LEFT(L242,2)="15",AND(LEFT(M242,2)&lt;&gt;"15",LEFT(M242,2)&lt;&gt;"33"))),"x","")</f>
        <v/>
      </c>
      <c r="X242" s="39" t="str">
        <f>IF(AND(OR(LEFT(TH!L242,2)="15",LEFT(TH!M242,2)="15"),'152-CT'!$J$8=TH!F242),"x","")</f>
        <v/>
      </c>
      <c r="Y242" s="39" t="str">
        <f>IF(AND(OR(LEFT(TH!L242,2)="15",LEFT(TH!M242,2)="15"),TK!$E$7=TH!F242),"x","")</f>
        <v/>
      </c>
      <c r="Z242" s="39" t="str">
        <f>IF(AND(B242&lt;=NKC!$N$8,B242&gt;=NKC!$M$8),"x","")</f>
        <v/>
      </c>
      <c r="AA242" s="894"/>
      <c r="AB242" s="598" t="e">
        <f t="shared" si="10"/>
        <v>#N/A</v>
      </c>
    </row>
    <row r="243" spans="1:28" ht="15.75" customHeight="1">
      <c r="A243" s="199" t="str">
        <f>IF(B243&lt;&gt;"",IF(AND(B243&gt;=_TM1,B243&lt;=_TM2,OR(TH!L243="1111",TH!M243="1111")),TH!D243,""),"")</f>
        <v/>
      </c>
      <c r="B243" s="36">
        <f t="shared" si="11"/>
        <v>1</v>
      </c>
      <c r="C243" s="190">
        <f t="shared" si="12"/>
        <v>0</v>
      </c>
      <c r="D243" s="190"/>
      <c r="E243" s="190"/>
      <c r="F243" s="191"/>
      <c r="G243" s="491"/>
      <c r="H243" s="192"/>
      <c r="I243" s="253"/>
      <c r="J243" s="253"/>
      <c r="K243" s="38"/>
      <c r="L243" s="193"/>
      <c r="M243" s="193"/>
      <c r="N243" s="39" t="str">
        <f>IF(AND('331-CT'!$E$7=TH!H243,OR(L243="331",M243="331")),"331",IF(AND(OR(L243="131",M243="131"),H243='131-CT'!$E$7),"131",""))</f>
        <v/>
      </c>
      <c r="O243" s="39" t="str">
        <f>IF(AND($B243&gt;='111'!$N$11,$B243&lt;='111'!$O$11,OR($L243=$O$7,$M243=$O$7)),"x","")</f>
        <v/>
      </c>
      <c r="P243" s="39" t="str">
        <f>IF(AND($L243=$O$7,$B243&lt;'111'!$N$11),"x","")</f>
        <v/>
      </c>
      <c r="Q243" s="39" t="str">
        <f>IF(AND($M243=$O$7,$B243&lt;'111'!$N$11),"x","")</f>
        <v/>
      </c>
      <c r="R243" s="39" t="str">
        <f>IF(ISERROR(FIND('112'!$M$9,G243,1)),"",IF((AND(FIND('112'!$M$9,G243,1)&gt;=1,$B243&gt;='112'!$N$8,$B243&lt;='112'!$O$8,OR($L243='112'!$I$6,$M243='112'!$I$6))),"x",""))</f>
        <v/>
      </c>
      <c r="S243" s="39" t="str">
        <f>IF(ISERROR(FIND('112'!$M$9,G243,1)),"",IF((AND(LEFT(G243,2)=LEFT('112'!$M$9,2),B243&lt;'112'!$N$8,$L243='112'!$I$6)),"x",""))</f>
        <v/>
      </c>
      <c r="T243" s="39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39" t="str">
        <f>IF(OR(TH!L243=TH!$V$7,M243=TH!$V$7),"x","")</f>
        <v/>
      </c>
      <c r="W243" s="39" t="str">
        <f>IF(AND(B243&gt;='IN-NX'!$P$3,B243&lt;='IN-NX'!$Q$3,'IN-NX'!$D$7=D243,OR(LEFT(L243,2)="15",AND(LEFT(M243,2)&lt;&gt;"15",LEFT(M243,2)&lt;&gt;"33"))),"x","")</f>
        <v/>
      </c>
      <c r="X243" s="39" t="str">
        <f>IF(AND(OR(LEFT(TH!L243,2)="15",LEFT(TH!M243,2)="15"),'152-CT'!$J$8=TH!F243),"x","")</f>
        <v/>
      </c>
      <c r="Y243" s="39" t="str">
        <f>IF(AND(OR(LEFT(TH!L243,2)="15",LEFT(TH!M243,2)="15"),TK!$E$7=TH!F243),"x","")</f>
        <v/>
      </c>
      <c r="Z243" s="39" t="str">
        <f>IF(AND(B243&lt;=NKC!$N$8,B243&gt;=NKC!$M$8),"x","")</f>
        <v/>
      </c>
      <c r="AA243" s="894"/>
      <c r="AB243" s="598" t="e">
        <f t="shared" si="10"/>
        <v>#N/A</v>
      </c>
    </row>
    <row r="244" spans="1:28" ht="15.75" customHeight="1">
      <c r="A244" s="199" t="str">
        <f>IF(B244&lt;&gt;"",IF(AND(B244&gt;=_TM1,B244&lt;=_TM2,OR(TH!L244="1111",TH!M244="1111")),TH!D244,""),"")</f>
        <v/>
      </c>
      <c r="B244" s="36">
        <f t="shared" si="11"/>
        <v>1</v>
      </c>
      <c r="C244" s="190">
        <f t="shared" si="12"/>
        <v>0</v>
      </c>
      <c r="D244" s="190"/>
      <c r="E244" s="190"/>
      <c r="F244" s="191"/>
      <c r="G244" s="491"/>
      <c r="H244" s="192"/>
      <c r="I244" s="253"/>
      <c r="J244" s="253"/>
      <c r="K244" s="38"/>
      <c r="L244" s="193"/>
      <c r="M244" s="193"/>
      <c r="N244" s="39" t="str">
        <f>IF(AND('331-CT'!$E$7=TH!H244,OR(L244="331",M244="331")),"331",IF(AND(OR(L244="131",M244="131"),H244='131-CT'!$E$7),"131",""))</f>
        <v/>
      </c>
      <c r="O244" s="39" t="str">
        <f>IF(AND($B244&gt;='111'!$N$11,$B244&lt;='111'!$O$11,OR($L244=$O$7,$M244=$O$7)),"x","")</f>
        <v/>
      </c>
      <c r="P244" s="39" t="str">
        <f>IF(AND($L244=$O$7,$B244&lt;'111'!$N$11),"x","")</f>
        <v/>
      </c>
      <c r="Q244" s="39" t="str">
        <f>IF(AND($M244=$O$7,$B244&lt;'111'!$N$11),"x","")</f>
        <v/>
      </c>
      <c r="R244" s="39" t="str">
        <f>IF(ISERROR(FIND('112'!$M$9,G244,1)),"",IF((AND(FIND('112'!$M$9,G244,1)&gt;=1,$B244&gt;='112'!$N$8,$B244&lt;='112'!$O$8,OR($L244='112'!$I$6,$M244='112'!$I$6))),"x",""))</f>
        <v/>
      </c>
      <c r="S244" s="39" t="str">
        <f>IF(ISERROR(FIND('112'!$M$9,G244,1)),"",IF((AND(LEFT(G244,2)=LEFT('112'!$M$9,2),B244&lt;'112'!$N$8,$L244='112'!$I$6)),"x",""))</f>
        <v/>
      </c>
      <c r="T244" s="39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39" t="str">
        <f>IF(OR(TH!L244=TH!$V$7,M244=TH!$V$7),"x","")</f>
        <v/>
      </c>
      <c r="W244" s="39" t="str">
        <f>IF(AND(B244&gt;='IN-NX'!$P$3,B244&lt;='IN-NX'!$Q$3,'IN-NX'!$D$7=D244,OR(LEFT(L244,2)="15",AND(LEFT(M244,2)&lt;&gt;"15",LEFT(M244,2)&lt;&gt;"33"))),"x","")</f>
        <v/>
      </c>
      <c r="X244" s="39" t="str">
        <f>IF(AND(OR(LEFT(TH!L244,2)="15",LEFT(TH!M244,2)="15"),'152-CT'!$J$8=TH!F244),"x","")</f>
        <v/>
      </c>
      <c r="Y244" s="39" t="str">
        <f>IF(AND(OR(LEFT(TH!L244,2)="15",LEFT(TH!M244,2)="15"),TK!$E$7=TH!F244),"x","")</f>
        <v/>
      </c>
      <c r="Z244" s="39" t="str">
        <f>IF(AND(B244&lt;=NKC!$N$8,B244&gt;=NKC!$M$8),"x","")</f>
        <v/>
      </c>
      <c r="AA244" s="894"/>
      <c r="AB244" s="598" t="e">
        <f t="shared" si="10"/>
        <v>#N/A</v>
      </c>
    </row>
    <row r="245" spans="1:28" ht="15.75" customHeight="1">
      <c r="A245" s="199" t="str">
        <f>IF(B245&lt;&gt;"",IF(AND(B245&gt;=_TM1,B245&lt;=_TM2,OR(TH!L245="1111",TH!M245="1111")),TH!D245,""),"")</f>
        <v/>
      </c>
      <c r="B245" s="36">
        <f t="shared" si="11"/>
        <v>1</v>
      </c>
      <c r="C245" s="190">
        <f t="shared" si="12"/>
        <v>0</v>
      </c>
      <c r="D245" s="190"/>
      <c r="E245" s="190"/>
      <c r="F245" s="191"/>
      <c r="G245" s="491"/>
      <c r="H245" s="192"/>
      <c r="I245" s="253"/>
      <c r="J245" s="253"/>
      <c r="K245" s="38"/>
      <c r="L245" s="193"/>
      <c r="M245" s="193"/>
      <c r="N245" s="39" t="str">
        <f>IF(AND('331-CT'!$E$7=TH!H245,OR(L245="331",M245="331")),"331",IF(AND(OR(L245="131",M245="131"),H245='131-CT'!$E$7),"131",""))</f>
        <v/>
      </c>
      <c r="O245" s="39" t="str">
        <f>IF(AND($B245&gt;='111'!$N$11,$B245&lt;='111'!$O$11,OR($L245=$O$7,$M245=$O$7)),"x","")</f>
        <v/>
      </c>
      <c r="P245" s="39" t="str">
        <f>IF(AND($L245=$O$7,$B245&lt;'111'!$N$11),"x","")</f>
        <v/>
      </c>
      <c r="Q245" s="39" t="str">
        <f>IF(AND($M245=$O$7,$B245&lt;'111'!$N$11),"x","")</f>
        <v/>
      </c>
      <c r="R245" s="39" t="str">
        <f>IF(ISERROR(FIND('112'!$M$9,G245,1)),"",IF((AND(FIND('112'!$M$9,G245,1)&gt;=1,$B245&gt;='112'!$N$8,$B245&lt;='112'!$O$8,OR($L245='112'!$I$6,$M245='112'!$I$6))),"x",""))</f>
        <v/>
      </c>
      <c r="S245" s="39" t="str">
        <f>IF(ISERROR(FIND('112'!$M$9,G245,1)),"",IF((AND(LEFT(G245,2)=LEFT('112'!$M$9,2),B245&lt;'112'!$N$8,$L245='112'!$I$6)),"x",""))</f>
        <v/>
      </c>
      <c r="T245" s="39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39" t="str">
        <f>IF(OR(TH!L245=TH!$V$7,M245=TH!$V$7),"x","")</f>
        <v/>
      </c>
      <c r="W245" s="39" t="str">
        <f>IF(AND(B245&gt;='IN-NX'!$P$3,B245&lt;='IN-NX'!$Q$3,'IN-NX'!$D$7=D245,OR(LEFT(L245,2)="15",AND(LEFT(M245,2)&lt;&gt;"15",LEFT(M245,2)&lt;&gt;"33"))),"x","")</f>
        <v/>
      </c>
      <c r="X245" s="39" t="str">
        <f>IF(AND(OR(LEFT(TH!L245,2)="15",LEFT(TH!M245,2)="15"),'152-CT'!$J$8=TH!F245),"x","")</f>
        <v/>
      </c>
      <c r="Y245" s="39" t="str">
        <f>IF(AND(OR(LEFT(TH!L245,2)="15",LEFT(TH!M245,2)="15"),TK!$E$7=TH!F245),"x","")</f>
        <v/>
      </c>
      <c r="Z245" s="39" t="str">
        <f>IF(AND(B245&lt;=NKC!$N$8,B245&gt;=NKC!$M$8),"x","")</f>
        <v/>
      </c>
      <c r="AA245" s="894"/>
      <c r="AB245" s="598" t="e">
        <f t="shared" si="10"/>
        <v>#N/A</v>
      </c>
    </row>
    <row r="246" spans="1:28" ht="15.75" customHeight="1">
      <c r="A246" s="199" t="str">
        <f>IF(B246&lt;&gt;"",IF(AND(B246&gt;=_TM1,B246&lt;=_TM2,OR(TH!L246="1111",TH!M246="1111")),TH!D246,""),"")</f>
        <v/>
      </c>
      <c r="B246" s="36">
        <f t="shared" si="11"/>
        <v>1</v>
      </c>
      <c r="C246" s="190">
        <f t="shared" si="12"/>
        <v>0</v>
      </c>
      <c r="D246" s="190"/>
      <c r="E246" s="190"/>
      <c r="F246" s="191"/>
      <c r="G246" s="491"/>
      <c r="H246" s="192"/>
      <c r="I246" s="253"/>
      <c r="J246" s="253"/>
      <c r="K246" s="38"/>
      <c r="L246" s="193"/>
      <c r="M246" s="193"/>
      <c r="N246" s="39" t="str">
        <f>IF(AND('331-CT'!$E$7=TH!H246,OR(L246="331",M246="331")),"331",IF(AND(OR(L246="131",M246="131"),H246='131-CT'!$E$7),"131",""))</f>
        <v/>
      </c>
      <c r="O246" s="39" t="str">
        <f>IF(AND($B246&gt;='111'!$N$11,$B246&lt;='111'!$O$11,OR($L246=$O$7,$M246=$O$7)),"x","")</f>
        <v/>
      </c>
      <c r="P246" s="39" t="str">
        <f>IF(AND($L246=$O$7,$B246&lt;'111'!$N$11),"x","")</f>
        <v/>
      </c>
      <c r="Q246" s="39" t="str">
        <f>IF(AND($M246=$O$7,$B246&lt;'111'!$N$11),"x","")</f>
        <v/>
      </c>
      <c r="R246" s="39" t="str">
        <f>IF(ISERROR(FIND('112'!$M$9,G246,1)),"",IF((AND(FIND('112'!$M$9,G246,1)&gt;=1,$B246&gt;='112'!$N$8,$B246&lt;='112'!$O$8,OR($L246='112'!$I$6,$M246='112'!$I$6))),"x",""))</f>
        <v/>
      </c>
      <c r="S246" s="39" t="str">
        <f>IF(ISERROR(FIND('112'!$M$9,G246,1)),"",IF((AND(LEFT(G246,2)=LEFT('112'!$M$9,2),B246&lt;'112'!$N$8,$L246='112'!$I$6)),"x",""))</f>
        <v/>
      </c>
      <c r="T246" s="39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39" t="str">
        <f>IF(OR(TH!L246=TH!$V$7,M246=TH!$V$7),"x","")</f>
        <v/>
      </c>
      <c r="W246" s="39" t="str">
        <f>IF(AND(B246&gt;='IN-NX'!$P$3,B246&lt;='IN-NX'!$Q$3,'IN-NX'!$D$7=D246,OR(LEFT(L246,2)="15",AND(LEFT(M246,2)&lt;&gt;"15",LEFT(M246,2)&lt;&gt;"33"))),"x","")</f>
        <v/>
      </c>
      <c r="X246" s="39" t="str">
        <f>IF(AND(OR(LEFT(TH!L246,2)="15",LEFT(TH!M246,2)="15"),'152-CT'!$J$8=TH!F246),"x","")</f>
        <v/>
      </c>
      <c r="Y246" s="39" t="str">
        <f>IF(AND(OR(LEFT(TH!L246,2)="15",LEFT(TH!M246,2)="15"),TK!$E$7=TH!F246),"x","")</f>
        <v/>
      </c>
      <c r="Z246" s="39" t="str">
        <f>IF(AND(B246&lt;=NKC!$N$8,B246&gt;=NKC!$M$8),"x","")</f>
        <v/>
      </c>
      <c r="AA246" s="894"/>
      <c r="AB246" s="598" t="e">
        <f t="shared" si="10"/>
        <v>#N/A</v>
      </c>
    </row>
    <row r="247" spans="1:28" ht="15.75" customHeight="1">
      <c r="A247" s="199" t="str">
        <f>IF(B247&lt;&gt;"",IF(AND(B247&gt;=_TM1,B247&lt;=_TM2,OR(TH!L247="1111",TH!M247="1111")),TH!D247,""),"")</f>
        <v/>
      </c>
      <c r="B247" s="36">
        <f t="shared" si="11"/>
        <v>1</v>
      </c>
      <c r="C247" s="190">
        <f t="shared" si="12"/>
        <v>0</v>
      </c>
      <c r="D247" s="190"/>
      <c r="E247" s="190"/>
      <c r="F247" s="191"/>
      <c r="G247" s="191"/>
      <c r="H247" s="890"/>
      <c r="I247" s="253"/>
      <c r="J247" s="253"/>
      <c r="K247" s="38"/>
      <c r="L247" s="193"/>
      <c r="M247" s="193"/>
      <c r="N247" s="39" t="str">
        <f>IF(AND('331-CT'!$E$7=TH!H247,OR(L247="331",M247="331")),"331",IF(AND(OR(L247="131",M247="131"),H247='131-CT'!$E$7),"131",""))</f>
        <v/>
      </c>
      <c r="O247" s="39" t="str">
        <f>IF(AND($B247&gt;='111'!$N$11,$B247&lt;='111'!$O$11,OR($L247=$O$7,$M247=$O$7)),"x","")</f>
        <v/>
      </c>
      <c r="P247" s="39" t="str">
        <f>IF(AND($L247=$O$7,$B247&lt;'111'!$N$11),"x","")</f>
        <v/>
      </c>
      <c r="Q247" s="39" t="str">
        <f>IF(AND($M247=$O$7,$B247&lt;'111'!$N$11),"x","")</f>
        <v/>
      </c>
      <c r="R247" s="39" t="str">
        <f>IF(ISERROR(FIND('112'!$M$9,G247,1)),"",IF((AND(FIND('112'!$M$9,G247,1)&gt;=1,$B247&gt;='112'!$N$8,$B247&lt;='112'!$O$8,OR($L247='112'!$I$6,$M247='112'!$I$6))),"x",""))</f>
        <v/>
      </c>
      <c r="S247" s="39" t="str">
        <f>IF(ISERROR(FIND('112'!$M$9,G247,1)),"",IF((AND(LEFT(G247,2)=LEFT('112'!$M$9,2),B247&lt;'112'!$N$8,$L247='112'!$I$6)),"x",""))</f>
        <v/>
      </c>
      <c r="T247" s="39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39" t="str">
        <f>IF(OR(TH!L247=TH!$V$7,M247=TH!$V$7),"x","")</f>
        <v/>
      </c>
      <c r="W247" s="39" t="str">
        <f>IF(AND(B247&gt;='IN-NX'!$P$3,B247&lt;='IN-NX'!$Q$3,'IN-NX'!$D$7=D247,OR(LEFT(L247,2)="15",AND(LEFT(M247,2)&lt;&gt;"15",LEFT(M247,2)&lt;&gt;"33"))),"x","")</f>
        <v/>
      </c>
      <c r="X247" s="39" t="str">
        <f>IF(AND(OR(LEFT(TH!L247,2)="15",LEFT(TH!M247,2)="15"),'152-CT'!$J$8=TH!F247),"x","")</f>
        <v/>
      </c>
      <c r="Y247" s="39" t="str">
        <f>IF(AND(OR(LEFT(TH!L247,2)="15",LEFT(TH!M247,2)="15"),TK!$E$7=TH!F247),"x","")</f>
        <v/>
      </c>
      <c r="Z247" s="39" t="str">
        <f>IF(AND(B247&lt;=NKC!$N$8,B247&gt;=NKC!$M$8),"x","")</f>
        <v/>
      </c>
      <c r="AA247" s="894"/>
      <c r="AB247" s="598" t="e">
        <f t="shared" si="10"/>
        <v>#N/A</v>
      </c>
    </row>
    <row r="248" spans="1:28" ht="15.75" customHeight="1">
      <c r="A248" s="199" t="str">
        <f>IF(B248&lt;&gt;"",IF(AND(B248&gt;=_TM1,B248&lt;=_TM2,OR(TH!L248="1111",TH!M248="1111")),TH!D248,""),"")</f>
        <v/>
      </c>
      <c r="B248" s="36">
        <f t="shared" si="11"/>
        <v>1</v>
      </c>
      <c r="C248" s="190">
        <f t="shared" si="12"/>
        <v>0</v>
      </c>
      <c r="D248" s="190"/>
      <c r="E248" s="190"/>
      <c r="F248" s="191"/>
      <c r="G248" s="491"/>
      <c r="H248" s="192"/>
      <c r="I248" s="253"/>
      <c r="J248" s="253"/>
      <c r="K248" s="38"/>
      <c r="L248" s="193"/>
      <c r="M248" s="193"/>
      <c r="N248" s="39" t="str">
        <f>IF(AND('331-CT'!$E$7=TH!H248,OR(L248="331",M248="331")),"331",IF(AND(OR(L248="131",M248="131"),H248='131-CT'!$E$7),"131",""))</f>
        <v/>
      </c>
      <c r="O248" s="39" t="str">
        <f>IF(AND($B248&gt;='111'!$N$11,$B248&lt;='111'!$O$11,OR($L248=$O$7,$M248=$O$7)),"x","")</f>
        <v/>
      </c>
      <c r="P248" s="39" t="str">
        <f>IF(AND($L248=$O$7,$B248&lt;'111'!$N$11),"x","")</f>
        <v/>
      </c>
      <c r="Q248" s="39" t="str">
        <f>IF(AND($M248=$O$7,$B248&lt;'111'!$N$11),"x","")</f>
        <v/>
      </c>
      <c r="R248" s="39" t="str">
        <f>IF(ISERROR(FIND('112'!$M$9,G248,1)),"",IF((AND(FIND('112'!$M$9,G248,1)&gt;=1,$B248&gt;='112'!$N$8,$B248&lt;='112'!$O$8,OR($L248='112'!$I$6,$M248='112'!$I$6))),"x",""))</f>
        <v/>
      </c>
      <c r="S248" s="39" t="str">
        <f>IF(ISERROR(FIND('112'!$M$9,G248,1)),"",IF((AND(LEFT(G248,2)=LEFT('112'!$M$9,2),B248&lt;'112'!$N$8,$L248='112'!$I$6)),"x",""))</f>
        <v/>
      </c>
      <c r="T248" s="39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39" t="str">
        <f>IF(OR(TH!L248=TH!$V$7,M248=TH!$V$7),"x","")</f>
        <v/>
      </c>
      <c r="W248" s="39" t="str">
        <f>IF(AND(B248&gt;='IN-NX'!$P$3,B248&lt;='IN-NX'!$Q$3,'IN-NX'!$D$7=D248,OR(LEFT(L248,2)="15",AND(LEFT(M248,2)&lt;&gt;"15",LEFT(M248,2)&lt;&gt;"33"))),"x","")</f>
        <v/>
      </c>
      <c r="X248" s="39" t="str">
        <f>IF(AND(OR(LEFT(TH!L248,2)="15",LEFT(TH!M248,2)="15"),'152-CT'!$J$8=TH!F248),"x","")</f>
        <v/>
      </c>
      <c r="Y248" s="39" t="str">
        <f>IF(AND(OR(LEFT(TH!L248,2)="15",LEFT(TH!M248,2)="15"),TK!$E$7=TH!F248),"x","")</f>
        <v/>
      </c>
      <c r="Z248" s="39" t="str">
        <f>IF(AND(B248&lt;=NKC!$N$8,B248&gt;=NKC!$M$8),"x","")</f>
        <v/>
      </c>
      <c r="AA248" s="894"/>
      <c r="AB248" s="598" t="e">
        <f t="shared" si="10"/>
        <v>#N/A</v>
      </c>
    </row>
    <row r="249" spans="1:28" ht="15.75" customHeight="1">
      <c r="A249" s="199" t="str">
        <f>IF(B249&lt;&gt;"",IF(AND(B249&gt;=_TM1,B249&lt;=_TM2,OR(TH!L249="1111",TH!M249="1111")),TH!D249,""),"")</f>
        <v/>
      </c>
      <c r="B249" s="36">
        <f t="shared" si="11"/>
        <v>1</v>
      </c>
      <c r="C249" s="190">
        <f t="shared" si="12"/>
        <v>0</v>
      </c>
      <c r="D249" s="190"/>
      <c r="E249" s="190"/>
      <c r="F249" s="191"/>
      <c r="G249" s="191"/>
      <c r="H249" s="192"/>
      <c r="I249" s="253"/>
      <c r="J249" s="253"/>
      <c r="K249" s="38"/>
      <c r="L249" s="193"/>
      <c r="M249" s="193"/>
      <c r="N249" s="39" t="str">
        <f>IF(AND('331-CT'!$E$7=TH!H249,OR(L249="331",M249="331")),"331",IF(AND(OR(L249="131",M249="131"),H249='131-CT'!$E$7),"131",""))</f>
        <v/>
      </c>
      <c r="O249" s="39" t="str">
        <f>IF(AND($B249&gt;='111'!$N$11,$B249&lt;='111'!$O$11,OR($L249=$O$7,$M249=$O$7)),"x","")</f>
        <v/>
      </c>
      <c r="P249" s="39" t="str">
        <f>IF(AND($L249=$O$7,$B249&lt;'111'!$N$11),"x","")</f>
        <v/>
      </c>
      <c r="Q249" s="39" t="str">
        <f>IF(AND($M249=$O$7,$B249&lt;'111'!$N$11),"x","")</f>
        <v/>
      </c>
      <c r="R249" s="39" t="str">
        <f>IF(ISERROR(FIND('112'!$M$9,G249,1)),"",IF((AND(FIND('112'!$M$9,G249,1)&gt;=1,$B249&gt;='112'!$N$8,$B249&lt;='112'!$O$8,OR($L249='112'!$I$6,$M249='112'!$I$6))),"x",""))</f>
        <v/>
      </c>
      <c r="S249" s="39" t="str">
        <f>IF(ISERROR(FIND('112'!$M$9,G249,1)),"",IF((AND(LEFT(G249,2)=LEFT('112'!$M$9,2),B249&lt;'112'!$N$8,$L249='112'!$I$6)),"x",""))</f>
        <v/>
      </c>
      <c r="T249" s="39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39" t="str">
        <f>IF(OR(TH!L249=TH!$V$7,M249=TH!$V$7),"x","")</f>
        <v/>
      </c>
      <c r="W249" s="39" t="str">
        <f>IF(AND(B249&gt;='IN-NX'!$P$3,B249&lt;='IN-NX'!$Q$3,'IN-NX'!$D$7=D249,OR(LEFT(L249,2)="15",AND(LEFT(M249,2)&lt;&gt;"15",LEFT(M249,2)&lt;&gt;"33"))),"x","")</f>
        <v/>
      </c>
      <c r="X249" s="39" t="str">
        <f>IF(AND(OR(LEFT(TH!L249,2)="15",LEFT(TH!M249,2)="15"),'152-CT'!$J$8=TH!F249),"x","")</f>
        <v/>
      </c>
      <c r="Y249" s="39" t="str">
        <f>IF(AND(OR(LEFT(TH!L249,2)="15",LEFT(TH!M249,2)="15"),TK!$E$7=TH!F249),"x","")</f>
        <v/>
      </c>
      <c r="Z249" s="39" t="str">
        <f>IF(AND(B249&lt;=NKC!$N$8,B249&gt;=NKC!$M$8),"x","")</f>
        <v/>
      </c>
      <c r="AA249" s="894"/>
      <c r="AB249" s="598" t="e">
        <f t="shared" si="10"/>
        <v>#N/A</v>
      </c>
    </row>
    <row r="250" spans="1:28" ht="15.75" customHeight="1">
      <c r="A250" s="199" t="str">
        <f>IF(B250&lt;&gt;"",IF(AND(B250&gt;=_TM1,B250&lt;=_TM2,OR(TH!L250="1111",TH!M250="1111")),TH!D250,""),"")</f>
        <v/>
      </c>
      <c r="B250" s="36">
        <f t="shared" si="11"/>
        <v>1</v>
      </c>
      <c r="C250" s="190">
        <f t="shared" si="12"/>
        <v>0</v>
      </c>
      <c r="D250" s="190"/>
      <c r="E250" s="190"/>
      <c r="F250" s="191"/>
      <c r="G250" s="491"/>
      <c r="H250" s="192"/>
      <c r="I250" s="253"/>
      <c r="J250" s="253"/>
      <c r="K250" s="38"/>
      <c r="L250" s="193"/>
      <c r="M250" s="193"/>
      <c r="N250" s="39" t="str">
        <f>IF(AND('331-CT'!$E$7=TH!H250,OR(L250="331",M250="331")),"331",IF(AND(OR(L250="131",M250="131"),H250='131-CT'!$E$7),"131",""))</f>
        <v/>
      </c>
      <c r="O250" s="39" t="str">
        <f>IF(AND($B250&gt;='111'!$N$11,$B250&lt;='111'!$O$11,OR($L250=$O$7,$M250=$O$7)),"x","")</f>
        <v/>
      </c>
      <c r="P250" s="39" t="str">
        <f>IF(AND($L250=$O$7,$B250&lt;'111'!$N$11),"x","")</f>
        <v/>
      </c>
      <c r="Q250" s="39" t="str">
        <f>IF(AND($M250=$O$7,$B250&lt;'111'!$N$11),"x","")</f>
        <v/>
      </c>
      <c r="R250" s="39" t="str">
        <f>IF(ISERROR(FIND('112'!$M$9,G250,1)),"",IF((AND(FIND('112'!$M$9,G250,1)&gt;=1,$B250&gt;='112'!$N$8,$B250&lt;='112'!$O$8,OR($L250='112'!$I$6,$M250='112'!$I$6))),"x",""))</f>
        <v/>
      </c>
      <c r="S250" s="39" t="str">
        <f>IF(ISERROR(FIND('112'!$M$9,G250,1)),"",IF((AND(LEFT(G250,2)=LEFT('112'!$M$9,2),B250&lt;'112'!$N$8,$L250='112'!$I$6)),"x",""))</f>
        <v/>
      </c>
      <c r="T250" s="39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39" t="str">
        <f>IF(OR(TH!L250=TH!$V$7,M250=TH!$V$7),"x","")</f>
        <v/>
      </c>
      <c r="W250" s="39" t="str">
        <f>IF(AND(B250&gt;='IN-NX'!$P$3,B250&lt;='IN-NX'!$Q$3,'IN-NX'!$D$7=D250,OR(LEFT(L250,2)="15",AND(LEFT(M250,2)&lt;&gt;"15",LEFT(M250,2)&lt;&gt;"33"))),"x","")</f>
        <v/>
      </c>
      <c r="X250" s="39" t="str">
        <f>IF(AND(OR(LEFT(TH!L250,2)="15",LEFT(TH!M250,2)="15"),'152-CT'!$J$8=TH!F250),"x","")</f>
        <v/>
      </c>
      <c r="Y250" s="39" t="str">
        <f>IF(AND(OR(LEFT(TH!L250,2)="15",LEFT(TH!M250,2)="15"),TK!$E$7=TH!F250),"x","")</f>
        <v/>
      </c>
      <c r="Z250" s="39" t="str">
        <f>IF(AND(B250&lt;=NKC!$N$8,B250&gt;=NKC!$M$8),"x","")</f>
        <v/>
      </c>
      <c r="AA250" s="894"/>
      <c r="AB250" s="598" t="e">
        <f t="shared" si="10"/>
        <v>#N/A</v>
      </c>
    </row>
    <row r="251" spans="1:28" ht="15.75" customHeight="1">
      <c r="A251" s="199" t="str">
        <f>IF(B251&lt;&gt;"",IF(AND(B251&gt;=_TM1,B251&lt;=_TM2,OR(TH!L251="1111",TH!M251="1111")),TH!D251,""),"")</f>
        <v/>
      </c>
      <c r="B251" s="36">
        <f t="shared" si="11"/>
        <v>1</v>
      </c>
      <c r="C251" s="190">
        <f t="shared" si="12"/>
        <v>0</v>
      </c>
      <c r="D251" s="190"/>
      <c r="E251" s="190"/>
      <c r="F251" s="191"/>
      <c r="G251" s="191"/>
      <c r="H251" s="192"/>
      <c r="I251" s="253"/>
      <c r="J251" s="253"/>
      <c r="K251" s="38"/>
      <c r="L251" s="193"/>
      <c r="M251" s="193"/>
      <c r="N251" s="39" t="str">
        <f>IF(AND('331-CT'!$E$7=TH!H251,OR(L251="331",M251="331")),"331",IF(AND(OR(L251="131",M251="131"),H251='131-CT'!$E$7),"131",""))</f>
        <v/>
      </c>
      <c r="O251" s="39" t="str">
        <f>IF(AND($B251&gt;='111'!$N$11,$B251&lt;='111'!$O$11,OR($L251=$O$7,$M251=$O$7)),"x","")</f>
        <v/>
      </c>
      <c r="P251" s="39" t="str">
        <f>IF(AND($L251=$O$7,$B251&lt;'111'!$N$11),"x","")</f>
        <v/>
      </c>
      <c r="Q251" s="39" t="str">
        <f>IF(AND($M251=$O$7,$B251&lt;'111'!$N$11),"x","")</f>
        <v/>
      </c>
      <c r="R251" s="39" t="str">
        <f>IF(ISERROR(FIND('112'!$M$9,G251,1)),"",IF((AND(FIND('112'!$M$9,G251,1)&gt;=1,$B251&gt;='112'!$N$8,$B251&lt;='112'!$O$8,OR($L251='112'!$I$6,$M251='112'!$I$6))),"x",""))</f>
        <v/>
      </c>
      <c r="S251" s="39" t="str">
        <f>IF(ISERROR(FIND('112'!$M$9,G251,1)),"",IF((AND(LEFT(G251,2)=LEFT('112'!$M$9,2),B251&lt;'112'!$N$8,$L251='112'!$I$6)),"x",""))</f>
        <v/>
      </c>
      <c r="T251" s="39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39" t="str">
        <f>IF(OR(TH!L251=TH!$V$7,M251=TH!$V$7),"x","")</f>
        <v/>
      </c>
      <c r="W251" s="39" t="str">
        <f>IF(AND(B251&gt;='IN-NX'!$P$3,B251&lt;='IN-NX'!$Q$3,'IN-NX'!$D$7=D251,OR(LEFT(L251,2)="15",AND(LEFT(M251,2)&lt;&gt;"15",LEFT(M251,2)&lt;&gt;"33"))),"x","")</f>
        <v/>
      </c>
      <c r="X251" s="39" t="str">
        <f>IF(AND(OR(LEFT(TH!L251,2)="15",LEFT(TH!M251,2)="15"),'152-CT'!$J$8=TH!F251),"x","")</f>
        <v/>
      </c>
      <c r="Y251" s="39" t="str">
        <f>IF(AND(OR(LEFT(TH!L251,2)="15",LEFT(TH!M251,2)="15"),TK!$E$7=TH!F251),"x","")</f>
        <v/>
      </c>
      <c r="Z251" s="39" t="str">
        <f>IF(AND(B251&lt;=NKC!$N$8,B251&gt;=NKC!$M$8),"x","")</f>
        <v/>
      </c>
      <c r="AA251" s="894"/>
      <c r="AB251" s="598" t="e">
        <f t="shared" si="10"/>
        <v>#N/A</v>
      </c>
    </row>
    <row r="252" spans="1:28" ht="15.75" customHeight="1">
      <c r="A252" s="199" t="str">
        <f>IF(B252&lt;&gt;"",IF(AND(B252&gt;=_TM1,B252&lt;=_TM2,OR(TH!L252="1111",TH!M252="1111")),TH!D252,""),"")</f>
        <v/>
      </c>
      <c r="B252" s="36">
        <f t="shared" si="11"/>
        <v>1</v>
      </c>
      <c r="C252" s="190">
        <f t="shared" si="12"/>
        <v>0</v>
      </c>
      <c r="D252" s="190"/>
      <c r="E252" s="190"/>
      <c r="F252" s="191"/>
      <c r="G252" s="491"/>
      <c r="H252" s="192"/>
      <c r="I252" s="253"/>
      <c r="J252" s="253"/>
      <c r="K252" s="38"/>
      <c r="L252" s="193"/>
      <c r="M252" s="193"/>
      <c r="N252" s="39" t="str">
        <f>IF(AND('331-CT'!$E$7=TH!H252,OR(L252="331",M252="331")),"331",IF(AND(OR(L252="131",M252="131"),H252='131-CT'!$E$7),"131",""))</f>
        <v/>
      </c>
      <c r="O252" s="39" t="str">
        <f>IF(AND($B252&gt;='111'!$N$11,$B252&lt;='111'!$O$11,OR($L252=$O$7,$M252=$O$7)),"x","")</f>
        <v/>
      </c>
      <c r="P252" s="39" t="str">
        <f>IF(AND($L252=$O$7,$B252&lt;'111'!$N$11),"x","")</f>
        <v/>
      </c>
      <c r="Q252" s="39" t="str">
        <f>IF(AND($M252=$O$7,$B252&lt;'111'!$N$11),"x","")</f>
        <v/>
      </c>
      <c r="R252" s="39" t="str">
        <f>IF(ISERROR(FIND('112'!$M$9,G252,1)),"",IF((AND(FIND('112'!$M$9,G252,1)&gt;=1,$B252&gt;='112'!$N$8,$B252&lt;='112'!$O$8,OR($L252='112'!$I$6,$M252='112'!$I$6))),"x",""))</f>
        <v/>
      </c>
      <c r="S252" s="39" t="str">
        <f>IF(ISERROR(FIND('112'!$M$9,G252,1)),"",IF((AND(LEFT(G252,2)=LEFT('112'!$M$9,2),B252&lt;'112'!$N$8,$L252='112'!$I$6)),"x",""))</f>
        <v/>
      </c>
      <c r="T252" s="39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39" t="str">
        <f>IF(OR(TH!L252=TH!$V$7,M252=TH!$V$7),"x","")</f>
        <v/>
      </c>
      <c r="W252" s="39" t="str">
        <f>IF(AND(B252&gt;='IN-NX'!$P$3,B252&lt;='IN-NX'!$Q$3,'IN-NX'!$D$7=D252,OR(LEFT(L252,2)="15",AND(LEFT(M252,2)&lt;&gt;"15",LEFT(M252,2)&lt;&gt;"33"))),"x","")</f>
        <v/>
      </c>
      <c r="X252" s="39" t="str">
        <f>IF(AND(OR(LEFT(TH!L252,2)="15",LEFT(TH!M252,2)="15"),'152-CT'!$J$8=TH!F252),"x","")</f>
        <v/>
      </c>
      <c r="Y252" s="39" t="str">
        <f>IF(AND(OR(LEFT(TH!L252,2)="15",LEFT(TH!M252,2)="15"),TK!$E$7=TH!F252),"x","")</f>
        <v/>
      </c>
      <c r="Z252" s="39" t="str">
        <f>IF(AND(B252&lt;=NKC!$N$8,B252&gt;=NKC!$M$8),"x","")</f>
        <v/>
      </c>
      <c r="AA252" s="894"/>
      <c r="AB252" s="598" t="e">
        <f t="shared" si="10"/>
        <v>#N/A</v>
      </c>
    </row>
    <row r="253" spans="1:28" ht="15.75" customHeight="1">
      <c r="A253" s="199" t="str">
        <f>IF(B253&lt;&gt;"",IF(AND(B253&gt;=_TM1,B253&lt;=_TM2,OR(TH!L253="1111",TH!M253="1111")),TH!D253,""),"")</f>
        <v/>
      </c>
      <c r="B253" s="36">
        <f t="shared" si="11"/>
        <v>1</v>
      </c>
      <c r="C253" s="190">
        <f t="shared" si="12"/>
        <v>0</v>
      </c>
      <c r="D253" s="190"/>
      <c r="E253" s="190"/>
      <c r="F253" s="191"/>
      <c r="G253" s="191"/>
      <c r="H253" s="192"/>
      <c r="I253" s="253"/>
      <c r="J253" s="253"/>
      <c r="K253" s="38"/>
      <c r="L253" s="193"/>
      <c r="M253" s="193"/>
      <c r="N253" s="39" t="str">
        <f>IF(AND('331-CT'!$E$7=TH!H253,OR(L253="331",M253="331")),"331",IF(AND(OR(L253="131",M253="131"),H253='131-CT'!$E$7),"131",""))</f>
        <v/>
      </c>
      <c r="O253" s="39" t="str">
        <f>IF(AND($B253&gt;='111'!$N$11,$B253&lt;='111'!$O$11,OR($L253=$O$7,$M253=$O$7)),"x","")</f>
        <v/>
      </c>
      <c r="P253" s="39" t="str">
        <f>IF(AND($L253=$O$7,$B253&lt;'111'!$N$11),"x","")</f>
        <v/>
      </c>
      <c r="Q253" s="39" t="str">
        <f>IF(AND($M253=$O$7,$B253&lt;'111'!$N$11),"x","")</f>
        <v/>
      </c>
      <c r="R253" s="39" t="str">
        <f>IF(ISERROR(FIND('112'!$M$9,G253,1)),"",IF((AND(FIND('112'!$M$9,G253,1)&gt;=1,$B253&gt;='112'!$N$8,$B253&lt;='112'!$O$8,OR($L253='112'!$I$6,$M253='112'!$I$6))),"x",""))</f>
        <v/>
      </c>
      <c r="S253" s="39" t="str">
        <f>IF(ISERROR(FIND('112'!$M$9,G253,1)),"",IF((AND(LEFT(G253,2)=LEFT('112'!$M$9,2),B253&lt;'112'!$N$8,$L253='112'!$I$6)),"x",""))</f>
        <v/>
      </c>
      <c r="T253" s="39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39" t="str">
        <f>IF(OR(TH!L253=TH!$V$7,M253=TH!$V$7),"x","")</f>
        <v/>
      </c>
      <c r="W253" s="39" t="str">
        <f>IF(AND(B253&gt;='IN-NX'!$P$3,B253&lt;='IN-NX'!$Q$3,'IN-NX'!$D$7=D253,OR(LEFT(L253,2)="15",AND(LEFT(M253,2)&lt;&gt;"15",LEFT(M253,2)&lt;&gt;"33"))),"x","")</f>
        <v/>
      </c>
      <c r="X253" s="39" t="str">
        <f>IF(AND(OR(LEFT(TH!L253,2)="15",LEFT(TH!M253,2)="15"),'152-CT'!$J$8=TH!F253),"x","")</f>
        <v/>
      </c>
      <c r="Y253" s="39" t="str">
        <f>IF(AND(OR(LEFT(TH!L253,2)="15",LEFT(TH!M253,2)="15"),TK!$E$7=TH!F253),"x","")</f>
        <v/>
      </c>
      <c r="Z253" s="39" t="str">
        <f>IF(AND(B253&lt;=NKC!$N$8,B253&gt;=NKC!$M$8),"x","")</f>
        <v/>
      </c>
      <c r="AA253" s="894"/>
      <c r="AB253" s="598" t="e">
        <f t="shared" si="10"/>
        <v>#N/A</v>
      </c>
    </row>
    <row r="254" spans="1:28" ht="15.75" customHeight="1">
      <c r="A254" s="199" t="str">
        <f>IF(B254&lt;&gt;"",IF(AND(B254&gt;=_TM1,B254&lt;=_TM2,OR(TH!L254="1111",TH!M254="1111")),TH!D254,""),"")</f>
        <v/>
      </c>
      <c r="B254" s="36">
        <f t="shared" si="11"/>
        <v>1</v>
      </c>
      <c r="C254" s="190">
        <f t="shared" si="12"/>
        <v>0</v>
      </c>
      <c r="D254" s="190"/>
      <c r="E254" s="190"/>
      <c r="F254" s="191"/>
      <c r="G254" s="491"/>
      <c r="H254" s="192"/>
      <c r="I254" s="253"/>
      <c r="J254" s="253"/>
      <c r="K254" s="38"/>
      <c r="L254" s="193"/>
      <c r="M254" s="193"/>
      <c r="N254" s="39" t="str">
        <f>IF(AND('331-CT'!$E$7=TH!H254,OR(L254="331",M254="331")),"331",IF(AND(OR(L254="131",M254="131"),H254='131-CT'!$E$7),"131",""))</f>
        <v/>
      </c>
      <c r="O254" s="39" t="str">
        <f>IF(AND($B254&gt;='111'!$N$11,$B254&lt;='111'!$O$11,OR($L254=$O$7,$M254=$O$7)),"x","")</f>
        <v/>
      </c>
      <c r="P254" s="39" t="str">
        <f>IF(AND($L254=$O$7,$B254&lt;'111'!$N$11),"x","")</f>
        <v/>
      </c>
      <c r="Q254" s="39" t="str">
        <f>IF(AND($M254=$O$7,$B254&lt;'111'!$N$11),"x","")</f>
        <v/>
      </c>
      <c r="R254" s="39" t="str">
        <f>IF(ISERROR(FIND('112'!$M$9,G254,1)),"",IF((AND(FIND('112'!$M$9,G254,1)&gt;=1,$B254&gt;='112'!$N$8,$B254&lt;='112'!$O$8,OR($L254='112'!$I$6,$M254='112'!$I$6))),"x",""))</f>
        <v/>
      </c>
      <c r="S254" s="39" t="str">
        <f>IF(ISERROR(FIND('112'!$M$9,G254,1)),"",IF((AND(LEFT(G254,2)=LEFT('112'!$M$9,2),B254&lt;'112'!$N$8,$L254='112'!$I$6)),"x",""))</f>
        <v/>
      </c>
      <c r="T254" s="39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39" t="str">
        <f>IF(OR(TH!L254=TH!$V$7,M254=TH!$V$7),"x","")</f>
        <v/>
      </c>
      <c r="W254" s="39" t="str">
        <f>IF(AND(B254&gt;='IN-NX'!$P$3,B254&lt;='IN-NX'!$Q$3,'IN-NX'!$D$7=D254,OR(LEFT(L254,2)="15",AND(LEFT(M254,2)&lt;&gt;"15",LEFT(M254,2)&lt;&gt;"33"))),"x","")</f>
        <v/>
      </c>
      <c r="X254" s="39" t="str">
        <f>IF(AND(OR(LEFT(TH!L254,2)="15",LEFT(TH!M254,2)="15"),'152-CT'!$J$8=TH!F254),"x","")</f>
        <v/>
      </c>
      <c r="Y254" s="39" t="str">
        <f>IF(AND(OR(LEFT(TH!L254,2)="15",LEFT(TH!M254,2)="15"),TK!$E$7=TH!F254),"x","")</f>
        <v/>
      </c>
      <c r="Z254" s="39" t="str">
        <f>IF(AND(B254&lt;=NKC!$N$8,B254&gt;=NKC!$M$8),"x","")</f>
        <v/>
      </c>
      <c r="AA254" s="894"/>
      <c r="AB254" s="598" t="e">
        <f t="shared" si="10"/>
        <v>#N/A</v>
      </c>
    </row>
    <row r="255" spans="1:28" ht="15.75" customHeight="1">
      <c r="A255" s="199" t="str">
        <f>IF(B255&lt;&gt;"",IF(AND(B255&gt;=_TM1,B255&lt;=_TM2,OR(TH!L255="1111",TH!M255="1111")),TH!D255,""),"")</f>
        <v/>
      </c>
      <c r="B255" s="36">
        <f t="shared" si="11"/>
        <v>1</v>
      </c>
      <c r="C255" s="190">
        <f t="shared" si="12"/>
        <v>0</v>
      </c>
      <c r="D255" s="190"/>
      <c r="E255" s="190"/>
      <c r="F255" s="191"/>
      <c r="G255" s="191"/>
      <c r="H255" s="192"/>
      <c r="I255" s="253"/>
      <c r="J255" s="253"/>
      <c r="K255" s="38"/>
      <c r="L255" s="193"/>
      <c r="M255" s="193"/>
      <c r="N255" s="39" t="str">
        <f>IF(AND('331-CT'!$E$7=TH!H255,OR(L255="331",M255="331")),"331",IF(AND(OR(L255="131",M255="131"),H255='131-CT'!$E$7),"131",""))</f>
        <v/>
      </c>
      <c r="O255" s="39" t="str">
        <f>IF(AND($B255&gt;='111'!$N$11,$B255&lt;='111'!$O$11,OR($L255=$O$7,$M255=$O$7)),"x","")</f>
        <v/>
      </c>
      <c r="P255" s="39" t="str">
        <f>IF(AND($L255=$O$7,$B255&lt;'111'!$N$11),"x","")</f>
        <v/>
      </c>
      <c r="Q255" s="39" t="str">
        <f>IF(AND($M255=$O$7,$B255&lt;'111'!$N$11),"x","")</f>
        <v/>
      </c>
      <c r="R255" s="39" t="str">
        <f>IF(ISERROR(FIND('112'!$M$9,G255,1)),"",IF((AND(FIND('112'!$M$9,G255,1)&gt;=1,$B255&gt;='112'!$N$8,$B255&lt;='112'!$O$8,OR($L255='112'!$I$6,$M255='112'!$I$6))),"x",""))</f>
        <v/>
      </c>
      <c r="S255" s="39" t="str">
        <f>IF(ISERROR(FIND('112'!$M$9,G255,1)),"",IF((AND(LEFT(G255,2)=LEFT('112'!$M$9,2),B255&lt;'112'!$N$8,$L255='112'!$I$6)),"x",""))</f>
        <v/>
      </c>
      <c r="T255" s="39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39" t="str">
        <f>IF(OR(TH!L255=TH!$V$7,M255=TH!$V$7),"x","")</f>
        <v/>
      </c>
      <c r="W255" s="39" t="str">
        <f>IF(AND(B255&gt;='IN-NX'!$P$3,B255&lt;='IN-NX'!$Q$3,'IN-NX'!$D$7=D255,OR(LEFT(L255,2)="15",AND(LEFT(M255,2)&lt;&gt;"15",LEFT(M255,2)&lt;&gt;"33"))),"x","")</f>
        <v/>
      </c>
      <c r="X255" s="39" t="str">
        <f>IF(AND(OR(LEFT(TH!L255,2)="15",LEFT(TH!M255,2)="15"),'152-CT'!$J$8=TH!F255),"x","")</f>
        <v/>
      </c>
      <c r="Y255" s="39" t="str">
        <f>IF(AND(OR(LEFT(TH!L255,2)="15",LEFT(TH!M255,2)="15"),TK!$E$7=TH!F255),"x","")</f>
        <v/>
      </c>
      <c r="Z255" s="39" t="str">
        <f>IF(AND(B255&lt;=NKC!$N$8,B255&gt;=NKC!$M$8),"x","")</f>
        <v/>
      </c>
      <c r="AA255" s="894"/>
      <c r="AB255" s="598" t="e">
        <f t="shared" si="10"/>
        <v>#N/A</v>
      </c>
    </row>
    <row r="256" spans="1:28" ht="15.75" customHeight="1">
      <c r="A256" s="199" t="str">
        <f>IF(B256&lt;&gt;"",IF(AND(B256&gt;=_TM1,B256&lt;=_TM2,OR(TH!L256="1111",TH!M256="1111")),TH!D256,""),"")</f>
        <v/>
      </c>
      <c r="B256" s="36">
        <f t="shared" si="11"/>
        <v>1</v>
      </c>
      <c r="C256" s="190">
        <f t="shared" si="12"/>
        <v>0</v>
      </c>
      <c r="D256" s="190"/>
      <c r="E256" s="190"/>
      <c r="F256" s="191"/>
      <c r="G256" s="191"/>
      <c r="H256" s="192"/>
      <c r="I256" s="253"/>
      <c r="J256" s="253"/>
      <c r="K256" s="38"/>
      <c r="L256" s="193"/>
      <c r="M256" s="193"/>
      <c r="N256" s="39" t="str">
        <f>IF(AND('331-CT'!$E$7=TH!H256,OR(L256="331",M256="331")),"331",IF(AND(OR(L256="131",M256="131"),H256='131-CT'!$E$7),"131",""))</f>
        <v/>
      </c>
      <c r="O256" s="39" t="str">
        <f>IF(AND($B256&gt;='111'!$N$11,$B256&lt;='111'!$O$11,OR($L256=$O$7,$M256=$O$7)),"x","")</f>
        <v/>
      </c>
      <c r="P256" s="39" t="str">
        <f>IF(AND($L256=$O$7,$B256&lt;'111'!$N$11),"x","")</f>
        <v/>
      </c>
      <c r="Q256" s="39" t="str">
        <f>IF(AND($M256=$O$7,$B256&lt;'111'!$N$11),"x","")</f>
        <v/>
      </c>
      <c r="R256" s="39" t="str">
        <f>IF(ISERROR(FIND('112'!$M$9,G256,1)),"",IF((AND(FIND('112'!$M$9,G256,1)&gt;=1,$B256&gt;='112'!$N$8,$B256&lt;='112'!$O$8,OR($L256='112'!$I$6,$M256='112'!$I$6))),"x",""))</f>
        <v/>
      </c>
      <c r="S256" s="39" t="str">
        <f>IF(ISERROR(FIND('112'!$M$9,G256,1)),"",IF((AND(LEFT(G256,2)=LEFT('112'!$M$9,2),B256&lt;'112'!$N$8,$L256='112'!$I$6)),"x",""))</f>
        <v/>
      </c>
      <c r="T256" s="39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39" t="str">
        <f>IF(OR(TH!L256=TH!$V$7,M256=TH!$V$7),"x","")</f>
        <v/>
      </c>
      <c r="W256" s="39" t="str">
        <f>IF(AND(B256&gt;='IN-NX'!$P$3,B256&lt;='IN-NX'!$Q$3,'IN-NX'!$D$7=D256,OR(LEFT(L256,2)="15",AND(LEFT(M256,2)&lt;&gt;"15",LEFT(M256,2)&lt;&gt;"33"))),"x","")</f>
        <v/>
      </c>
      <c r="X256" s="39" t="str">
        <f>IF(AND(OR(LEFT(TH!L256,2)="15",LEFT(TH!M256,2)="15"),'152-CT'!$J$8=TH!F256),"x","")</f>
        <v/>
      </c>
      <c r="Y256" s="39" t="str">
        <f>IF(AND(OR(LEFT(TH!L256,2)="15",LEFT(TH!M256,2)="15"),TK!$E$7=TH!F256),"x","")</f>
        <v/>
      </c>
      <c r="Z256" s="39" t="str">
        <f>IF(AND(B256&lt;=NKC!$N$8,B256&gt;=NKC!$M$8),"x","")</f>
        <v/>
      </c>
      <c r="AA256" s="894"/>
      <c r="AB256" s="598" t="e">
        <f t="shared" si="10"/>
        <v>#N/A</v>
      </c>
    </row>
    <row r="257" spans="1:28" ht="15.75" customHeight="1">
      <c r="A257" s="199" t="str">
        <f>IF(B257&lt;&gt;"",IF(AND(B257&gt;=_TM1,B257&lt;=_TM2,OR(TH!L257="1111",TH!M257="1111")),TH!D257,""),"")</f>
        <v/>
      </c>
      <c r="B257" s="36">
        <f t="shared" si="11"/>
        <v>1</v>
      </c>
      <c r="C257" s="190">
        <f t="shared" si="12"/>
        <v>0</v>
      </c>
      <c r="D257" s="190"/>
      <c r="E257" s="190"/>
      <c r="F257" s="191"/>
      <c r="G257" s="191"/>
      <c r="H257" s="192"/>
      <c r="I257" s="253"/>
      <c r="J257" s="253"/>
      <c r="K257" s="38"/>
      <c r="L257" s="193"/>
      <c r="M257" s="193"/>
      <c r="N257" s="39" t="str">
        <f>IF(AND('331-CT'!$E$7=TH!H257,OR(L257="331",M257="331")),"331",IF(AND(OR(L257="131",M257="131"),H257='131-CT'!$E$7),"131",""))</f>
        <v/>
      </c>
      <c r="O257" s="39" t="str">
        <f>IF(AND($B257&gt;='111'!$N$11,$B257&lt;='111'!$O$11,OR($L257=$O$7,$M257=$O$7)),"x","")</f>
        <v/>
      </c>
      <c r="P257" s="39" t="str">
        <f>IF(AND($L257=$O$7,$B257&lt;'111'!$N$11),"x","")</f>
        <v/>
      </c>
      <c r="Q257" s="39" t="str">
        <f>IF(AND($M257=$O$7,$B257&lt;'111'!$N$11),"x","")</f>
        <v/>
      </c>
      <c r="R257" s="39" t="str">
        <f>IF(ISERROR(FIND('112'!$M$9,G257,1)),"",IF((AND(FIND('112'!$M$9,G257,1)&gt;=1,$B257&gt;='112'!$N$8,$B257&lt;='112'!$O$8,OR($L257='112'!$I$6,$M257='112'!$I$6))),"x",""))</f>
        <v/>
      </c>
      <c r="S257" s="39" t="str">
        <f>IF(ISERROR(FIND('112'!$M$9,G257,1)),"",IF((AND(LEFT(G257,2)=LEFT('112'!$M$9,2),B257&lt;'112'!$N$8,$L257='112'!$I$6)),"x",""))</f>
        <v/>
      </c>
      <c r="T257" s="39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39" t="str">
        <f>IF(OR(TH!L257=TH!$V$7,M257=TH!$V$7),"x","")</f>
        <v/>
      </c>
      <c r="W257" s="39" t="str">
        <f>IF(AND(B257&gt;='IN-NX'!$P$3,B257&lt;='IN-NX'!$Q$3,'IN-NX'!$D$7=D257,OR(LEFT(L257,2)="15",AND(LEFT(M257,2)&lt;&gt;"15",LEFT(M257,2)&lt;&gt;"33"))),"x","")</f>
        <v/>
      </c>
      <c r="X257" s="39" t="str">
        <f>IF(AND(OR(LEFT(TH!L257,2)="15",LEFT(TH!M257,2)="15"),'152-CT'!$J$8=TH!F257),"x","")</f>
        <v/>
      </c>
      <c r="Y257" s="39" t="str">
        <f>IF(AND(OR(LEFT(TH!L257,2)="15",LEFT(TH!M257,2)="15"),TK!$E$7=TH!F257),"x","")</f>
        <v/>
      </c>
      <c r="Z257" s="39" t="str">
        <f>IF(AND(B257&lt;=NKC!$N$8,B257&gt;=NKC!$M$8),"x","")</f>
        <v/>
      </c>
      <c r="AA257" s="894"/>
      <c r="AB257" s="598" t="e">
        <f t="shared" si="10"/>
        <v>#N/A</v>
      </c>
    </row>
    <row r="258" spans="1:28" ht="15.75" customHeight="1">
      <c r="A258" s="199" t="str">
        <f>IF(B258&lt;&gt;"",IF(AND(B258&gt;=_TM1,B258&lt;=_TM2,OR(TH!L258="1111",TH!M258="1111")),TH!D258,""),"")</f>
        <v/>
      </c>
      <c r="B258" s="36">
        <f t="shared" si="11"/>
        <v>1</v>
      </c>
      <c r="C258" s="190">
        <f t="shared" si="12"/>
        <v>0</v>
      </c>
      <c r="D258" s="190"/>
      <c r="E258" s="190"/>
      <c r="F258" s="191"/>
      <c r="G258" s="191"/>
      <c r="H258" s="818"/>
      <c r="I258" s="253"/>
      <c r="J258" s="253"/>
      <c r="K258" s="38"/>
      <c r="L258" s="193"/>
      <c r="M258" s="193"/>
      <c r="N258" s="39" t="str">
        <f>IF(AND('331-CT'!$E$7=TH!H258,OR(L258="331",M258="331")),"331",IF(AND(OR(L258="131",M258="131"),H258='131-CT'!$E$7),"131",""))</f>
        <v/>
      </c>
      <c r="O258" s="39" t="str">
        <f>IF(AND($B258&gt;='111'!$N$11,$B258&lt;='111'!$O$11,OR($L258=$O$7,$M258=$O$7)),"x","")</f>
        <v/>
      </c>
      <c r="P258" s="39" t="str">
        <f>IF(AND($L258=$O$7,$B258&lt;'111'!$N$11),"x","")</f>
        <v/>
      </c>
      <c r="Q258" s="39" t="str">
        <f>IF(AND($M258=$O$7,$B258&lt;'111'!$N$11),"x","")</f>
        <v/>
      </c>
      <c r="R258" s="39" t="str">
        <f>IF(ISERROR(FIND('112'!$M$9,G258,1)),"",IF((AND(FIND('112'!$M$9,G258,1)&gt;=1,$B258&gt;='112'!$N$8,$B258&lt;='112'!$O$8,OR($L258='112'!$I$6,$M258='112'!$I$6))),"x",""))</f>
        <v/>
      </c>
      <c r="S258" s="39" t="str">
        <f>IF(ISERROR(FIND('112'!$M$9,G258,1)),"",IF((AND(LEFT(G258,2)=LEFT('112'!$M$9,2),B258&lt;'112'!$N$8,$L258='112'!$I$6)),"x",""))</f>
        <v/>
      </c>
      <c r="T258" s="39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39" t="str">
        <f>IF(OR(TH!L258=TH!$V$7,M258=TH!$V$7),"x","")</f>
        <v/>
      </c>
      <c r="W258" s="39" t="str">
        <f>IF(AND(B258&gt;='IN-NX'!$P$3,B258&lt;='IN-NX'!$Q$3,'IN-NX'!$D$7=D258,OR(LEFT(L258,2)="15",AND(LEFT(M258,2)&lt;&gt;"15",LEFT(M258,2)&lt;&gt;"33"))),"x","")</f>
        <v/>
      </c>
      <c r="X258" s="39" t="str">
        <f>IF(AND(OR(LEFT(TH!L258,2)="15",LEFT(TH!M258,2)="15"),'152-CT'!$J$8=TH!F258),"x","")</f>
        <v/>
      </c>
      <c r="Y258" s="39" t="str">
        <f>IF(AND(OR(LEFT(TH!L258,2)="15",LEFT(TH!M258,2)="15"),TK!$E$7=TH!F258),"x","")</f>
        <v/>
      </c>
      <c r="Z258" s="39" t="str">
        <f>IF(AND(B258&lt;=NKC!$N$8,B258&gt;=NKC!$M$8),"x","")</f>
        <v/>
      </c>
      <c r="AA258" s="894"/>
      <c r="AB258" s="598" t="e">
        <f t="shared" si="10"/>
        <v>#N/A</v>
      </c>
    </row>
    <row r="259" spans="1:28" ht="15.75" customHeight="1">
      <c r="A259" s="199" t="str">
        <f>IF(B259&lt;&gt;"",IF(AND(B259&gt;=_TM1,B259&lt;=_TM2,OR(TH!L259="1111",TH!M259="1111")),TH!D259,""),"")</f>
        <v/>
      </c>
      <c r="B259" s="36">
        <f t="shared" si="11"/>
        <v>1</v>
      </c>
      <c r="C259" s="190">
        <f t="shared" si="12"/>
        <v>0</v>
      </c>
      <c r="D259" s="190"/>
      <c r="E259" s="190"/>
      <c r="F259" s="191"/>
      <c r="G259" s="191"/>
      <c r="H259" s="818"/>
      <c r="I259" s="255"/>
      <c r="J259" s="253"/>
      <c r="K259" s="38"/>
      <c r="L259" s="193"/>
      <c r="M259" s="193"/>
      <c r="N259" s="39" t="str">
        <f>IF(AND('331-CT'!$E$7=TH!H259,OR(L259="331",M259="331")),"331",IF(AND(OR(L259="131",M259="131"),H259='131-CT'!$E$7),"131",""))</f>
        <v/>
      </c>
      <c r="O259" s="39" t="str">
        <f>IF(AND($B259&gt;='111'!$N$11,$B259&lt;='111'!$O$11,OR($L259=$O$7,$M259=$O$7)),"x","")</f>
        <v/>
      </c>
      <c r="P259" s="39" t="str">
        <f>IF(AND($L259=$O$7,$B259&lt;'111'!$N$11),"x","")</f>
        <v/>
      </c>
      <c r="Q259" s="39" t="str">
        <f>IF(AND($M259=$O$7,$B259&lt;'111'!$N$11),"x","")</f>
        <v/>
      </c>
      <c r="R259" s="39" t="str">
        <f>IF(ISERROR(FIND('112'!$M$9,G259,1)),"",IF((AND(FIND('112'!$M$9,G259,1)&gt;=1,$B259&gt;='112'!$N$8,$B259&lt;='112'!$O$8,OR($L259='112'!$I$6,$M259='112'!$I$6))),"x",""))</f>
        <v/>
      </c>
      <c r="S259" s="39" t="str">
        <f>IF(ISERROR(FIND('112'!$M$9,G259,1)),"",IF((AND(LEFT(G259,2)=LEFT('112'!$M$9,2),B259&lt;'112'!$N$8,$L259='112'!$I$6)),"x",""))</f>
        <v/>
      </c>
      <c r="T259" s="39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39" t="str">
        <f>IF(OR(TH!L259=TH!$V$7,M259=TH!$V$7),"x","")</f>
        <v/>
      </c>
      <c r="W259" s="39" t="str">
        <f>IF(AND(B259&gt;='IN-NX'!$P$3,B259&lt;='IN-NX'!$Q$3,'IN-NX'!$D$7=D259,OR(LEFT(L259,2)="15",AND(LEFT(M259,2)&lt;&gt;"15",LEFT(M259,2)&lt;&gt;"33"))),"x","")</f>
        <v/>
      </c>
      <c r="X259" s="39" t="str">
        <f>IF(AND(OR(LEFT(TH!L259,2)="15",LEFT(TH!M259,2)="15"),'152-CT'!$J$8=TH!F259),"x","")</f>
        <v/>
      </c>
      <c r="Y259" s="39" t="str">
        <f>IF(AND(OR(LEFT(TH!L259,2)="15",LEFT(TH!M259,2)="15"),TK!$E$7=TH!F259),"x","")</f>
        <v/>
      </c>
      <c r="Z259" s="39" t="str">
        <f>IF(AND(B259&lt;=NKC!$N$8,B259&gt;=NKC!$M$8),"x","")</f>
        <v/>
      </c>
      <c r="AA259" s="894"/>
      <c r="AB259" s="598" t="e">
        <f t="shared" si="10"/>
        <v>#N/A</v>
      </c>
    </row>
    <row r="260" spans="1:28" ht="15.75" customHeight="1">
      <c r="A260" s="199" t="str">
        <f>IF(B260&lt;&gt;"",IF(AND(B260&gt;=_TM1,B260&lt;=_TM2,OR(TH!L260="1111",TH!M260="1111")),TH!D260,""),"")</f>
        <v/>
      </c>
      <c r="B260" s="36">
        <f t="shared" si="11"/>
        <v>1</v>
      </c>
      <c r="C260" s="190">
        <f t="shared" si="12"/>
        <v>0</v>
      </c>
      <c r="D260" s="190"/>
      <c r="E260" s="190"/>
      <c r="F260" s="191"/>
      <c r="G260" s="491"/>
      <c r="H260" s="192"/>
      <c r="I260" s="253"/>
      <c r="J260" s="253"/>
      <c r="K260" s="38"/>
      <c r="L260" s="193"/>
      <c r="M260" s="193"/>
      <c r="N260" s="39" t="str">
        <f>IF(AND('331-CT'!$E$7=TH!H260,OR(L260="331",M260="331")),"331",IF(AND(OR(L260="131",M260="131"),H260='131-CT'!$E$7),"131",""))</f>
        <v/>
      </c>
      <c r="O260" s="39" t="str">
        <f>IF(AND($B260&gt;='111'!$N$11,$B260&lt;='111'!$O$11,OR($L260=$O$7,$M260=$O$7)),"x","")</f>
        <v/>
      </c>
      <c r="P260" s="39" t="str">
        <f>IF(AND($L260=$O$7,$B260&lt;'111'!$N$11),"x","")</f>
        <v/>
      </c>
      <c r="Q260" s="39" t="str">
        <f>IF(AND($M260=$O$7,$B260&lt;'111'!$N$11),"x","")</f>
        <v/>
      </c>
      <c r="R260" s="39" t="str">
        <f>IF(ISERROR(FIND('112'!$M$9,G260,1)),"",IF((AND(FIND('112'!$M$9,G260,1)&gt;=1,$B260&gt;='112'!$N$8,$B260&lt;='112'!$O$8,OR($L260='112'!$I$6,$M260='112'!$I$6))),"x",""))</f>
        <v/>
      </c>
      <c r="S260" s="39" t="str">
        <f>IF(ISERROR(FIND('112'!$M$9,G260,1)),"",IF((AND(LEFT(G260,2)=LEFT('112'!$M$9,2),B260&lt;'112'!$N$8,$L260='112'!$I$6)),"x",""))</f>
        <v/>
      </c>
      <c r="T260" s="39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39" t="str">
        <f>IF(OR(TH!L260=TH!$V$7,M260=TH!$V$7),"x","")</f>
        <v/>
      </c>
      <c r="W260" s="39" t="str">
        <f>IF(AND(B260&gt;='IN-NX'!$P$3,B260&lt;='IN-NX'!$Q$3,'IN-NX'!$D$7=D260,OR(LEFT(L260,2)="15",AND(LEFT(M260,2)&lt;&gt;"15",LEFT(M260,2)&lt;&gt;"33"))),"x","")</f>
        <v/>
      </c>
      <c r="X260" s="39" t="str">
        <f>IF(AND(OR(LEFT(TH!L260,2)="15",LEFT(TH!M260,2)="15"),'152-CT'!$J$8=TH!F260),"x","")</f>
        <v/>
      </c>
      <c r="Y260" s="39" t="str">
        <f>IF(AND(OR(LEFT(TH!L260,2)="15",LEFT(TH!M260,2)="15"),TK!$E$7=TH!F260),"x","")</f>
        <v/>
      </c>
      <c r="Z260" s="39" t="str">
        <f>IF(AND(B260&lt;=NKC!$N$8,B260&gt;=NKC!$M$8),"x","")</f>
        <v/>
      </c>
      <c r="AA260" s="894"/>
      <c r="AB260" s="598" t="e">
        <f t="shared" si="10"/>
        <v>#N/A</v>
      </c>
    </row>
    <row r="261" spans="1:28" ht="15.75" customHeight="1">
      <c r="A261" s="199" t="str">
        <f>IF(B261&lt;&gt;"",IF(AND(B261&gt;=_TM1,B261&lt;=_TM2,OR(TH!L261="1111",TH!M261="1111")),TH!D261,""),"")</f>
        <v/>
      </c>
      <c r="B261" s="36">
        <f t="shared" si="11"/>
        <v>1</v>
      </c>
      <c r="C261" s="190">
        <f t="shared" si="12"/>
        <v>0</v>
      </c>
      <c r="D261" s="190"/>
      <c r="E261" s="190"/>
      <c r="F261" s="191"/>
      <c r="G261" s="191"/>
      <c r="H261" s="890"/>
      <c r="I261" s="253"/>
      <c r="J261" s="253"/>
      <c r="K261" s="38"/>
      <c r="L261" s="193"/>
      <c r="M261" s="193"/>
      <c r="N261" s="39" t="str">
        <f>IF(AND('331-CT'!$E$7=TH!H261,OR(L261="331",M261="331")),"331",IF(AND(OR(L261="131",M261="131"),H261='131-CT'!$E$7),"131",""))</f>
        <v/>
      </c>
      <c r="O261" s="39" t="str">
        <f>IF(AND($B261&gt;='111'!$N$11,$B261&lt;='111'!$O$11,OR($L261=$O$7,$M261=$O$7)),"x","")</f>
        <v/>
      </c>
      <c r="P261" s="39" t="str">
        <f>IF(AND($L261=$O$7,$B261&lt;'111'!$N$11),"x","")</f>
        <v/>
      </c>
      <c r="Q261" s="39" t="str">
        <f>IF(AND($M261=$O$7,$B261&lt;'111'!$N$11),"x","")</f>
        <v/>
      </c>
      <c r="R261" s="39" t="str">
        <f>IF(ISERROR(FIND('112'!$M$9,G261,1)),"",IF((AND(FIND('112'!$M$9,G261,1)&gt;=1,$B261&gt;='112'!$N$8,$B261&lt;='112'!$O$8,OR($L261='112'!$I$6,$M261='112'!$I$6))),"x",""))</f>
        <v/>
      </c>
      <c r="S261" s="39" t="str">
        <f>IF(ISERROR(FIND('112'!$M$9,G261,1)),"",IF((AND(LEFT(G261,2)=LEFT('112'!$M$9,2),B261&lt;'112'!$N$8,$L261='112'!$I$6)),"x",""))</f>
        <v/>
      </c>
      <c r="T261" s="39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39" t="str">
        <f>IF(OR(TH!L261=TH!$V$7,M261=TH!$V$7),"x","")</f>
        <v/>
      </c>
      <c r="W261" s="39" t="str">
        <f>IF(AND(B261&gt;='IN-NX'!$P$3,B261&lt;='IN-NX'!$Q$3,'IN-NX'!$D$7=D261,OR(LEFT(L261,2)="15",AND(LEFT(M261,2)&lt;&gt;"15",LEFT(M261,2)&lt;&gt;"33"))),"x","")</f>
        <v/>
      </c>
      <c r="X261" s="39" t="str">
        <f>IF(AND(OR(LEFT(TH!L261,2)="15",LEFT(TH!M261,2)="15"),'152-CT'!$J$8=TH!F261),"x","")</f>
        <v/>
      </c>
      <c r="Y261" s="39" t="str">
        <f>IF(AND(OR(LEFT(TH!L261,2)="15",LEFT(TH!M261,2)="15"),TK!$E$7=TH!F261),"x","")</f>
        <v/>
      </c>
      <c r="Z261" s="39" t="str">
        <f>IF(AND(B261&lt;=NKC!$N$8,B261&gt;=NKC!$M$8),"x","")</f>
        <v/>
      </c>
      <c r="AA261" s="894"/>
      <c r="AB261" s="598" t="e">
        <f t="shared" si="10"/>
        <v>#N/A</v>
      </c>
    </row>
    <row r="262" spans="1:28" ht="15.75" customHeight="1">
      <c r="A262" s="199" t="str">
        <f>IF(B262&lt;&gt;"",IF(AND(B262&gt;=_TM1,B262&lt;=_TM2,OR(TH!L262="1111",TH!M262="1111")),TH!D262,""),"")</f>
        <v/>
      </c>
      <c r="B262" s="36">
        <f t="shared" si="11"/>
        <v>1</v>
      </c>
      <c r="C262" s="190">
        <f t="shared" si="12"/>
        <v>0</v>
      </c>
      <c r="D262" s="190"/>
      <c r="E262" s="190"/>
      <c r="F262" s="191"/>
      <c r="G262" s="891"/>
      <c r="H262" s="204"/>
      <c r="I262" s="254"/>
      <c r="J262" s="254"/>
      <c r="K262" s="38"/>
      <c r="L262" s="193"/>
      <c r="M262" s="193"/>
      <c r="N262" s="39" t="str">
        <f>IF(AND('331-CT'!$E$7=TH!H262,OR(L262="331",M262="331")),"331",IF(AND(OR(L262="131",M262="131"),H262='131-CT'!$E$7),"131",""))</f>
        <v/>
      </c>
      <c r="O262" s="39" t="str">
        <f>IF(AND($B262&gt;='111'!$N$11,$B262&lt;='111'!$O$11,OR($L262=$O$7,$M262=$O$7)),"x","")</f>
        <v/>
      </c>
      <c r="P262" s="39" t="str">
        <f>IF(AND($L262=$O$7,$B262&lt;'111'!$N$11),"x","")</f>
        <v/>
      </c>
      <c r="Q262" s="39" t="str">
        <f>IF(AND($M262=$O$7,$B262&lt;'111'!$N$11),"x","")</f>
        <v/>
      </c>
      <c r="R262" s="39" t="str">
        <f>IF(ISERROR(FIND('112'!$M$9,G262,1)),"",IF((AND(FIND('112'!$M$9,G262,1)&gt;=1,$B262&gt;='112'!$N$8,$B262&lt;='112'!$O$8,OR($L262='112'!$I$6,$M262='112'!$I$6))),"x",""))</f>
        <v/>
      </c>
      <c r="S262" s="39" t="str">
        <f>IF(ISERROR(FIND('112'!$M$9,G262,1)),"",IF((AND(LEFT(G262,2)=LEFT('112'!$M$9,2),B262&lt;'112'!$N$8,$L262='112'!$I$6)),"x",""))</f>
        <v/>
      </c>
      <c r="T262" s="39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39" t="str">
        <f>IF(OR(TH!L262=TH!$V$7,M262=TH!$V$7),"x","")</f>
        <v/>
      </c>
      <c r="W262" s="39" t="str">
        <f>IF(AND(B262&gt;='IN-NX'!$P$3,B262&lt;='IN-NX'!$Q$3,'IN-NX'!$D$7=D262,OR(LEFT(L262,2)="15",AND(LEFT(M262,2)&lt;&gt;"15",LEFT(M262,2)&lt;&gt;"33"))),"x","")</f>
        <v/>
      </c>
      <c r="X262" s="39" t="str">
        <f>IF(AND(OR(LEFT(TH!L262,2)="15",LEFT(TH!M262,2)="15"),'152-CT'!$J$8=TH!F262),"x","")</f>
        <v/>
      </c>
      <c r="Y262" s="39" t="str">
        <f>IF(AND(OR(LEFT(TH!L262,2)="15",LEFT(TH!M262,2)="15"),TK!$E$7=TH!F262),"x","")</f>
        <v/>
      </c>
      <c r="Z262" s="39" t="str">
        <f>IF(AND(B262&lt;=NKC!$N$8,B262&gt;=NKC!$M$8),"x","")</f>
        <v/>
      </c>
      <c r="AA262" s="894"/>
      <c r="AB262" s="598" t="e">
        <f t="shared" si="10"/>
        <v>#N/A</v>
      </c>
    </row>
    <row r="263" spans="1:28" ht="15.75" customHeight="1">
      <c r="A263" s="199" t="str">
        <f>IF(B263&lt;&gt;"",IF(AND(B263&gt;=_TM1,B263&lt;=_TM2,OR(TH!L263="1111",TH!M263="1111")),TH!D263,""),"")</f>
        <v/>
      </c>
      <c r="B263" s="36">
        <f t="shared" si="11"/>
        <v>1</v>
      </c>
      <c r="C263" s="190">
        <f t="shared" si="12"/>
        <v>0</v>
      </c>
      <c r="D263" s="190"/>
      <c r="E263" s="190"/>
      <c r="F263" s="191"/>
      <c r="G263" s="191"/>
      <c r="H263" s="890"/>
      <c r="I263" s="253"/>
      <c r="J263" s="253"/>
      <c r="K263" s="38"/>
      <c r="L263" s="193"/>
      <c r="M263" s="193"/>
      <c r="N263" s="39" t="str">
        <f>IF(AND('331-CT'!$E$7=TH!H263,OR(L263="331",M263="331")),"331",IF(AND(OR(L263="131",M263="131"),H263='131-CT'!$E$7),"131",""))</f>
        <v/>
      </c>
      <c r="O263" s="39" t="str">
        <f>IF(AND($B263&gt;='111'!$N$11,$B263&lt;='111'!$O$11,OR($L263=$O$7,$M263=$O$7)),"x","")</f>
        <v/>
      </c>
      <c r="P263" s="39" t="str">
        <f>IF(AND($L263=$O$7,$B263&lt;'111'!$N$11),"x","")</f>
        <v/>
      </c>
      <c r="Q263" s="39" t="str">
        <f>IF(AND($M263=$O$7,$B263&lt;'111'!$N$11),"x","")</f>
        <v/>
      </c>
      <c r="R263" s="39" t="str">
        <f>IF(ISERROR(FIND('112'!$M$9,G263,1)),"",IF((AND(FIND('112'!$M$9,G263,1)&gt;=1,$B263&gt;='112'!$N$8,$B263&lt;='112'!$O$8,OR($L263='112'!$I$6,$M263='112'!$I$6))),"x",""))</f>
        <v/>
      </c>
      <c r="S263" s="39" t="str">
        <f>IF(ISERROR(FIND('112'!$M$9,G263,1)),"",IF((AND(LEFT(G263,2)=LEFT('112'!$M$9,2),B263&lt;'112'!$N$8,$L263='112'!$I$6)),"x",""))</f>
        <v/>
      </c>
      <c r="T263" s="39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39" t="str">
        <f>IF(OR(TH!L263=TH!$V$7,M263=TH!$V$7),"x","")</f>
        <v/>
      </c>
      <c r="W263" s="39" t="str">
        <f>IF(AND(B263&gt;='IN-NX'!$P$3,B263&lt;='IN-NX'!$Q$3,'IN-NX'!$D$7=D263,OR(LEFT(L263,2)="15",AND(LEFT(M263,2)&lt;&gt;"15",LEFT(M263,2)&lt;&gt;"33"))),"x","")</f>
        <v/>
      </c>
      <c r="X263" s="39" t="str">
        <f>IF(AND(OR(LEFT(TH!L263,2)="15",LEFT(TH!M263,2)="15"),'152-CT'!$J$8=TH!F263),"x","")</f>
        <v/>
      </c>
      <c r="Y263" s="39" t="str">
        <f>IF(AND(OR(LEFT(TH!L263,2)="15",LEFT(TH!M263,2)="15"),TK!$E$7=TH!F263),"x","")</f>
        <v/>
      </c>
      <c r="Z263" s="39" t="str">
        <f>IF(AND(B263&lt;=NKC!$N$8,B263&gt;=NKC!$M$8),"x","")</f>
        <v/>
      </c>
      <c r="AA263" s="894"/>
      <c r="AB263" s="598" t="e">
        <f t="shared" si="10"/>
        <v>#N/A</v>
      </c>
    </row>
    <row r="264" spans="1:28" ht="15.75" customHeight="1">
      <c r="A264" s="199" t="str">
        <f>IF(B264&lt;&gt;"",IF(AND(B264&gt;=_TM1,B264&lt;=_TM2,OR(TH!L264="1111",TH!M264="1111")),TH!D264,""),"")</f>
        <v/>
      </c>
      <c r="B264" s="36">
        <f t="shared" si="11"/>
        <v>1</v>
      </c>
      <c r="C264" s="190">
        <f t="shared" si="12"/>
        <v>0</v>
      </c>
      <c r="D264" s="190"/>
      <c r="E264" s="190"/>
      <c r="F264" s="191"/>
      <c r="G264" s="891"/>
      <c r="H264" s="204"/>
      <c r="I264" s="254"/>
      <c r="J264" s="254"/>
      <c r="K264" s="38"/>
      <c r="L264" s="193"/>
      <c r="M264" s="193"/>
      <c r="N264" s="39" t="str">
        <f>IF(AND('331-CT'!$E$7=TH!H264,OR(L264="331",M264="331")),"331",IF(AND(OR(L264="131",M264="131"),H264='131-CT'!$E$7),"131",""))</f>
        <v/>
      </c>
      <c r="O264" s="39" t="str">
        <f>IF(AND($B264&gt;='111'!$N$11,$B264&lt;='111'!$O$11,OR($L264=$O$7,$M264=$O$7)),"x","")</f>
        <v/>
      </c>
      <c r="P264" s="39" t="str">
        <f>IF(AND($L264=$O$7,$B264&lt;'111'!$N$11),"x","")</f>
        <v/>
      </c>
      <c r="Q264" s="39" t="str">
        <f>IF(AND($M264=$O$7,$B264&lt;'111'!$N$11),"x","")</f>
        <v/>
      </c>
      <c r="R264" s="39" t="str">
        <f>IF(ISERROR(FIND('112'!$M$9,G264,1)),"",IF((AND(FIND('112'!$M$9,G264,1)&gt;=1,$B264&gt;='112'!$N$8,$B264&lt;='112'!$O$8,OR($L264='112'!$I$6,$M264='112'!$I$6))),"x",""))</f>
        <v/>
      </c>
      <c r="S264" s="39" t="str">
        <f>IF(ISERROR(FIND('112'!$M$9,G264,1)),"",IF((AND(LEFT(G264,2)=LEFT('112'!$M$9,2),B264&lt;'112'!$N$8,$L264='112'!$I$6)),"x",""))</f>
        <v/>
      </c>
      <c r="T264" s="39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39" t="str">
        <f>IF(OR(TH!L264=TH!$V$7,M264=TH!$V$7),"x","")</f>
        <v/>
      </c>
      <c r="W264" s="39" t="str">
        <f>IF(AND(B264&gt;='IN-NX'!$P$3,B264&lt;='IN-NX'!$Q$3,'IN-NX'!$D$7=D264,OR(LEFT(L264,2)="15",AND(LEFT(M264,2)&lt;&gt;"15",LEFT(M264,2)&lt;&gt;"33"))),"x","")</f>
        <v/>
      </c>
      <c r="X264" s="39" t="str">
        <f>IF(AND(OR(LEFT(TH!L264,2)="15",LEFT(TH!M264,2)="15"),'152-CT'!$J$8=TH!F264),"x","")</f>
        <v/>
      </c>
      <c r="Y264" s="39" t="str">
        <f>IF(AND(OR(LEFT(TH!L264,2)="15",LEFT(TH!M264,2)="15"),TK!$E$7=TH!F264),"x","")</f>
        <v/>
      </c>
      <c r="Z264" s="39" t="str">
        <f>IF(AND(B264&lt;=NKC!$N$8,B264&gt;=NKC!$M$8),"x","")</f>
        <v/>
      </c>
      <c r="AA264" s="894"/>
      <c r="AB264" s="598" t="e">
        <f t="shared" si="10"/>
        <v>#N/A</v>
      </c>
    </row>
    <row r="265" spans="1:28" ht="15.75" customHeight="1">
      <c r="A265" s="199" t="str">
        <f>IF(B265&lt;&gt;"",IF(AND(B265&gt;=_TM1,B265&lt;=_TM2,OR(TH!L265="1111",TH!M265="1111")),TH!D265,""),"")</f>
        <v/>
      </c>
      <c r="B265" s="36">
        <f t="shared" si="11"/>
        <v>1</v>
      </c>
      <c r="C265" s="190">
        <f t="shared" si="12"/>
        <v>0</v>
      </c>
      <c r="D265" s="190"/>
      <c r="E265" s="190"/>
      <c r="F265" s="191"/>
      <c r="G265" s="191"/>
      <c r="H265" s="892"/>
      <c r="I265" s="254"/>
      <c r="J265" s="254"/>
      <c r="K265" s="38"/>
      <c r="L265" s="193"/>
      <c r="M265" s="193"/>
      <c r="N265" s="39" t="str">
        <f>IF(AND('331-CT'!$E$7=TH!H265,OR(L265="331",M265="331")),"331",IF(AND(OR(L265="131",M265="131"),H265='131-CT'!$E$7),"131",""))</f>
        <v/>
      </c>
      <c r="O265" s="39" t="str">
        <f>IF(AND($B265&gt;='111'!$N$11,$B265&lt;='111'!$O$11,OR($L265=$O$7,$M265=$O$7)),"x","")</f>
        <v/>
      </c>
      <c r="P265" s="39" t="str">
        <f>IF(AND($L265=$O$7,$B265&lt;'111'!$N$11),"x","")</f>
        <v/>
      </c>
      <c r="Q265" s="39" t="str">
        <f>IF(AND($M265=$O$7,$B265&lt;'111'!$N$11),"x","")</f>
        <v/>
      </c>
      <c r="R265" s="39" t="str">
        <f>IF(ISERROR(FIND('112'!$M$9,G265,1)),"",IF((AND(FIND('112'!$M$9,G265,1)&gt;=1,$B265&gt;='112'!$N$8,$B265&lt;='112'!$O$8,OR($L265='112'!$I$6,$M265='112'!$I$6))),"x",""))</f>
        <v/>
      </c>
      <c r="S265" s="39" t="str">
        <f>IF(ISERROR(FIND('112'!$M$9,G265,1)),"",IF((AND(LEFT(G265,2)=LEFT('112'!$M$9,2),B265&lt;'112'!$N$8,$L265='112'!$I$6)),"x",""))</f>
        <v/>
      </c>
      <c r="T265" s="39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39" t="str">
        <f>IF(OR(TH!L265=TH!$V$7,M265=TH!$V$7),"x","")</f>
        <v/>
      </c>
      <c r="W265" s="39" t="str">
        <f>IF(AND(B265&gt;='IN-NX'!$P$3,B265&lt;='IN-NX'!$Q$3,'IN-NX'!$D$7=D265,OR(LEFT(L265,2)="15",AND(LEFT(M265,2)&lt;&gt;"15",LEFT(M265,2)&lt;&gt;"33"))),"x","")</f>
        <v/>
      </c>
      <c r="X265" s="39" t="str">
        <f>IF(AND(OR(LEFT(TH!L265,2)="15",LEFT(TH!M265,2)="15"),'152-CT'!$J$8=TH!F265),"x","")</f>
        <v/>
      </c>
      <c r="Y265" s="39" t="str">
        <f>IF(AND(OR(LEFT(TH!L265,2)="15",LEFT(TH!M265,2)="15"),TK!$E$7=TH!F265),"x","")</f>
        <v/>
      </c>
      <c r="Z265" s="39" t="str">
        <f>IF(AND(B265&lt;=NKC!$N$8,B265&gt;=NKC!$M$8),"x","")</f>
        <v/>
      </c>
      <c r="AA265" s="894"/>
      <c r="AB265" s="598" t="e">
        <f t="shared" si="10"/>
        <v>#N/A</v>
      </c>
    </row>
    <row r="266" spans="1:28" ht="15.75" customHeight="1">
      <c r="A266" s="199" t="str">
        <f>IF(B266&lt;&gt;"",IF(AND(B266&gt;=_TM1,B266&lt;=_TM2,OR(TH!L266="1111",TH!M266="1111")),TH!D266,""),"")</f>
        <v/>
      </c>
      <c r="B266" s="36">
        <f t="shared" si="11"/>
        <v>1</v>
      </c>
      <c r="C266" s="190">
        <f t="shared" si="12"/>
        <v>0</v>
      </c>
      <c r="D266" s="190"/>
      <c r="E266" s="190"/>
      <c r="F266" s="191"/>
      <c r="G266" s="191"/>
      <c r="H266" s="192"/>
      <c r="I266" s="253"/>
      <c r="J266" s="253"/>
      <c r="K266" s="38"/>
      <c r="L266" s="193"/>
      <c r="M266" s="193"/>
      <c r="N266" s="39" t="str">
        <f>IF(AND('331-CT'!$E$7=TH!H266,OR(L266="331",M266="331")),"331",IF(AND(OR(L266="131",M266="131"),H266='131-CT'!$E$7),"131",""))</f>
        <v/>
      </c>
      <c r="O266" s="39" t="str">
        <f>IF(AND($B266&gt;='111'!$N$11,$B266&lt;='111'!$O$11,OR($L266=$O$7,$M266=$O$7)),"x","")</f>
        <v/>
      </c>
      <c r="P266" s="39" t="str">
        <f>IF(AND($L266=$O$7,$B266&lt;'111'!$N$11),"x","")</f>
        <v/>
      </c>
      <c r="Q266" s="39" t="str">
        <f>IF(AND($M266=$O$7,$B266&lt;'111'!$N$11),"x","")</f>
        <v/>
      </c>
      <c r="R266" s="39" t="str">
        <f>IF(ISERROR(FIND('112'!$M$9,G266,1)),"",IF((AND(FIND('112'!$M$9,G266,1)&gt;=1,$B266&gt;='112'!$N$8,$B266&lt;='112'!$O$8,OR($L266='112'!$I$6,$M266='112'!$I$6))),"x",""))</f>
        <v/>
      </c>
      <c r="S266" s="39" t="str">
        <f>IF(ISERROR(FIND('112'!$M$9,G266,1)),"",IF((AND(LEFT(G266,2)=LEFT('112'!$M$9,2),B266&lt;'112'!$N$8,$L266='112'!$I$6)),"x",""))</f>
        <v/>
      </c>
      <c r="T266" s="39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39" t="str">
        <f>IF(OR(TH!L266=TH!$V$7,M266=TH!$V$7),"x","")</f>
        <v/>
      </c>
      <c r="W266" s="39" t="str">
        <f>IF(AND(B266&gt;='IN-NX'!$P$3,B266&lt;='IN-NX'!$Q$3,'IN-NX'!$D$7=D266,OR(LEFT(L266,2)="15",AND(LEFT(M266,2)&lt;&gt;"15",LEFT(M266,2)&lt;&gt;"33"))),"x","")</f>
        <v/>
      </c>
      <c r="X266" s="39" t="str">
        <f>IF(AND(OR(LEFT(TH!L266,2)="15",LEFT(TH!M266,2)="15"),'152-CT'!$J$8=TH!F266),"x","")</f>
        <v/>
      </c>
      <c r="Y266" s="39" t="str">
        <f>IF(AND(OR(LEFT(TH!L266,2)="15",LEFT(TH!M266,2)="15"),TK!$E$7=TH!F266),"x","")</f>
        <v/>
      </c>
      <c r="Z266" s="39" t="str">
        <f>IF(AND(B266&lt;=NKC!$N$8,B266&gt;=NKC!$M$8),"x","")</f>
        <v/>
      </c>
      <c r="AA266" s="894"/>
      <c r="AB266" s="598" t="e">
        <f t="shared" si="10"/>
        <v>#N/A</v>
      </c>
    </row>
    <row r="267" spans="1:28" ht="15.75" customHeight="1">
      <c r="A267" s="199" t="str">
        <f>IF(B267&lt;&gt;"",IF(AND(B267&gt;=_TM1,B267&lt;=_TM2,OR(TH!L267="1111",TH!M267="1111")),TH!D267,""),"")</f>
        <v/>
      </c>
      <c r="B267" s="36">
        <f t="shared" si="11"/>
        <v>1</v>
      </c>
      <c r="C267" s="190">
        <f t="shared" si="12"/>
        <v>0</v>
      </c>
      <c r="D267" s="190"/>
      <c r="E267" s="190"/>
      <c r="F267" s="191"/>
      <c r="G267" s="191"/>
      <c r="H267" s="192"/>
      <c r="I267" s="253"/>
      <c r="J267" s="253"/>
      <c r="K267" s="38"/>
      <c r="L267" s="193"/>
      <c r="M267" s="193"/>
      <c r="N267" s="39" t="str">
        <f>IF(AND('331-CT'!$E$7=TH!H267,OR(L267="331",M267="331")),"331",IF(AND(OR(L267="131",M267="131"),H267='131-CT'!$E$7),"131",""))</f>
        <v/>
      </c>
      <c r="O267" s="39" t="str">
        <f>IF(AND($B267&gt;='111'!$N$11,$B267&lt;='111'!$O$11,OR($L267=$O$7,$M267=$O$7)),"x","")</f>
        <v/>
      </c>
      <c r="P267" s="39" t="str">
        <f>IF(AND($L267=$O$7,$B267&lt;'111'!$N$11),"x","")</f>
        <v/>
      </c>
      <c r="Q267" s="39" t="str">
        <f>IF(AND($M267=$O$7,$B267&lt;'111'!$N$11),"x","")</f>
        <v/>
      </c>
      <c r="R267" s="39" t="str">
        <f>IF(ISERROR(FIND('112'!$M$9,G267,1)),"",IF((AND(FIND('112'!$M$9,G267,1)&gt;=1,$B267&gt;='112'!$N$8,$B267&lt;='112'!$O$8,OR($L267='112'!$I$6,$M267='112'!$I$6))),"x",""))</f>
        <v/>
      </c>
      <c r="S267" s="39" t="str">
        <f>IF(ISERROR(FIND('112'!$M$9,G267,1)),"",IF((AND(LEFT(G267,2)=LEFT('112'!$M$9,2),B267&lt;'112'!$N$8,$L267='112'!$I$6)),"x",""))</f>
        <v/>
      </c>
      <c r="T267" s="39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39" t="str">
        <f>IF(OR(TH!L267=TH!$V$7,M267=TH!$V$7),"x","")</f>
        <v/>
      </c>
      <c r="W267" s="39" t="str">
        <f>IF(AND(B267&gt;='IN-NX'!$P$3,B267&lt;='IN-NX'!$Q$3,'IN-NX'!$D$7=D267,OR(LEFT(L267,2)="15",AND(LEFT(M267,2)&lt;&gt;"15",LEFT(M267,2)&lt;&gt;"33"))),"x","")</f>
        <v/>
      </c>
      <c r="X267" s="39" t="str">
        <f>IF(AND(OR(LEFT(TH!L267,2)="15",LEFT(TH!M267,2)="15"),'152-CT'!$J$8=TH!F267),"x","")</f>
        <v/>
      </c>
      <c r="Y267" s="39" t="str">
        <f>IF(AND(OR(LEFT(TH!L267,2)="15",LEFT(TH!M267,2)="15"),TK!$E$7=TH!F267),"x","")</f>
        <v/>
      </c>
      <c r="Z267" s="39" t="str">
        <f>IF(AND(B267&lt;=NKC!$N$8,B267&gt;=NKC!$M$8),"x","")</f>
        <v/>
      </c>
      <c r="AA267" s="894"/>
      <c r="AB267" s="598" t="e">
        <f t="shared" si="10"/>
        <v>#N/A</v>
      </c>
    </row>
    <row r="268" spans="1:28" ht="15.75" customHeight="1">
      <c r="A268" s="199" t="str">
        <f>IF(B268&lt;&gt;"",IF(AND(B268&gt;=_TM1,B268&lt;=_TM2,OR(TH!L268="1111",TH!M268="1111")),TH!D268,""),"")</f>
        <v/>
      </c>
      <c r="B268" s="36">
        <f t="shared" si="11"/>
        <v>1</v>
      </c>
      <c r="C268" s="190">
        <f t="shared" si="12"/>
        <v>0</v>
      </c>
      <c r="D268" s="190"/>
      <c r="E268" s="190"/>
      <c r="F268" s="191"/>
      <c r="G268" s="491"/>
      <c r="H268" s="192"/>
      <c r="I268" s="253"/>
      <c r="J268" s="253"/>
      <c r="K268" s="38"/>
      <c r="L268" s="193"/>
      <c r="M268" s="193"/>
      <c r="N268" s="39" t="str">
        <f>IF(AND('331-CT'!$E$7=TH!H268,OR(L268="331",M268="331")),"331",IF(AND(OR(L268="131",M268="131"),H268='131-CT'!$E$7),"131",""))</f>
        <v/>
      </c>
      <c r="O268" s="39" t="str">
        <f>IF(AND($B268&gt;='111'!$N$11,$B268&lt;='111'!$O$11,OR($L268=$O$7,$M268=$O$7)),"x","")</f>
        <v/>
      </c>
      <c r="P268" s="39" t="str">
        <f>IF(AND($L268=$O$7,$B268&lt;'111'!$N$11),"x","")</f>
        <v/>
      </c>
      <c r="Q268" s="39" t="str">
        <f>IF(AND($M268=$O$7,$B268&lt;'111'!$N$11),"x","")</f>
        <v/>
      </c>
      <c r="R268" s="39" t="str">
        <f>IF(ISERROR(FIND('112'!$M$9,G268,1)),"",IF((AND(FIND('112'!$M$9,G268,1)&gt;=1,$B268&gt;='112'!$N$8,$B268&lt;='112'!$O$8,OR($L268='112'!$I$6,$M268='112'!$I$6))),"x",""))</f>
        <v/>
      </c>
      <c r="S268" s="39" t="str">
        <f>IF(ISERROR(FIND('112'!$M$9,G268,1)),"",IF((AND(LEFT(G268,2)=LEFT('112'!$M$9,2),B268&lt;'112'!$N$8,$L268='112'!$I$6)),"x",""))</f>
        <v/>
      </c>
      <c r="T268" s="39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39" t="str">
        <f>IF(OR(TH!L268=TH!$V$7,M268=TH!$V$7),"x","")</f>
        <v/>
      </c>
      <c r="W268" s="39" t="str">
        <f>IF(AND(B268&gt;='IN-NX'!$P$3,B268&lt;='IN-NX'!$Q$3,'IN-NX'!$D$7=D268,OR(LEFT(L268,2)="15",AND(LEFT(M268,2)&lt;&gt;"15",LEFT(M268,2)&lt;&gt;"33"))),"x","")</f>
        <v/>
      </c>
      <c r="X268" s="39" t="str">
        <f>IF(AND(OR(LEFT(TH!L268,2)="15",LEFT(TH!M268,2)="15"),'152-CT'!$J$8=TH!F268),"x","")</f>
        <v/>
      </c>
      <c r="Y268" s="39" t="str">
        <f>IF(AND(OR(LEFT(TH!L268,2)="15",LEFT(TH!M268,2)="15"),TK!$E$7=TH!F268),"x","")</f>
        <v/>
      </c>
      <c r="Z268" s="39" t="str">
        <f>IF(AND(B268&lt;=NKC!$N$8,B268&gt;=NKC!$M$8),"x","")</f>
        <v/>
      </c>
      <c r="AA268" s="894"/>
      <c r="AB268" s="598" t="e">
        <f t="shared" ref="AB268:AB331" si="13">IF(VLOOKUP(H268,DS_131,1,0)&lt;&gt;"","","x")</f>
        <v>#N/A</v>
      </c>
    </row>
    <row r="269" spans="1:28" ht="15.75" customHeight="1">
      <c r="A269" s="199" t="str">
        <f>IF(B269&lt;&gt;"",IF(AND(B269&gt;=_TM1,B269&lt;=_TM2,OR(TH!L269="1111",TH!M269="1111")),TH!D269,""),"")</f>
        <v/>
      </c>
      <c r="B269" s="36">
        <f t="shared" si="11"/>
        <v>1</v>
      </c>
      <c r="C269" s="190">
        <f t="shared" si="12"/>
        <v>0</v>
      </c>
      <c r="D269" s="190"/>
      <c r="E269" s="190"/>
      <c r="F269" s="191"/>
      <c r="G269" s="191"/>
      <c r="H269" s="192"/>
      <c r="I269" s="253"/>
      <c r="J269" s="253"/>
      <c r="K269" s="38"/>
      <c r="L269" s="193"/>
      <c r="M269" s="193"/>
      <c r="N269" s="39" t="str">
        <f>IF(AND('331-CT'!$E$7=TH!H269,OR(L269="331",M269="331")),"331",IF(AND(OR(L269="131",M269="131"),H269='131-CT'!$E$7),"131",""))</f>
        <v/>
      </c>
      <c r="O269" s="39" t="str">
        <f>IF(AND($B269&gt;='111'!$N$11,$B269&lt;='111'!$O$11,OR($L269=$O$7,$M269=$O$7)),"x","")</f>
        <v/>
      </c>
      <c r="P269" s="39" t="str">
        <f>IF(AND($L269=$O$7,$B269&lt;'111'!$N$11),"x","")</f>
        <v/>
      </c>
      <c r="Q269" s="39" t="str">
        <f>IF(AND($M269=$O$7,$B269&lt;'111'!$N$11),"x","")</f>
        <v/>
      </c>
      <c r="R269" s="39" t="str">
        <f>IF(ISERROR(FIND('112'!$M$9,G269,1)),"",IF((AND(FIND('112'!$M$9,G269,1)&gt;=1,$B269&gt;='112'!$N$8,$B269&lt;='112'!$O$8,OR($L269='112'!$I$6,$M269='112'!$I$6))),"x",""))</f>
        <v/>
      </c>
      <c r="S269" s="39" t="str">
        <f>IF(ISERROR(FIND('112'!$M$9,G269,1)),"",IF((AND(LEFT(G269,2)=LEFT('112'!$M$9,2),B269&lt;'112'!$N$8,$L269='112'!$I$6)),"x",""))</f>
        <v/>
      </c>
      <c r="T269" s="39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39" t="str">
        <f>IF(OR(TH!L269=TH!$V$7,M269=TH!$V$7),"x","")</f>
        <v/>
      </c>
      <c r="W269" s="39" t="str">
        <f>IF(AND(B269&gt;='IN-NX'!$P$3,B269&lt;='IN-NX'!$Q$3,'IN-NX'!$D$7=D269,OR(LEFT(L269,2)="15",AND(LEFT(M269,2)&lt;&gt;"15",LEFT(M269,2)&lt;&gt;"33"))),"x","")</f>
        <v/>
      </c>
      <c r="X269" s="39" t="str">
        <f>IF(AND(OR(LEFT(TH!L269,2)="15",LEFT(TH!M269,2)="15"),'152-CT'!$J$8=TH!F269),"x","")</f>
        <v/>
      </c>
      <c r="Y269" s="39" t="str">
        <f>IF(AND(OR(LEFT(TH!L269,2)="15",LEFT(TH!M269,2)="15"),TK!$E$7=TH!F269),"x","")</f>
        <v/>
      </c>
      <c r="Z269" s="39" t="str">
        <f>IF(AND(B269&lt;=NKC!$N$8,B269&gt;=NKC!$M$8),"x","")</f>
        <v/>
      </c>
      <c r="AA269" s="894"/>
      <c r="AB269" s="598" t="e">
        <f t="shared" si="13"/>
        <v>#N/A</v>
      </c>
    </row>
    <row r="270" spans="1:28" ht="15.75" customHeight="1">
      <c r="A270" s="199" t="str">
        <f>IF(B270&lt;&gt;"",IF(AND(B270&gt;=_TM1,B270&lt;=_TM2,OR(TH!L270="1111",TH!M270="1111")),TH!D270,""),"")</f>
        <v/>
      </c>
      <c r="B270" s="36">
        <f t="shared" si="11"/>
        <v>1</v>
      </c>
      <c r="C270" s="190">
        <f t="shared" si="12"/>
        <v>0</v>
      </c>
      <c r="D270" s="190"/>
      <c r="E270" s="190"/>
      <c r="F270" s="191"/>
      <c r="G270" s="491"/>
      <c r="H270" s="192"/>
      <c r="I270" s="253"/>
      <c r="J270" s="253"/>
      <c r="K270" s="38"/>
      <c r="L270" s="193"/>
      <c r="M270" s="193"/>
      <c r="N270" s="39" t="str">
        <f>IF(AND('331-CT'!$E$7=TH!H270,OR(L270="331",M270="331")),"331",IF(AND(OR(L270="131",M270="131"),H270='131-CT'!$E$7),"131",""))</f>
        <v/>
      </c>
      <c r="O270" s="39" t="str">
        <f>IF(AND($B270&gt;='111'!$N$11,$B270&lt;='111'!$O$11,OR($L270=$O$7,$M270=$O$7)),"x","")</f>
        <v/>
      </c>
      <c r="P270" s="39" t="str">
        <f>IF(AND($L270=$O$7,$B270&lt;'111'!$N$11),"x","")</f>
        <v/>
      </c>
      <c r="Q270" s="39" t="str">
        <f>IF(AND($M270=$O$7,$B270&lt;'111'!$N$11),"x","")</f>
        <v/>
      </c>
      <c r="R270" s="39" t="str">
        <f>IF(ISERROR(FIND('112'!$M$9,G270,1)),"",IF((AND(FIND('112'!$M$9,G270,1)&gt;=1,$B270&gt;='112'!$N$8,$B270&lt;='112'!$O$8,OR($L270='112'!$I$6,$M270='112'!$I$6))),"x",""))</f>
        <v/>
      </c>
      <c r="S270" s="39" t="str">
        <f>IF(ISERROR(FIND('112'!$M$9,G270,1)),"",IF((AND(LEFT(G270,2)=LEFT('112'!$M$9,2),B270&lt;'112'!$N$8,$L270='112'!$I$6)),"x",""))</f>
        <v/>
      </c>
      <c r="T270" s="39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39" t="str">
        <f>IF(OR(TH!L270=TH!$V$7,M270=TH!$V$7),"x","")</f>
        <v/>
      </c>
      <c r="W270" s="39" t="str">
        <f>IF(AND(B270&gt;='IN-NX'!$P$3,B270&lt;='IN-NX'!$Q$3,'IN-NX'!$D$7=D270,OR(LEFT(L270,2)="15",AND(LEFT(M270,2)&lt;&gt;"15",LEFT(M270,2)&lt;&gt;"33"))),"x","")</f>
        <v/>
      </c>
      <c r="X270" s="39" t="str">
        <f>IF(AND(OR(LEFT(TH!L270,2)="15",LEFT(TH!M270,2)="15"),'152-CT'!$J$8=TH!F270),"x","")</f>
        <v/>
      </c>
      <c r="Y270" s="39" t="str">
        <f>IF(AND(OR(LEFT(TH!L270,2)="15",LEFT(TH!M270,2)="15"),TK!$E$7=TH!F270),"x","")</f>
        <v/>
      </c>
      <c r="Z270" s="39" t="str">
        <f>IF(AND(B270&lt;=NKC!$N$8,B270&gt;=NKC!$M$8),"x","")</f>
        <v/>
      </c>
      <c r="AA270" s="894"/>
      <c r="AB270" s="598" t="e">
        <f t="shared" si="13"/>
        <v>#N/A</v>
      </c>
    </row>
    <row r="271" spans="1:28" ht="15.75" customHeight="1">
      <c r="A271" s="199" t="str">
        <f>IF(B271&lt;&gt;"",IF(AND(B271&gt;=_TM1,B271&lt;=_TM2,OR(TH!L271="1111",TH!M271="1111")),TH!D271,""),"")</f>
        <v/>
      </c>
      <c r="B271" s="36">
        <f t="shared" si="11"/>
        <v>1</v>
      </c>
      <c r="C271" s="190">
        <f t="shared" si="12"/>
        <v>0</v>
      </c>
      <c r="D271" s="190"/>
      <c r="E271" s="190"/>
      <c r="F271" s="191"/>
      <c r="G271" s="191"/>
      <c r="H271" s="192"/>
      <c r="I271" s="253"/>
      <c r="J271" s="253"/>
      <c r="K271" s="38"/>
      <c r="L271" s="193"/>
      <c r="M271" s="193"/>
      <c r="N271" s="39" t="str">
        <f>IF(AND('331-CT'!$E$7=TH!H271,OR(L271="331",M271="331")),"331",IF(AND(OR(L271="131",M271="131"),H271='131-CT'!$E$7),"131",""))</f>
        <v/>
      </c>
      <c r="O271" s="39" t="str">
        <f>IF(AND($B271&gt;='111'!$N$11,$B271&lt;='111'!$O$11,OR($L271=$O$7,$M271=$O$7)),"x","")</f>
        <v/>
      </c>
      <c r="P271" s="39" t="str">
        <f>IF(AND($L271=$O$7,$B271&lt;'111'!$N$11),"x","")</f>
        <v/>
      </c>
      <c r="Q271" s="39" t="str">
        <f>IF(AND($M271=$O$7,$B271&lt;'111'!$N$11),"x","")</f>
        <v/>
      </c>
      <c r="R271" s="39" t="str">
        <f>IF(ISERROR(FIND('112'!$M$9,G271,1)),"",IF((AND(FIND('112'!$M$9,G271,1)&gt;=1,$B271&gt;='112'!$N$8,$B271&lt;='112'!$O$8,OR($L271='112'!$I$6,$M271='112'!$I$6))),"x",""))</f>
        <v/>
      </c>
      <c r="S271" s="39" t="str">
        <f>IF(ISERROR(FIND('112'!$M$9,G271,1)),"",IF((AND(LEFT(G271,2)=LEFT('112'!$M$9,2),B271&lt;'112'!$N$8,$L271='112'!$I$6)),"x",""))</f>
        <v/>
      </c>
      <c r="T271" s="39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39" t="str">
        <f>IF(OR(TH!L271=TH!$V$7,M271=TH!$V$7),"x","")</f>
        <v/>
      </c>
      <c r="W271" s="39" t="str">
        <f>IF(AND(B271&gt;='IN-NX'!$P$3,B271&lt;='IN-NX'!$Q$3,'IN-NX'!$D$7=D271,OR(LEFT(L271,2)="15",AND(LEFT(M271,2)&lt;&gt;"15",LEFT(M271,2)&lt;&gt;"33"))),"x","")</f>
        <v/>
      </c>
      <c r="X271" s="39" t="str">
        <f>IF(AND(OR(LEFT(TH!L271,2)="15",LEFT(TH!M271,2)="15"),'152-CT'!$J$8=TH!F271),"x","")</f>
        <v/>
      </c>
      <c r="Y271" s="39" t="str">
        <f>IF(AND(OR(LEFT(TH!L271,2)="15",LEFT(TH!M271,2)="15"),TK!$E$7=TH!F271),"x","")</f>
        <v/>
      </c>
      <c r="Z271" s="39" t="str">
        <f>IF(AND(B271&lt;=NKC!$N$8,B271&gt;=NKC!$M$8),"x","")</f>
        <v/>
      </c>
      <c r="AA271" s="894"/>
      <c r="AB271" s="598" t="e">
        <f t="shared" si="13"/>
        <v>#N/A</v>
      </c>
    </row>
    <row r="272" spans="1:28" ht="15.75" customHeight="1">
      <c r="A272" s="199" t="str">
        <f>IF(B272&lt;&gt;"",IF(AND(B272&gt;=_TM1,B272&lt;=_TM2,OR(TH!L272="1111",TH!M272="1111")),TH!D272,""),"")</f>
        <v/>
      </c>
      <c r="B272" s="36">
        <f t="shared" si="11"/>
        <v>1</v>
      </c>
      <c r="C272" s="190">
        <f t="shared" si="12"/>
        <v>0</v>
      </c>
      <c r="D272" s="190"/>
      <c r="E272" s="190"/>
      <c r="F272" s="191"/>
      <c r="G272" s="491"/>
      <c r="H272" s="192"/>
      <c r="I272" s="253"/>
      <c r="J272" s="253"/>
      <c r="K272" s="38"/>
      <c r="L272" s="193"/>
      <c r="M272" s="193"/>
      <c r="N272" s="39" t="str">
        <f>IF(AND('331-CT'!$E$7=TH!H272,OR(L272="331",M272="331")),"331",IF(AND(OR(L272="131",M272="131"),H272='131-CT'!$E$7),"131",""))</f>
        <v/>
      </c>
      <c r="O272" s="39" t="str">
        <f>IF(AND($B272&gt;='111'!$N$11,$B272&lt;='111'!$O$11,OR($L272=$O$7,$M272=$O$7)),"x","")</f>
        <v/>
      </c>
      <c r="P272" s="39" t="str">
        <f>IF(AND($L272=$O$7,$B272&lt;'111'!$N$11),"x","")</f>
        <v/>
      </c>
      <c r="Q272" s="39" t="str">
        <f>IF(AND($M272=$O$7,$B272&lt;'111'!$N$11),"x","")</f>
        <v/>
      </c>
      <c r="R272" s="39" t="str">
        <f>IF(ISERROR(FIND('112'!$M$9,G272,1)),"",IF((AND(FIND('112'!$M$9,G272,1)&gt;=1,$B272&gt;='112'!$N$8,$B272&lt;='112'!$O$8,OR($L272='112'!$I$6,$M272='112'!$I$6))),"x",""))</f>
        <v/>
      </c>
      <c r="S272" s="39" t="str">
        <f>IF(ISERROR(FIND('112'!$M$9,G272,1)),"",IF((AND(LEFT(G272,2)=LEFT('112'!$M$9,2),B272&lt;'112'!$N$8,$L272='112'!$I$6)),"x",""))</f>
        <v/>
      </c>
      <c r="T272" s="39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39" t="str">
        <f>IF(OR(TH!L272=TH!$V$7,M272=TH!$V$7),"x","")</f>
        <v/>
      </c>
      <c r="W272" s="39" t="str">
        <f>IF(AND(B272&gt;='IN-NX'!$P$3,B272&lt;='IN-NX'!$Q$3,'IN-NX'!$D$7=D272,OR(LEFT(L272,2)="15",AND(LEFT(M272,2)&lt;&gt;"15",LEFT(M272,2)&lt;&gt;"33"))),"x","")</f>
        <v/>
      </c>
      <c r="X272" s="39" t="str">
        <f>IF(AND(OR(LEFT(TH!L272,2)="15",LEFT(TH!M272,2)="15"),'152-CT'!$J$8=TH!F272),"x","")</f>
        <v/>
      </c>
      <c r="Y272" s="39" t="str">
        <f>IF(AND(OR(LEFT(TH!L272,2)="15",LEFT(TH!M272,2)="15"),TK!$E$7=TH!F272),"x","")</f>
        <v/>
      </c>
      <c r="Z272" s="39" t="str">
        <f>IF(AND(B272&lt;=NKC!$N$8,B272&gt;=NKC!$M$8),"x","")</f>
        <v/>
      </c>
      <c r="AA272" s="894"/>
      <c r="AB272" s="598" t="e">
        <f t="shared" si="13"/>
        <v>#N/A</v>
      </c>
    </row>
    <row r="273" spans="1:28" ht="15.75" customHeight="1">
      <c r="A273" s="199" t="str">
        <f>IF(B273&lt;&gt;"",IF(AND(B273&gt;=_TM1,B273&lt;=_TM2,OR(TH!L273="1111",TH!M273="1111")),TH!D273,""),"")</f>
        <v/>
      </c>
      <c r="B273" s="36">
        <f t="shared" si="11"/>
        <v>1</v>
      </c>
      <c r="C273" s="190">
        <f t="shared" si="12"/>
        <v>0</v>
      </c>
      <c r="D273" s="190"/>
      <c r="E273" s="190"/>
      <c r="F273" s="191"/>
      <c r="G273" s="191"/>
      <c r="H273" s="192"/>
      <c r="I273" s="253"/>
      <c r="J273" s="253"/>
      <c r="K273" s="38"/>
      <c r="L273" s="193"/>
      <c r="M273" s="193"/>
      <c r="N273" s="39" t="str">
        <f>IF(AND('331-CT'!$E$7=TH!H273,OR(L273="331",M273="331")),"331",IF(AND(OR(L273="131",M273="131"),H273='131-CT'!$E$7),"131",""))</f>
        <v/>
      </c>
      <c r="O273" s="39" t="str">
        <f>IF(AND($B273&gt;='111'!$N$11,$B273&lt;='111'!$O$11,OR($L273=$O$7,$M273=$O$7)),"x","")</f>
        <v/>
      </c>
      <c r="P273" s="39" t="str">
        <f>IF(AND($L273=$O$7,$B273&lt;'111'!$N$11),"x","")</f>
        <v/>
      </c>
      <c r="Q273" s="39" t="str">
        <f>IF(AND($M273=$O$7,$B273&lt;'111'!$N$11),"x","")</f>
        <v/>
      </c>
      <c r="R273" s="39" t="str">
        <f>IF(ISERROR(FIND('112'!$M$9,G273,1)),"",IF((AND(FIND('112'!$M$9,G273,1)&gt;=1,$B273&gt;='112'!$N$8,$B273&lt;='112'!$O$8,OR($L273='112'!$I$6,$M273='112'!$I$6))),"x",""))</f>
        <v/>
      </c>
      <c r="S273" s="39" t="str">
        <f>IF(ISERROR(FIND('112'!$M$9,G273,1)),"",IF((AND(LEFT(G273,2)=LEFT('112'!$M$9,2),B273&lt;'112'!$N$8,$L273='112'!$I$6)),"x",""))</f>
        <v/>
      </c>
      <c r="T273" s="39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39" t="str">
        <f>IF(OR(TH!L273=TH!$V$7,M273=TH!$V$7),"x","")</f>
        <v/>
      </c>
      <c r="W273" s="39" t="str">
        <f>IF(AND(B273&gt;='IN-NX'!$P$3,B273&lt;='IN-NX'!$Q$3,'IN-NX'!$D$7=D273,OR(LEFT(L273,2)="15",AND(LEFT(M273,2)&lt;&gt;"15",LEFT(M273,2)&lt;&gt;"33"))),"x","")</f>
        <v/>
      </c>
      <c r="X273" s="39" t="str">
        <f>IF(AND(OR(LEFT(TH!L273,2)="15",LEFT(TH!M273,2)="15"),'152-CT'!$J$8=TH!F273),"x","")</f>
        <v/>
      </c>
      <c r="Y273" s="39" t="str">
        <f>IF(AND(OR(LEFT(TH!L273,2)="15",LEFT(TH!M273,2)="15"),TK!$E$7=TH!F273),"x","")</f>
        <v/>
      </c>
      <c r="Z273" s="39" t="str">
        <f>IF(AND(B273&lt;=NKC!$N$8,B273&gt;=NKC!$M$8),"x","")</f>
        <v/>
      </c>
      <c r="AA273" s="894"/>
      <c r="AB273" s="598" t="e">
        <f t="shared" si="13"/>
        <v>#N/A</v>
      </c>
    </row>
    <row r="274" spans="1:28" ht="15.75" customHeight="1">
      <c r="A274" s="199" t="str">
        <f>IF(B274&lt;&gt;"",IF(AND(B274&gt;=_TM1,B274&lt;=_TM2,OR(TH!L274="1111",TH!M274="1111")),TH!D274,""),"")</f>
        <v/>
      </c>
      <c r="B274" s="36">
        <f t="shared" si="11"/>
        <v>1</v>
      </c>
      <c r="C274" s="190">
        <f t="shared" si="12"/>
        <v>0</v>
      </c>
      <c r="D274" s="190"/>
      <c r="E274" s="190"/>
      <c r="F274" s="191"/>
      <c r="G274" s="491"/>
      <c r="H274" s="192"/>
      <c r="I274" s="253"/>
      <c r="J274" s="253"/>
      <c r="K274" s="38"/>
      <c r="L274" s="193"/>
      <c r="M274" s="193"/>
      <c r="N274" s="39" t="str">
        <f>IF(AND('331-CT'!$E$7=TH!H274,OR(L274="331",M274="331")),"331",IF(AND(OR(L274="131",M274="131"),H274='131-CT'!$E$7),"131",""))</f>
        <v/>
      </c>
      <c r="O274" s="39" t="str">
        <f>IF(AND($B274&gt;='111'!$N$11,$B274&lt;='111'!$O$11,OR($L274=$O$7,$M274=$O$7)),"x","")</f>
        <v/>
      </c>
      <c r="P274" s="39" t="str">
        <f>IF(AND($L274=$O$7,$B274&lt;'111'!$N$11),"x","")</f>
        <v/>
      </c>
      <c r="Q274" s="39" t="str">
        <f>IF(AND($M274=$O$7,$B274&lt;'111'!$N$11),"x","")</f>
        <v/>
      </c>
      <c r="R274" s="39" t="str">
        <f>IF(ISERROR(FIND('112'!$M$9,G274,1)),"",IF((AND(FIND('112'!$M$9,G274,1)&gt;=1,$B274&gt;='112'!$N$8,$B274&lt;='112'!$O$8,OR($L274='112'!$I$6,$M274='112'!$I$6))),"x",""))</f>
        <v/>
      </c>
      <c r="S274" s="39" t="str">
        <f>IF(ISERROR(FIND('112'!$M$9,G274,1)),"",IF((AND(LEFT(G274,2)=LEFT('112'!$M$9,2),B274&lt;'112'!$N$8,$L274='112'!$I$6)),"x",""))</f>
        <v/>
      </c>
      <c r="T274" s="39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39" t="str">
        <f>IF(OR(TH!L274=TH!$V$7,M274=TH!$V$7),"x","")</f>
        <v/>
      </c>
      <c r="W274" s="39" t="str">
        <f>IF(AND(B274&gt;='IN-NX'!$P$3,B274&lt;='IN-NX'!$Q$3,'IN-NX'!$D$7=D274,OR(LEFT(L274,2)="15",AND(LEFT(M274,2)&lt;&gt;"15",LEFT(M274,2)&lt;&gt;"33"))),"x","")</f>
        <v/>
      </c>
      <c r="X274" s="39" t="str">
        <f>IF(AND(OR(LEFT(TH!L274,2)="15",LEFT(TH!M274,2)="15"),'152-CT'!$J$8=TH!F274),"x","")</f>
        <v/>
      </c>
      <c r="Y274" s="39" t="str">
        <f>IF(AND(OR(LEFT(TH!L274,2)="15",LEFT(TH!M274,2)="15"),TK!$E$7=TH!F274),"x","")</f>
        <v/>
      </c>
      <c r="Z274" s="39" t="str">
        <f>IF(AND(B274&lt;=NKC!$N$8,B274&gt;=NKC!$M$8),"x","")</f>
        <v/>
      </c>
      <c r="AA274" s="894"/>
      <c r="AB274" s="598" t="e">
        <f t="shared" si="13"/>
        <v>#N/A</v>
      </c>
    </row>
    <row r="275" spans="1:28" ht="15.75" customHeight="1">
      <c r="A275" s="199" t="str">
        <f>IF(B275&lt;&gt;"",IF(AND(B275&gt;=_TM1,B275&lt;=_TM2,OR(TH!L275="1111",TH!M275="1111")),TH!D275,""),"")</f>
        <v/>
      </c>
      <c r="B275" s="36">
        <f t="shared" si="11"/>
        <v>1</v>
      </c>
      <c r="C275" s="190">
        <f t="shared" si="12"/>
        <v>0</v>
      </c>
      <c r="D275" s="190"/>
      <c r="E275" s="190"/>
      <c r="F275" s="191"/>
      <c r="G275" s="191"/>
      <c r="H275" s="204"/>
      <c r="I275" s="254"/>
      <c r="J275" s="254"/>
      <c r="K275" s="38"/>
      <c r="L275" s="193"/>
      <c r="M275" s="193"/>
      <c r="N275" s="39" t="str">
        <f>IF(AND('331-CT'!$E$7=TH!H275,OR(L275="331",M275="331")),"331",IF(AND(OR(L275="131",M275="131"),H275='131-CT'!$E$7),"131",""))</f>
        <v/>
      </c>
      <c r="O275" s="39" t="str">
        <f>IF(AND($B275&gt;='111'!$N$11,$B275&lt;='111'!$O$11,OR($L275=$O$7,$M275=$O$7)),"x","")</f>
        <v/>
      </c>
      <c r="P275" s="39" t="str">
        <f>IF(AND($L275=$O$7,$B275&lt;'111'!$N$11),"x","")</f>
        <v/>
      </c>
      <c r="Q275" s="39" t="str">
        <f>IF(AND($M275=$O$7,$B275&lt;'111'!$N$11),"x","")</f>
        <v/>
      </c>
      <c r="R275" s="39" t="str">
        <f>IF(ISERROR(FIND('112'!$M$9,G275,1)),"",IF((AND(FIND('112'!$M$9,G275,1)&gt;=1,$B275&gt;='112'!$N$8,$B275&lt;='112'!$O$8,OR($L275='112'!$I$6,$M275='112'!$I$6))),"x",""))</f>
        <v/>
      </c>
      <c r="S275" s="39" t="str">
        <f>IF(ISERROR(FIND('112'!$M$9,G275,1)),"",IF((AND(LEFT(G275,2)=LEFT('112'!$M$9,2),B275&lt;'112'!$N$8,$L275='112'!$I$6)),"x",""))</f>
        <v/>
      </c>
      <c r="T275" s="39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39" t="str">
        <f>IF(OR(TH!L275=TH!$V$7,M275=TH!$V$7),"x","")</f>
        <v/>
      </c>
      <c r="W275" s="39" t="str">
        <f>IF(AND(B275&gt;='IN-NX'!$P$3,B275&lt;='IN-NX'!$Q$3,'IN-NX'!$D$7=D275,OR(LEFT(L275,2)="15",AND(LEFT(M275,2)&lt;&gt;"15",LEFT(M275,2)&lt;&gt;"33"))),"x","")</f>
        <v/>
      </c>
      <c r="X275" s="39" t="str">
        <f>IF(AND(OR(LEFT(TH!L275,2)="15",LEFT(TH!M275,2)="15"),'152-CT'!$J$8=TH!F275),"x","")</f>
        <v/>
      </c>
      <c r="Y275" s="39" t="str">
        <f>IF(AND(OR(LEFT(TH!L275,2)="15",LEFT(TH!M275,2)="15"),TK!$E$7=TH!F275),"x","")</f>
        <v/>
      </c>
      <c r="Z275" s="39" t="str">
        <f>IF(AND(B275&lt;=NKC!$N$8,B275&gt;=NKC!$M$8),"x","")</f>
        <v/>
      </c>
      <c r="AA275" s="894"/>
      <c r="AB275" s="598" t="e">
        <f t="shared" si="13"/>
        <v>#N/A</v>
      </c>
    </row>
    <row r="276" spans="1:28" ht="15.75" customHeight="1">
      <c r="A276" s="199" t="str">
        <f>IF(B276&lt;&gt;"",IF(AND(B276&gt;=_TM1,B276&lt;=_TM2,OR(TH!L276="1111",TH!M276="1111")),TH!D276,""),"")</f>
        <v/>
      </c>
      <c r="B276" s="36">
        <f t="shared" si="11"/>
        <v>1</v>
      </c>
      <c r="C276" s="190">
        <f t="shared" si="12"/>
        <v>0</v>
      </c>
      <c r="D276" s="190"/>
      <c r="E276" s="190"/>
      <c r="F276" s="191"/>
      <c r="G276" s="191"/>
      <c r="H276" s="192"/>
      <c r="I276" s="253"/>
      <c r="J276" s="253"/>
      <c r="K276" s="38"/>
      <c r="L276" s="193"/>
      <c r="M276" s="193"/>
      <c r="N276" s="39" t="str">
        <f>IF(AND('331-CT'!$E$7=TH!H276,OR(L276="331",M276="331")),"331",IF(AND(OR(L276="131",M276="131"),H276='131-CT'!$E$7),"131",""))</f>
        <v/>
      </c>
      <c r="O276" s="39" t="str">
        <f>IF(AND($B276&gt;='111'!$N$11,$B276&lt;='111'!$O$11,OR($L276=$O$7,$M276=$O$7)),"x","")</f>
        <v/>
      </c>
      <c r="P276" s="39" t="str">
        <f>IF(AND($L276=$O$7,$B276&lt;'111'!$N$11),"x","")</f>
        <v/>
      </c>
      <c r="Q276" s="39" t="str">
        <f>IF(AND($M276=$O$7,$B276&lt;'111'!$N$11),"x","")</f>
        <v/>
      </c>
      <c r="R276" s="39" t="str">
        <f>IF(ISERROR(FIND('112'!$M$9,G276,1)),"",IF((AND(FIND('112'!$M$9,G276,1)&gt;=1,$B276&gt;='112'!$N$8,$B276&lt;='112'!$O$8,OR($L276='112'!$I$6,$M276='112'!$I$6))),"x",""))</f>
        <v/>
      </c>
      <c r="S276" s="39" t="str">
        <f>IF(ISERROR(FIND('112'!$M$9,G276,1)),"",IF((AND(LEFT(G276,2)=LEFT('112'!$M$9,2),B276&lt;'112'!$N$8,$L276='112'!$I$6)),"x",""))</f>
        <v/>
      </c>
      <c r="T276" s="39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39" t="str">
        <f>IF(OR(TH!L276=TH!$V$7,M276=TH!$V$7),"x","")</f>
        <v/>
      </c>
      <c r="W276" s="39" t="str">
        <f>IF(AND(B276&gt;='IN-NX'!$P$3,B276&lt;='IN-NX'!$Q$3,'IN-NX'!$D$7=D276,OR(LEFT(L276,2)="15",AND(LEFT(M276,2)&lt;&gt;"15",LEFT(M276,2)&lt;&gt;"33"))),"x","")</f>
        <v/>
      </c>
      <c r="X276" s="39" t="str">
        <f>IF(AND(OR(LEFT(TH!L276,2)="15",LEFT(TH!M276,2)="15"),'152-CT'!$J$8=TH!F276),"x","")</f>
        <v/>
      </c>
      <c r="Y276" s="39" t="str">
        <f>IF(AND(OR(LEFT(TH!L276,2)="15",LEFT(TH!M276,2)="15"),TK!$E$7=TH!F276),"x","")</f>
        <v/>
      </c>
      <c r="Z276" s="39" t="str">
        <f>IF(AND(B276&lt;=NKC!$N$8,B276&gt;=NKC!$M$8),"x","")</f>
        <v/>
      </c>
      <c r="AA276" s="894"/>
      <c r="AB276" s="598" t="e">
        <f t="shared" si="13"/>
        <v>#N/A</v>
      </c>
    </row>
    <row r="277" spans="1:28" ht="15.75" customHeight="1">
      <c r="A277" s="199" t="str">
        <f>IF(B277&lt;&gt;"",IF(AND(B277&gt;=_TM1,B277&lt;=_TM2,OR(TH!L277="1111",TH!M277="1111")),TH!D277,""),"")</f>
        <v/>
      </c>
      <c r="B277" s="36">
        <f t="shared" si="11"/>
        <v>1</v>
      </c>
      <c r="C277" s="190">
        <f t="shared" si="12"/>
        <v>0</v>
      </c>
      <c r="D277" s="190"/>
      <c r="E277" s="190"/>
      <c r="F277" s="191"/>
      <c r="G277" s="191"/>
      <c r="H277" s="192"/>
      <c r="I277" s="253"/>
      <c r="J277" s="253"/>
      <c r="K277" s="38"/>
      <c r="L277" s="193"/>
      <c r="M277" s="193"/>
      <c r="N277" s="39" t="str">
        <f>IF(AND('331-CT'!$E$7=TH!H277,OR(L277="331",M277="331")),"331",IF(AND(OR(L277="131",M277="131"),H277='131-CT'!$E$7),"131",""))</f>
        <v/>
      </c>
      <c r="O277" s="39" t="str">
        <f>IF(AND($B277&gt;='111'!$N$11,$B277&lt;='111'!$O$11,OR($L277=$O$7,$M277=$O$7)),"x","")</f>
        <v/>
      </c>
      <c r="P277" s="39" t="str">
        <f>IF(AND($L277=$O$7,$B277&lt;'111'!$N$11),"x","")</f>
        <v/>
      </c>
      <c r="Q277" s="39" t="str">
        <f>IF(AND($M277=$O$7,$B277&lt;'111'!$N$11),"x","")</f>
        <v/>
      </c>
      <c r="R277" s="39" t="str">
        <f>IF(ISERROR(FIND('112'!$M$9,G277,1)),"",IF((AND(FIND('112'!$M$9,G277,1)&gt;=1,$B277&gt;='112'!$N$8,$B277&lt;='112'!$O$8,OR($L277='112'!$I$6,$M277='112'!$I$6))),"x",""))</f>
        <v/>
      </c>
      <c r="S277" s="39" t="str">
        <f>IF(ISERROR(FIND('112'!$M$9,G277,1)),"",IF((AND(LEFT(G277,2)=LEFT('112'!$M$9,2),B277&lt;'112'!$N$8,$L277='112'!$I$6)),"x",""))</f>
        <v/>
      </c>
      <c r="T277" s="39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39" t="str">
        <f>IF(OR(TH!L277=TH!$V$7,M277=TH!$V$7),"x","")</f>
        <v/>
      </c>
      <c r="W277" s="39" t="str">
        <f>IF(AND(B277&gt;='IN-NX'!$P$3,B277&lt;='IN-NX'!$Q$3,'IN-NX'!$D$7=D277,OR(LEFT(L277,2)="15",AND(LEFT(M277,2)&lt;&gt;"15",LEFT(M277,2)&lt;&gt;"33"))),"x","")</f>
        <v/>
      </c>
      <c r="X277" s="39" t="str">
        <f>IF(AND(OR(LEFT(TH!L277,2)="15",LEFT(TH!M277,2)="15"),'152-CT'!$J$8=TH!F277),"x","")</f>
        <v/>
      </c>
      <c r="Y277" s="39" t="str">
        <f>IF(AND(OR(LEFT(TH!L277,2)="15",LEFT(TH!M277,2)="15"),TK!$E$7=TH!F277),"x","")</f>
        <v/>
      </c>
      <c r="Z277" s="39" t="str">
        <f>IF(AND(B277&lt;=NKC!$N$8,B277&gt;=NKC!$M$8),"x","")</f>
        <v/>
      </c>
      <c r="AA277" s="894"/>
      <c r="AB277" s="598" t="e">
        <f t="shared" si="13"/>
        <v>#N/A</v>
      </c>
    </row>
    <row r="278" spans="1:28" ht="15.75" customHeight="1">
      <c r="A278" s="199" t="str">
        <f>IF(B278&lt;&gt;"",IF(AND(B278&gt;=_TM1,B278&lt;=_TM2,OR(TH!L278="1111",TH!M278="1111")),TH!D278,""),"")</f>
        <v/>
      </c>
      <c r="B278" s="36">
        <f t="shared" si="11"/>
        <v>1</v>
      </c>
      <c r="C278" s="190">
        <f t="shared" si="12"/>
        <v>0</v>
      </c>
      <c r="D278" s="190"/>
      <c r="E278" s="190"/>
      <c r="F278" s="191"/>
      <c r="G278" s="191"/>
      <c r="H278" s="204"/>
      <c r="I278" s="254"/>
      <c r="J278" s="254"/>
      <c r="K278" s="38"/>
      <c r="L278" s="193"/>
      <c r="M278" s="193"/>
      <c r="N278" s="39" t="str">
        <f>IF(AND('331-CT'!$E$7=TH!H278,OR(L278="331",M278="331")),"331",IF(AND(OR(L278="131",M278="131"),H278='131-CT'!$E$7),"131",""))</f>
        <v/>
      </c>
      <c r="O278" s="39" t="str">
        <f>IF(AND($B278&gt;='111'!$N$11,$B278&lt;='111'!$O$11,OR($L278=$O$7,$M278=$O$7)),"x","")</f>
        <v/>
      </c>
      <c r="P278" s="39" t="str">
        <f>IF(AND($L278=$O$7,$B278&lt;'111'!$N$11),"x","")</f>
        <v/>
      </c>
      <c r="Q278" s="39" t="str">
        <f>IF(AND($M278=$O$7,$B278&lt;'111'!$N$11),"x","")</f>
        <v/>
      </c>
      <c r="R278" s="39" t="str">
        <f>IF(ISERROR(FIND('112'!$M$9,G278,1)),"",IF((AND(FIND('112'!$M$9,G278,1)&gt;=1,$B278&gt;='112'!$N$8,$B278&lt;='112'!$O$8,OR($L278='112'!$I$6,$M278='112'!$I$6))),"x",""))</f>
        <v/>
      </c>
      <c r="S278" s="39" t="str">
        <f>IF(ISERROR(FIND('112'!$M$9,G278,1)),"",IF((AND(LEFT(G278,2)=LEFT('112'!$M$9,2),B278&lt;'112'!$N$8,$L278='112'!$I$6)),"x",""))</f>
        <v/>
      </c>
      <c r="T278" s="39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39" t="str">
        <f>IF(OR(TH!L278=TH!$V$7,M278=TH!$V$7),"x","")</f>
        <v/>
      </c>
      <c r="W278" s="39" t="str">
        <f>IF(AND(B278&gt;='IN-NX'!$P$3,B278&lt;='IN-NX'!$Q$3,'IN-NX'!$D$7=D278,OR(LEFT(L278,2)="15",AND(LEFT(M278,2)&lt;&gt;"15",LEFT(M278,2)&lt;&gt;"33"))),"x","")</f>
        <v/>
      </c>
      <c r="X278" s="39" t="str">
        <f>IF(AND(OR(LEFT(TH!L278,2)="15",LEFT(TH!M278,2)="15"),'152-CT'!$J$8=TH!F278),"x","")</f>
        <v/>
      </c>
      <c r="Y278" s="39" t="str">
        <f>IF(AND(OR(LEFT(TH!L278,2)="15",LEFT(TH!M278,2)="15"),TK!$E$7=TH!F278),"x","")</f>
        <v/>
      </c>
      <c r="Z278" s="39" t="str">
        <f>IF(AND(B278&lt;=NKC!$N$8,B278&gt;=NKC!$M$8),"x","")</f>
        <v/>
      </c>
      <c r="AA278" s="894"/>
      <c r="AB278" s="598" t="e">
        <f t="shared" si="13"/>
        <v>#N/A</v>
      </c>
    </row>
    <row r="279" spans="1:28" ht="15.75" customHeight="1">
      <c r="A279" s="199" t="str">
        <f>IF(B279&lt;&gt;"",IF(AND(B279&gt;=_TM1,B279&lt;=_TM2,OR(TH!L279="1111",TH!M279="1111")),TH!D279,""),"")</f>
        <v/>
      </c>
      <c r="B279" s="36">
        <f t="shared" si="11"/>
        <v>1</v>
      </c>
      <c r="C279" s="190">
        <f t="shared" si="12"/>
        <v>0</v>
      </c>
      <c r="D279" s="190"/>
      <c r="E279" s="190"/>
      <c r="F279" s="191"/>
      <c r="G279" s="191"/>
      <c r="H279" s="192"/>
      <c r="I279" s="253"/>
      <c r="J279" s="253"/>
      <c r="K279" s="38"/>
      <c r="L279" s="193"/>
      <c r="M279" s="193"/>
      <c r="N279" s="39" t="str">
        <f>IF(AND('331-CT'!$E$7=TH!H279,OR(L279="331",M279="331")),"331",IF(AND(OR(L279="131",M279="131"),H279='131-CT'!$E$7),"131",""))</f>
        <v/>
      </c>
      <c r="O279" s="39" t="str">
        <f>IF(AND($B279&gt;='111'!$N$11,$B279&lt;='111'!$O$11,OR($L279=$O$7,$M279=$O$7)),"x","")</f>
        <v/>
      </c>
      <c r="P279" s="39" t="str">
        <f>IF(AND($L279=$O$7,$B279&lt;'111'!$N$11),"x","")</f>
        <v/>
      </c>
      <c r="Q279" s="39" t="str">
        <f>IF(AND($M279=$O$7,$B279&lt;'111'!$N$11),"x","")</f>
        <v/>
      </c>
      <c r="R279" s="39" t="str">
        <f>IF(ISERROR(FIND('112'!$M$9,G279,1)),"",IF((AND(FIND('112'!$M$9,G279,1)&gt;=1,$B279&gt;='112'!$N$8,$B279&lt;='112'!$O$8,OR($L279='112'!$I$6,$M279='112'!$I$6))),"x",""))</f>
        <v/>
      </c>
      <c r="S279" s="39" t="str">
        <f>IF(ISERROR(FIND('112'!$M$9,G279,1)),"",IF((AND(LEFT(G279,2)=LEFT('112'!$M$9,2),B279&lt;'112'!$N$8,$L279='112'!$I$6)),"x",""))</f>
        <v/>
      </c>
      <c r="T279" s="39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39" t="str">
        <f>IF(OR(TH!L279=TH!$V$7,M279=TH!$V$7),"x","")</f>
        <v/>
      </c>
      <c r="W279" s="39" t="str">
        <f>IF(AND(B279&gt;='IN-NX'!$P$3,B279&lt;='IN-NX'!$Q$3,'IN-NX'!$D$7=D279,OR(LEFT(L279,2)="15",AND(LEFT(M279,2)&lt;&gt;"15",LEFT(M279,2)&lt;&gt;"33"))),"x","")</f>
        <v/>
      </c>
      <c r="X279" s="39" t="str">
        <f>IF(AND(OR(LEFT(TH!L279,2)="15",LEFT(TH!M279,2)="15"),'152-CT'!$J$8=TH!F279),"x","")</f>
        <v/>
      </c>
      <c r="Y279" s="39" t="str">
        <f>IF(AND(OR(LEFT(TH!L279,2)="15",LEFT(TH!M279,2)="15"),TK!$E$7=TH!F279),"x","")</f>
        <v/>
      </c>
      <c r="Z279" s="39" t="str">
        <f>IF(AND(B279&lt;=NKC!$N$8,B279&gt;=NKC!$M$8),"x","")</f>
        <v/>
      </c>
      <c r="AA279" s="894"/>
      <c r="AB279" s="598" t="e">
        <f t="shared" si="13"/>
        <v>#N/A</v>
      </c>
    </row>
    <row r="280" spans="1:28" ht="15.75" customHeight="1">
      <c r="A280" s="199" t="str">
        <f>IF(B280&lt;&gt;"",IF(AND(B280&gt;=_TM1,B280&lt;=_TM2,OR(TH!L280="1111",TH!M280="1111")),TH!D280,""),"")</f>
        <v/>
      </c>
      <c r="B280" s="36">
        <f t="shared" si="11"/>
        <v>1</v>
      </c>
      <c r="C280" s="190">
        <f t="shared" si="12"/>
        <v>0</v>
      </c>
      <c r="D280" s="190"/>
      <c r="E280" s="190"/>
      <c r="F280" s="191"/>
      <c r="G280" s="191"/>
      <c r="H280" s="192"/>
      <c r="I280" s="253"/>
      <c r="J280" s="253"/>
      <c r="K280" s="38"/>
      <c r="L280" s="193"/>
      <c r="M280" s="193"/>
      <c r="N280" s="39" t="str">
        <f>IF(AND('331-CT'!$E$7=TH!H280,OR(L280="331",M280="331")),"331",IF(AND(OR(L280="131",M280="131"),H280='131-CT'!$E$7),"131",""))</f>
        <v/>
      </c>
      <c r="O280" s="39" t="str">
        <f>IF(AND($B280&gt;='111'!$N$11,$B280&lt;='111'!$O$11,OR($L280=$O$7,$M280=$O$7)),"x","")</f>
        <v/>
      </c>
      <c r="P280" s="39" t="str">
        <f>IF(AND($L280=$O$7,$B280&lt;'111'!$N$11),"x","")</f>
        <v/>
      </c>
      <c r="Q280" s="39" t="str">
        <f>IF(AND($M280=$O$7,$B280&lt;'111'!$N$11),"x","")</f>
        <v/>
      </c>
      <c r="R280" s="39" t="str">
        <f>IF(ISERROR(FIND('112'!$M$9,G280,1)),"",IF((AND(FIND('112'!$M$9,G280,1)&gt;=1,$B280&gt;='112'!$N$8,$B280&lt;='112'!$O$8,OR($L280='112'!$I$6,$M280='112'!$I$6))),"x",""))</f>
        <v/>
      </c>
      <c r="S280" s="39" t="str">
        <f>IF(ISERROR(FIND('112'!$M$9,G280,1)),"",IF((AND(LEFT(G280,2)=LEFT('112'!$M$9,2),B280&lt;'112'!$N$8,$L280='112'!$I$6)),"x",""))</f>
        <v/>
      </c>
      <c r="T280" s="39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39" t="str">
        <f>IF(OR(TH!L280=TH!$V$7,M280=TH!$V$7),"x","")</f>
        <v/>
      </c>
      <c r="W280" s="39" t="str">
        <f>IF(AND(B280&gt;='IN-NX'!$P$3,B280&lt;='IN-NX'!$Q$3,'IN-NX'!$D$7=D280,OR(LEFT(L280,2)="15",AND(LEFT(M280,2)&lt;&gt;"15",LEFT(M280,2)&lt;&gt;"33"))),"x","")</f>
        <v/>
      </c>
      <c r="X280" s="39" t="str">
        <f>IF(AND(OR(LEFT(TH!L280,2)="15",LEFT(TH!M280,2)="15"),'152-CT'!$J$8=TH!F280),"x","")</f>
        <v/>
      </c>
      <c r="Y280" s="39" t="str">
        <f>IF(AND(OR(LEFT(TH!L280,2)="15",LEFT(TH!M280,2)="15"),TK!$E$7=TH!F280),"x","")</f>
        <v/>
      </c>
      <c r="Z280" s="39" t="str">
        <f>IF(AND(B280&lt;=NKC!$N$8,B280&gt;=NKC!$M$8),"x","")</f>
        <v/>
      </c>
      <c r="AA280" s="894"/>
      <c r="AB280" s="598" t="e">
        <f t="shared" si="13"/>
        <v>#N/A</v>
      </c>
    </row>
    <row r="281" spans="1:28" ht="15.75" customHeight="1">
      <c r="A281" s="199" t="str">
        <f>IF(B281&lt;&gt;"",IF(AND(B281&gt;=_TM1,B281&lt;=_TM2,OR(TH!L281="1111",TH!M281="1111")),TH!D281,""),"")</f>
        <v/>
      </c>
      <c r="B281" s="36">
        <f t="shared" ref="B281:B344" si="14">IF(C281&lt;&gt;"",MONTH(C281),"")</f>
        <v>1</v>
      </c>
      <c r="C281" s="190">
        <f t="shared" si="12"/>
        <v>0</v>
      </c>
      <c r="D281" s="190"/>
      <c r="E281" s="190"/>
      <c r="F281" s="191"/>
      <c r="G281" s="191"/>
      <c r="H281" s="192"/>
      <c r="I281" s="253"/>
      <c r="J281" s="253"/>
      <c r="K281" s="38"/>
      <c r="L281" s="193"/>
      <c r="M281" s="193"/>
      <c r="N281" s="39" t="str">
        <f>IF(AND('331-CT'!$E$7=TH!H281,OR(L281="331",M281="331")),"331",IF(AND(OR(L281="131",M281="131"),H281='131-CT'!$E$7),"131",""))</f>
        <v/>
      </c>
      <c r="O281" s="39" t="str">
        <f>IF(AND($B281&gt;='111'!$N$11,$B281&lt;='111'!$O$11,OR($L281=$O$7,$M281=$O$7)),"x","")</f>
        <v/>
      </c>
      <c r="P281" s="39" t="str">
        <f>IF(AND($L281=$O$7,$B281&lt;'111'!$N$11),"x","")</f>
        <v/>
      </c>
      <c r="Q281" s="39" t="str">
        <f>IF(AND($M281=$O$7,$B281&lt;'111'!$N$11),"x","")</f>
        <v/>
      </c>
      <c r="R281" s="39" t="str">
        <f>IF(ISERROR(FIND('112'!$M$9,G281,1)),"",IF((AND(FIND('112'!$M$9,G281,1)&gt;=1,$B281&gt;='112'!$N$8,$B281&lt;='112'!$O$8,OR($L281='112'!$I$6,$M281='112'!$I$6))),"x",""))</f>
        <v/>
      </c>
      <c r="S281" s="39" t="str">
        <f>IF(ISERROR(FIND('112'!$M$9,G281,1)),"",IF((AND(LEFT(G281,2)=LEFT('112'!$M$9,2),B281&lt;'112'!$N$8,$L281='112'!$I$6)),"x",""))</f>
        <v/>
      </c>
      <c r="T281" s="39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39" t="str">
        <f>IF(OR(TH!L281=TH!$V$7,M281=TH!$V$7),"x","")</f>
        <v/>
      </c>
      <c r="W281" s="39" t="str">
        <f>IF(AND(B281&gt;='IN-NX'!$P$3,B281&lt;='IN-NX'!$Q$3,'IN-NX'!$D$7=D281,OR(LEFT(L281,2)="15",AND(LEFT(M281,2)&lt;&gt;"15",LEFT(M281,2)&lt;&gt;"33"))),"x","")</f>
        <v/>
      </c>
      <c r="X281" s="39" t="str">
        <f>IF(AND(OR(LEFT(TH!L281,2)="15",LEFT(TH!M281,2)="15"),'152-CT'!$J$8=TH!F281),"x","")</f>
        <v/>
      </c>
      <c r="Y281" s="39" t="str">
        <f>IF(AND(OR(LEFT(TH!L281,2)="15",LEFT(TH!M281,2)="15"),TK!$E$7=TH!F281),"x","")</f>
        <v/>
      </c>
      <c r="Z281" s="39" t="str">
        <f>IF(AND(B281&lt;=NKC!$N$8,B281&gt;=NKC!$M$8),"x","")</f>
        <v/>
      </c>
      <c r="AA281" s="894"/>
      <c r="AB281" s="598" t="e">
        <f t="shared" si="13"/>
        <v>#N/A</v>
      </c>
    </row>
    <row r="282" spans="1:28" ht="15.75" customHeight="1">
      <c r="A282" s="199" t="str">
        <f>IF(B282&lt;&gt;"",IF(AND(B282&gt;=_TM1,B282&lt;=_TM2,OR(TH!L282="1111",TH!M282="1111")),TH!D282,""),"")</f>
        <v/>
      </c>
      <c r="B282" s="36">
        <f t="shared" si="14"/>
        <v>1</v>
      </c>
      <c r="C282" s="190">
        <f t="shared" si="12"/>
        <v>0</v>
      </c>
      <c r="D282" s="190"/>
      <c r="E282" s="190"/>
      <c r="F282" s="191"/>
      <c r="G282" s="191"/>
      <c r="H282" s="192"/>
      <c r="I282" s="253"/>
      <c r="J282" s="253"/>
      <c r="K282" s="38"/>
      <c r="L282" s="193"/>
      <c r="M282" s="193"/>
      <c r="N282" s="39" t="str">
        <f>IF(AND('331-CT'!$E$7=TH!H282,OR(L282="331",M282="331")),"331",IF(AND(OR(L282="131",M282="131"),H282='131-CT'!$E$7),"131",""))</f>
        <v/>
      </c>
      <c r="O282" s="39" t="str">
        <f>IF(AND($B282&gt;='111'!$N$11,$B282&lt;='111'!$O$11,OR($L282=$O$7,$M282=$O$7)),"x","")</f>
        <v/>
      </c>
      <c r="P282" s="39" t="str">
        <f>IF(AND($L282=$O$7,$B282&lt;'111'!$N$11),"x","")</f>
        <v/>
      </c>
      <c r="Q282" s="39" t="str">
        <f>IF(AND($M282=$O$7,$B282&lt;'111'!$N$11),"x","")</f>
        <v/>
      </c>
      <c r="R282" s="39" t="str">
        <f>IF(ISERROR(FIND('112'!$M$9,G282,1)),"",IF((AND(FIND('112'!$M$9,G282,1)&gt;=1,$B282&gt;='112'!$N$8,$B282&lt;='112'!$O$8,OR($L282='112'!$I$6,$M282='112'!$I$6))),"x",""))</f>
        <v/>
      </c>
      <c r="S282" s="39" t="str">
        <f>IF(ISERROR(FIND('112'!$M$9,G282,1)),"",IF((AND(LEFT(G282,2)=LEFT('112'!$M$9,2),B282&lt;'112'!$N$8,$L282='112'!$I$6)),"x",""))</f>
        <v/>
      </c>
      <c r="T282" s="39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39" t="str">
        <f>IF(OR(TH!L282=TH!$V$7,M282=TH!$V$7),"x","")</f>
        <v/>
      </c>
      <c r="W282" s="39" t="str">
        <f>IF(AND(B282&gt;='IN-NX'!$P$3,B282&lt;='IN-NX'!$Q$3,'IN-NX'!$D$7=D282,OR(LEFT(L282,2)="15",AND(LEFT(M282,2)&lt;&gt;"15",LEFT(M282,2)&lt;&gt;"33"))),"x","")</f>
        <v/>
      </c>
      <c r="X282" s="39" t="str">
        <f>IF(AND(OR(LEFT(TH!L282,2)="15",LEFT(TH!M282,2)="15"),'152-CT'!$J$8=TH!F282),"x","")</f>
        <v/>
      </c>
      <c r="Y282" s="39" t="str">
        <f>IF(AND(OR(LEFT(TH!L282,2)="15",LEFT(TH!M282,2)="15"),TK!$E$7=TH!F282),"x","")</f>
        <v/>
      </c>
      <c r="Z282" s="39" t="str">
        <f>IF(AND(B282&lt;=NKC!$N$8,B282&gt;=NKC!$M$8),"x","")</f>
        <v/>
      </c>
      <c r="AA282" s="894"/>
      <c r="AB282" s="598" t="e">
        <f t="shared" si="13"/>
        <v>#N/A</v>
      </c>
    </row>
    <row r="283" spans="1:28" ht="15.75" customHeight="1">
      <c r="A283" s="199" t="str">
        <f>IF(B283&lt;&gt;"",IF(AND(B283&gt;=_TM1,B283&lt;=_TM2,OR(TH!L283="1111",TH!M283="1111")),TH!D283,""),"")</f>
        <v/>
      </c>
      <c r="B283" s="36">
        <f t="shared" si="14"/>
        <v>1</v>
      </c>
      <c r="C283" s="190">
        <f t="shared" si="12"/>
        <v>0</v>
      </c>
      <c r="D283" s="190"/>
      <c r="E283" s="190"/>
      <c r="F283" s="191"/>
      <c r="G283" s="191"/>
      <c r="H283" s="192"/>
      <c r="I283" s="253"/>
      <c r="J283" s="253"/>
      <c r="K283" s="38"/>
      <c r="L283" s="193"/>
      <c r="M283" s="193"/>
      <c r="N283" s="39" t="str">
        <f>IF(AND('331-CT'!$E$7=TH!H283,OR(L283="331",M283="331")),"331",IF(AND(OR(L283="131",M283="131"),H283='131-CT'!$E$7),"131",""))</f>
        <v/>
      </c>
      <c r="O283" s="39" t="str">
        <f>IF(AND($B283&gt;='111'!$N$11,$B283&lt;='111'!$O$11,OR($L283=$O$7,$M283=$O$7)),"x","")</f>
        <v/>
      </c>
      <c r="P283" s="39" t="str">
        <f>IF(AND($L283=$O$7,$B283&lt;'111'!$N$11),"x","")</f>
        <v/>
      </c>
      <c r="Q283" s="39" t="str">
        <f>IF(AND($M283=$O$7,$B283&lt;'111'!$N$11),"x","")</f>
        <v/>
      </c>
      <c r="R283" s="39" t="str">
        <f>IF(ISERROR(FIND('112'!$M$9,G283,1)),"",IF((AND(FIND('112'!$M$9,G283,1)&gt;=1,$B283&gt;='112'!$N$8,$B283&lt;='112'!$O$8,OR($L283='112'!$I$6,$M283='112'!$I$6))),"x",""))</f>
        <v/>
      </c>
      <c r="S283" s="39" t="str">
        <f>IF(ISERROR(FIND('112'!$M$9,G283,1)),"",IF((AND(LEFT(G283,2)=LEFT('112'!$M$9,2),B283&lt;'112'!$N$8,$L283='112'!$I$6)),"x",""))</f>
        <v/>
      </c>
      <c r="T283" s="39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39" t="str">
        <f>IF(OR(TH!L283=TH!$V$7,M283=TH!$V$7),"x","")</f>
        <v/>
      </c>
      <c r="W283" s="39" t="str">
        <f>IF(AND(B283&gt;='IN-NX'!$P$3,B283&lt;='IN-NX'!$Q$3,'IN-NX'!$D$7=D283,OR(LEFT(L283,2)="15",AND(LEFT(M283,2)&lt;&gt;"15",LEFT(M283,2)&lt;&gt;"33"))),"x","")</f>
        <v/>
      </c>
      <c r="X283" s="39" t="str">
        <f>IF(AND(OR(LEFT(TH!L283,2)="15",LEFT(TH!M283,2)="15"),'152-CT'!$J$8=TH!F283),"x","")</f>
        <v/>
      </c>
      <c r="Y283" s="39" t="str">
        <f>IF(AND(OR(LEFT(TH!L283,2)="15",LEFT(TH!M283,2)="15"),TK!$E$7=TH!F283),"x","")</f>
        <v/>
      </c>
      <c r="Z283" s="39" t="str">
        <f>IF(AND(B283&lt;=NKC!$N$8,B283&gt;=NKC!$M$8),"x","")</f>
        <v/>
      </c>
      <c r="AA283" s="894"/>
      <c r="AB283" s="598" t="e">
        <f t="shared" si="13"/>
        <v>#N/A</v>
      </c>
    </row>
    <row r="284" spans="1:28" ht="15.75" customHeight="1">
      <c r="A284" s="199" t="str">
        <f>IF(B284&lt;&gt;"",IF(AND(B284&gt;=_TM1,B284&lt;=_TM2,OR(TH!L284="1111",TH!M284="1111")),TH!D284,""),"")</f>
        <v/>
      </c>
      <c r="B284" s="36">
        <f t="shared" si="14"/>
        <v>1</v>
      </c>
      <c r="C284" s="190">
        <f t="shared" si="12"/>
        <v>0</v>
      </c>
      <c r="D284" s="190"/>
      <c r="E284" s="190"/>
      <c r="F284" s="191"/>
      <c r="G284" s="191"/>
      <c r="H284" s="192"/>
      <c r="I284" s="253"/>
      <c r="J284" s="253"/>
      <c r="K284" s="38"/>
      <c r="L284" s="193"/>
      <c r="M284" s="193"/>
      <c r="N284" s="39" t="str">
        <f>IF(AND('331-CT'!$E$7=TH!H284,OR(L284="331",M284="331")),"331",IF(AND(OR(L284="131",M284="131"),H284='131-CT'!$E$7),"131",""))</f>
        <v/>
      </c>
      <c r="O284" s="39" t="str">
        <f>IF(AND($B284&gt;='111'!$N$11,$B284&lt;='111'!$O$11,OR($L284=$O$7,$M284=$O$7)),"x","")</f>
        <v/>
      </c>
      <c r="P284" s="39" t="str">
        <f>IF(AND($L284=$O$7,$B284&lt;'111'!$N$11),"x","")</f>
        <v/>
      </c>
      <c r="Q284" s="39" t="str">
        <f>IF(AND($M284=$O$7,$B284&lt;'111'!$N$11),"x","")</f>
        <v/>
      </c>
      <c r="R284" s="39" t="str">
        <f>IF(ISERROR(FIND('112'!$M$9,G284,1)),"",IF((AND(FIND('112'!$M$9,G284,1)&gt;=1,$B284&gt;='112'!$N$8,$B284&lt;='112'!$O$8,OR($L284='112'!$I$6,$M284='112'!$I$6))),"x",""))</f>
        <v/>
      </c>
      <c r="S284" s="39" t="str">
        <f>IF(ISERROR(FIND('112'!$M$9,G284,1)),"",IF((AND(LEFT(G284,2)=LEFT('112'!$M$9,2),B284&lt;'112'!$N$8,$L284='112'!$I$6)),"x",""))</f>
        <v/>
      </c>
      <c r="T284" s="39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39" t="str">
        <f>IF(OR(TH!L284=TH!$V$7,M284=TH!$V$7),"x","")</f>
        <v/>
      </c>
      <c r="W284" s="39" t="str">
        <f>IF(AND(B284&gt;='IN-NX'!$P$3,B284&lt;='IN-NX'!$Q$3,'IN-NX'!$D$7=D284,OR(LEFT(L284,2)="15",AND(LEFT(M284,2)&lt;&gt;"15",LEFT(M284,2)&lt;&gt;"33"))),"x","")</f>
        <v/>
      </c>
      <c r="X284" s="39" t="str">
        <f>IF(AND(OR(LEFT(TH!L284,2)="15",LEFT(TH!M284,2)="15"),'152-CT'!$J$8=TH!F284),"x","")</f>
        <v/>
      </c>
      <c r="Y284" s="39" t="str">
        <f>IF(AND(OR(LEFT(TH!L284,2)="15",LEFT(TH!M284,2)="15"),TK!$E$7=TH!F284),"x","")</f>
        <v/>
      </c>
      <c r="Z284" s="39" t="str">
        <f>IF(AND(B284&lt;=NKC!$N$8,B284&gt;=NKC!$M$8),"x","")</f>
        <v/>
      </c>
      <c r="AA284" s="894"/>
      <c r="AB284" s="598" t="e">
        <f t="shared" si="13"/>
        <v>#N/A</v>
      </c>
    </row>
    <row r="285" spans="1:28" ht="15.75" customHeight="1">
      <c r="A285" s="199" t="str">
        <f>IF(B285&lt;&gt;"",IF(AND(B285&gt;=_TM1,B285&lt;=_TM2,OR(TH!L285="1111",TH!M285="1111")),TH!D285,""),"")</f>
        <v/>
      </c>
      <c r="B285" s="36">
        <f t="shared" si="14"/>
        <v>1</v>
      </c>
      <c r="C285" s="190">
        <f t="shared" si="12"/>
        <v>0</v>
      </c>
      <c r="D285" s="190"/>
      <c r="E285" s="190"/>
      <c r="F285" s="191"/>
      <c r="G285" s="191"/>
      <c r="H285" s="192"/>
      <c r="I285" s="253"/>
      <c r="J285" s="253"/>
      <c r="K285" s="38"/>
      <c r="L285" s="193"/>
      <c r="M285" s="193"/>
      <c r="N285" s="39" t="str">
        <f>IF(AND('331-CT'!$E$7=TH!H285,OR(L285="331",M285="331")),"331",IF(AND(OR(L285="131",M285="131"),H285='131-CT'!$E$7),"131",""))</f>
        <v/>
      </c>
      <c r="O285" s="39" t="str">
        <f>IF(AND($B285&gt;='111'!$N$11,$B285&lt;='111'!$O$11,OR($L285=$O$7,$M285=$O$7)),"x","")</f>
        <v/>
      </c>
      <c r="P285" s="39" t="str">
        <f>IF(AND($L285=$O$7,$B285&lt;'111'!$N$11),"x","")</f>
        <v/>
      </c>
      <c r="Q285" s="39" t="str">
        <f>IF(AND($M285=$O$7,$B285&lt;'111'!$N$11),"x","")</f>
        <v/>
      </c>
      <c r="R285" s="39" t="str">
        <f>IF(ISERROR(FIND('112'!$M$9,G285,1)),"",IF((AND(FIND('112'!$M$9,G285,1)&gt;=1,$B285&gt;='112'!$N$8,$B285&lt;='112'!$O$8,OR($L285='112'!$I$6,$M285='112'!$I$6))),"x",""))</f>
        <v/>
      </c>
      <c r="S285" s="39" t="str">
        <f>IF(ISERROR(FIND('112'!$M$9,G285,1)),"",IF((AND(LEFT(G285,2)=LEFT('112'!$M$9,2),B285&lt;'112'!$N$8,$L285='112'!$I$6)),"x",""))</f>
        <v/>
      </c>
      <c r="T285" s="39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39" t="str">
        <f>IF(OR(TH!L285=TH!$V$7,M285=TH!$V$7),"x","")</f>
        <v/>
      </c>
      <c r="W285" s="39" t="str">
        <f>IF(AND(B285&gt;='IN-NX'!$P$3,B285&lt;='IN-NX'!$Q$3,'IN-NX'!$D$7=D285,OR(LEFT(L285,2)="15",AND(LEFT(M285,2)&lt;&gt;"15",LEFT(M285,2)&lt;&gt;"33"))),"x","")</f>
        <v/>
      </c>
      <c r="X285" s="39" t="str">
        <f>IF(AND(OR(LEFT(TH!L285,2)="15",LEFT(TH!M285,2)="15"),'152-CT'!$J$8=TH!F285),"x","")</f>
        <v/>
      </c>
      <c r="Y285" s="39" t="str">
        <f>IF(AND(OR(LEFT(TH!L285,2)="15",LEFT(TH!M285,2)="15"),TK!$E$7=TH!F285),"x","")</f>
        <v/>
      </c>
      <c r="Z285" s="39" t="str">
        <f>IF(AND(B285&lt;=NKC!$N$8,B285&gt;=NKC!$M$8),"x","")</f>
        <v/>
      </c>
      <c r="AA285" s="894"/>
      <c r="AB285" s="598" t="e">
        <f t="shared" si="13"/>
        <v>#N/A</v>
      </c>
    </row>
    <row r="286" spans="1:28" ht="15.75" customHeight="1">
      <c r="A286" s="199" t="str">
        <f>IF(B286&lt;&gt;"",IF(AND(B286&gt;=_TM1,B286&lt;=_TM2,OR(TH!L286="1111",TH!M286="1111")),TH!D286,""),"")</f>
        <v/>
      </c>
      <c r="B286" s="36">
        <f t="shared" si="14"/>
        <v>1</v>
      </c>
      <c r="C286" s="190">
        <f t="shared" si="12"/>
        <v>0</v>
      </c>
      <c r="D286" s="190"/>
      <c r="E286" s="190"/>
      <c r="F286" s="191"/>
      <c r="G286" s="191"/>
      <c r="H286" s="192"/>
      <c r="I286" s="253"/>
      <c r="J286" s="253"/>
      <c r="K286" s="38"/>
      <c r="L286" s="193"/>
      <c r="M286" s="193"/>
      <c r="N286" s="39" t="str">
        <f>IF(AND('331-CT'!$E$7=TH!H286,OR(L286="331",M286="331")),"331",IF(AND(OR(L286="131",M286="131"),H286='131-CT'!$E$7),"131",""))</f>
        <v/>
      </c>
      <c r="O286" s="39" t="str">
        <f>IF(AND($B286&gt;='111'!$N$11,$B286&lt;='111'!$O$11,OR($L286=$O$7,$M286=$O$7)),"x","")</f>
        <v/>
      </c>
      <c r="P286" s="39" t="str">
        <f>IF(AND($L286=$O$7,$B286&lt;'111'!$N$11),"x","")</f>
        <v/>
      </c>
      <c r="Q286" s="39" t="str">
        <f>IF(AND($M286=$O$7,$B286&lt;'111'!$N$11),"x","")</f>
        <v/>
      </c>
      <c r="R286" s="39" t="str">
        <f>IF(ISERROR(FIND('112'!$M$9,G286,1)),"",IF((AND(FIND('112'!$M$9,G286,1)&gt;=1,$B286&gt;='112'!$N$8,$B286&lt;='112'!$O$8,OR($L286='112'!$I$6,$M286='112'!$I$6))),"x",""))</f>
        <v/>
      </c>
      <c r="S286" s="39" t="str">
        <f>IF(ISERROR(FIND('112'!$M$9,G286,1)),"",IF((AND(LEFT(G286,2)=LEFT('112'!$M$9,2),B286&lt;'112'!$N$8,$L286='112'!$I$6)),"x",""))</f>
        <v/>
      </c>
      <c r="T286" s="39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39" t="str">
        <f>IF(OR(TH!L286=TH!$V$7,M286=TH!$V$7),"x","")</f>
        <v/>
      </c>
      <c r="W286" s="39" t="str">
        <f>IF(AND(B286&gt;='IN-NX'!$P$3,B286&lt;='IN-NX'!$Q$3,'IN-NX'!$D$7=D286,OR(LEFT(L286,2)="15",AND(LEFT(M286,2)&lt;&gt;"15",LEFT(M286,2)&lt;&gt;"33"))),"x","")</f>
        <v/>
      </c>
      <c r="X286" s="39" t="str">
        <f>IF(AND(OR(LEFT(TH!L286,2)="15",LEFT(TH!M286,2)="15"),'152-CT'!$J$8=TH!F286),"x","")</f>
        <v/>
      </c>
      <c r="Y286" s="39" t="str">
        <f>IF(AND(OR(LEFT(TH!L286,2)="15",LEFT(TH!M286,2)="15"),TK!$E$7=TH!F286),"x","")</f>
        <v/>
      </c>
      <c r="Z286" s="39" t="str">
        <f>IF(AND(B286&lt;=NKC!$N$8,B286&gt;=NKC!$M$8),"x","")</f>
        <v/>
      </c>
      <c r="AA286" s="894"/>
      <c r="AB286" s="598" t="e">
        <f t="shared" si="13"/>
        <v>#N/A</v>
      </c>
    </row>
    <row r="287" spans="1:28" ht="15.75" customHeight="1">
      <c r="A287" s="199" t="str">
        <f>IF(B287&lt;&gt;"",IF(AND(B287&gt;=_TM1,B287&lt;=_TM2,OR(TH!L287="1111",TH!M287="1111")),TH!D287,""),"")</f>
        <v/>
      </c>
      <c r="B287" s="36">
        <f t="shared" si="14"/>
        <v>1</v>
      </c>
      <c r="C287" s="190">
        <f t="shared" si="12"/>
        <v>0</v>
      </c>
      <c r="D287" s="190"/>
      <c r="E287" s="190"/>
      <c r="F287" s="191"/>
      <c r="G287" s="191"/>
      <c r="H287" s="191"/>
      <c r="I287" s="253"/>
      <c r="J287" s="253"/>
      <c r="K287" s="38"/>
      <c r="L287" s="193"/>
      <c r="M287" s="193"/>
      <c r="N287" s="39" t="str">
        <f>IF(AND('331-CT'!$E$7=TH!H287,OR(L287="331",M287="331")),"331",IF(AND(OR(L287="131",M287="131"),H287='131-CT'!$E$7),"131",""))</f>
        <v/>
      </c>
      <c r="O287" s="39" t="str">
        <f>IF(AND($B287&gt;='111'!$N$11,$B287&lt;='111'!$O$11,OR($L287=$O$7,$M287=$O$7)),"x","")</f>
        <v/>
      </c>
      <c r="P287" s="39" t="str">
        <f>IF(AND($L287=$O$7,$B287&lt;'111'!$N$11),"x","")</f>
        <v/>
      </c>
      <c r="Q287" s="39" t="str">
        <f>IF(AND($M287=$O$7,$B287&lt;'111'!$N$11),"x","")</f>
        <v/>
      </c>
      <c r="R287" s="39" t="str">
        <f>IF(ISERROR(FIND('112'!$M$9,G287,1)),"",IF((AND(FIND('112'!$M$9,G287,1)&gt;=1,$B287&gt;='112'!$N$8,$B287&lt;='112'!$O$8,OR($L287='112'!$I$6,$M287='112'!$I$6))),"x",""))</f>
        <v/>
      </c>
      <c r="S287" s="39" t="str">
        <f>IF(ISERROR(FIND('112'!$M$9,G287,1)),"",IF((AND(LEFT(G287,2)=LEFT('112'!$M$9,2),B287&lt;'112'!$N$8,$L287='112'!$I$6)),"x",""))</f>
        <v/>
      </c>
      <c r="T287" s="39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39" t="str">
        <f>IF(OR(TH!L287=TH!$V$7,M287=TH!$V$7),"x","")</f>
        <v/>
      </c>
      <c r="W287" s="39" t="str">
        <f>IF(AND(B287&gt;='IN-NX'!$P$3,B287&lt;='IN-NX'!$Q$3,'IN-NX'!$D$7=D287,OR(LEFT(L287,2)="15",AND(LEFT(M287,2)&lt;&gt;"15",LEFT(M287,2)&lt;&gt;"33"))),"x","")</f>
        <v/>
      </c>
      <c r="X287" s="39" t="str">
        <f>IF(AND(OR(LEFT(TH!L287,2)="15",LEFT(TH!M287,2)="15"),'152-CT'!$J$8=TH!F287),"x","")</f>
        <v/>
      </c>
      <c r="Y287" s="39" t="str">
        <f>IF(AND(OR(LEFT(TH!L287,2)="15",LEFT(TH!M287,2)="15"),TK!$E$7=TH!F287),"x","")</f>
        <v/>
      </c>
      <c r="Z287" s="39" t="str">
        <f>IF(AND(B287&lt;=NKC!$N$8,B287&gt;=NKC!$M$8),"x","")</f>
        <v/>
      </c>
      <c r="AA287" s="894"/>
      <c r="AB287" s="598" t="e">
        <f t="shared" si="13"/>
        <v>#N/A</v>
      </c>
    </row>
    <row r="288" spans="1:28" ht="15.75" customHeight="1">
      <c r="A288" s="199" t="str">
        <f>IF(B288&lt;&gt;"",IF(AND(B288&gt;=_TM1,B288&lt;=_TM2,OR(TH!L288="1111",TH!M288="1111")),TH!D288,""),"")</f>
        <v/>
      </c>
      <c r="B288" s="36">
        <f t="shared" si="14"/>
        <v>1</v>
      </c>
      <c r="C288" s="190">
        <f t="shared" si="12"/>
        <v>0</v>
      </c>
      <c r="D288" s="190"/>
      <c r="E288" s="190"/>
      <c r="F288" s="191"/>
      <c r="G288" s="191"/>
      <c r="H288" s="192"/>
      <c r="I288" s="253"/>
      <c r="J288" s="253"/>
      <c r="K288" s="38"/>
      <c r="L288" s="193"/>
      <c r="M288" s="193"/>
      <c r="N288" s="39" t="str">
        <f>IF(AND('331-CT'!$E$7=TH!H288,OR(L288="331",M288="331")),"331",IF(AND(OR(L288="131",M288="131"),H288='131-CT'!$E$7),"131",""))</f>
        <v/>
      </c>
      <c r="O288" s="39" t="str">
        <f>IF(AND($B288&gt;='111'!$N$11,$B288&lt;='111'!$O$11,OR($L288=$O$7,$M288=$O$7)),"x","")</f>
        <v/>
      </c>
      <c r="P288" s="39" t="str">
        <f>IF(AND($L288=$O$7,$B288&lt;'111'!$N$11),"x","")</f>
        <v/>
      </c>
      <c r="Q288" s="39" t="str">
        <f>IF(AND($M288=$O$7,$B288&lt;'111'!$N$11),"x","")</f>
        <v/>
      </c>
      <c r="R288" s="39" t="str">
        <f>IF(ISERROR(FIND('112'!$M$9,G288,1)),"",IF((AND(FIND('112'!$M$9,G288,1)&gt;=1,$B288&gt;='112'!$N$8,$B288&lt;='112'!$O$8,OR($L288='112'!$I$6,$M288='112'!$I$6))),"x",""))</f>
        <v/>
      </c>
      <c r="S288" s="39" t="str">
        <f>IF(ISERROR(FIND('112'!$M$9,G288,1)),"",IF((AND(LEFT(G288,2)=LEFT('112'!$M$9,2),B288&lt;'112'!$N$8,$L288='112'!$I$6)),"x",""))</f>
        <v/>
      </c>
      <c r="T288" s="39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39" t="str">
        <f>IF(OR(TH!L288=TH!$V$7,M288=TH!$V$7),"x","")</f>
        <v/>
      </c>
      <c r="W288" s="39" t="str">
        <f>IF(AND(B288&gt;='IN-NX'!$P$3,B288&lt;='IN-NX'!$Q$3,'IN-NX'!$D$7=D288,OR(LEFT(L288,2)="15",AND(LEFT(M288,2)&lt;&gt;"15",LEFT(M288,2)&lt;&gt;"33"))),"x","")</f>
        <v/>
      </c>
      <c r="X288" s="39" t="str">
        <f>IF(AND(OR(LEFT(TH!L288,2)="15",LEFT(TH!M288,2)="15"),'152-CT'!$J$8=TH!F288),"x","")</f>
        <v/>
      </c>
      <c r="Y288" s="39" t="str">
        <f>IF(AND(OR(LEFT(TH!L288,2)="15",LEFT(TH!M288,2)="15"),TK!$E$7=TH!F288),"x","")</f>
        <v/>
      </c>
      <c r="Z288" s="39" t="str">
        <f>IF(AND(B288&lt;=NKC!$N$8,B288&gt;=NKC!$M$8),"x","")</f>
        <v/>
      </c>
      <c r="AA288" s="894"/>
      <c r="AB288" s="598" t="e">
        <f t="shared" si="13"/>
        <v>#N/A</v>
      </c>
    </row>
    <row r="289" spans="1:28" ht="15.75" customHeight="1">
      <c r="A289" s="199" t="str">
        <f>IF(B289&lt;&gt;"",IF(AND(B289&gt;=_TM1,B289&lt;=_TM2,OR(TH!L289="1111",TH!M289="1111")),TH!D289,""),"")</f>
        <v/>
      </c>
      <c r="B289" s="36">
        <f t="shared" si="14"/>
        <v>1</v>
      </c>
      <c r="C289" s="190">
        <f t="shared" si="12"/>
        <v>0</v>
      </c>
      <c r="D289" s="190"/>
      <c r="E289" s="190"/>
      <c r="F289" s="191"/>
      <c r="G289" s="191"/>
      <c r="H289" s="191"/>
      <c r="I289" s="253"/>
      <c r="J289" s="253"/>
      <c r="K289" s="38"/>
      <c r="L289" s="193"/>
      <c r="M289" s="193"/>
      <c r="N289" s="39" t="str">
        <f>IF(AND('331-CT'!$E$7=TH!H289,OR(L289="331",M289="331")),"331",IF(AND(OR(L289="131",M289="131"),H289='131-CT'!$E$7),"131",""))</f>
        <v/>
      </c>
      <c r="O289" s="39" t="str">
        <f>IF(AND($B289&gt;='111'!$N$11,$B289&lt;='111'!$O$11,OR($L289=$O$7,$M289=$O$7)),"x","")</f>
        <v/>
      </c>
      <c r="P289" s="39" t="str">
        <f>IF(AND($L289=$O$7,$B289&lt;'111'!$N$11),"x","")</f>
        <v/>
      </c>
      <c r="Q289" s="39" t="str">
        <f>IF(AND($M289=$O$7,$B289&lt;'111'!$N$11),"x","")</f>
        <v/>
      </c>
      <c r="R289" s="39" t="str">
        <f>IF(ISERROR(FIND('112'!$M$9,G289,1)),"",IF((AND(FIND('112'!$M$9,G289,1)&gt;=1,$B289&gt;='112'!$N$8,$B289&lt;='112'!$O$8,OR($L289='112'!$I$6,$M289='112'!$I$6))),"x",""))</f>
        <v/>
      </c>
      <c r="S289" s="39" t="str">
        <f>IF(ISERROR(FIND('112'!$M$9,G289,1)),"",IF((AND(LEFT(G289,2)=LEFT('112'!$M$9,2),B289&lt;'112'!$N$8,$L289='112'!$I$6)),"x",""))</f>
        <v/>
      </c>
      <c r="T289" s="39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39" t="str">
        <f>IF(OR(TH!L289=TH!$V$7,M289=TH!$V$7),"x","")</f>
        <v/>
      </c>
      <c r="W289" s="39" t="str">
        <f>IF(AND(B289&gt;='IN-NX'!$P$3,B289&lt;='IN-NX'!$Q$3,'IN-NX'!$D$7=D289,OR(LEFT(L289,2)="15",AND(LEFT(M289,2)&lt;&gt;"15",LEFT(M289,2)&lt;&gt;"33"))),"x","")</f>
        <v/>
      </c>
      <c r="X289" s="39" t="str">
        <f>IF(AND(OR(LEFT(TH!L289,2)="15",LEFT(TH!M289,2)="15"),'152-CT'!$J$8=TH!F289),"x","")</f>
        <v/>
      </c>
      <c r="Y289" s="39" t="str">
        <f>IF(AND(OR(LEFT(TH!L289,2)="15",LEFT(TH!M289,2)="15"),TK!$E$7=TH!F289),"x","")</f>
        <v/>
      </c>
      <c r="Z289" s="39" t="str">
        <f>IF(AND(B289&lt;=NKC!$N$8,B289&gt;=NKC!$M$8),"x","")</f>
        <v/>
      </c>
      <c r="AA289" s="894"/>
      <c r="AB289" s="598" t="e">
        <f t="shared" si="13"/>
        <v>#N/A</v>
      </c>
    </row>
    <row r="290" spans="1:28" ht="15.75" customHeight="1">
      <c r="A290" s="199" t="str">
        <f>IF(B290&lt;&gt;"",IF(AND(B290&gt;=_TM1,B290&lt;=_TM2,OR(TH!L290="1111",TH!M290="1111")),TH!D290,""),"")</f>
        <v/>
      </c>
      <c r="B290" s="36">
        <f t="shared" si="14"/>
        <v>1</v>
      </c>
      <c r="C290" s="190">
        <f t="shared" si="12"/>
        <v>0</v>
      </c>
      <c r="D290" s="190"/>
      <c r="E290" s="190"/>
      <c r="F290" s="191"/>
      <c r="G290" s="191"/>
      <c r="H290" s="192"/>
      <c r="I290" s="253"/>
      <c r="J290" s="253"/>
      <c r="K290" s="38"/>
      <c r="L290" s="193"/>
      <c r="M290" s="193"/>
      <c r="N290" s="39" t="str">
        <f>IF(AND('331-CT'!$E$7=TH!H290,OR(L290="331",M290="331")),"331",IF(AND(OR(L290="131",M290="131"),H290='131-CT'!$E$7),"131",""))</f>
        <v/>
      </c>
      <c r="O290" s="39" t="str">
        <f>IF(AND($B290&gt;='111'!$N$11,$B290&lt;='111'!$O$11,OR($L290=$O$7,$M290=$O$7)),"x","")</f>
        <v/>
      </c>
      <c r="P290" s="39" t="str">
        <f>IF(AND($L290=$O$7,$B290&lt;'111'!$N$11),"x","")</f>
        <v/>
      </c>
      <c r="Q290" s="39" t="str">
        <f>IF(AND($M290=$O$7,$B290&lt;'111'!$N$11),"x","")</f>
        <v/>
      </c>
      <c r="R290" s="39" t="str">
        <f>IF(ISERROR(FIND('112'!$M$9,G290,1)),"",IF((AND(FIND('112'!$M$9,G290,1)&gt;=1,$B290&gt;='112'!$N$8,$B290&lt;='112'!$O$8,OR($L290='112'!$I$6,$M290='112'!$I$6))),"x",""))</f>
        <v/>
      </c>
      <c r="S290" s="39" t="str">
        <f>IF(ISERROR(FIND('112'!$M$9,G290,1)),"",IF((AND(LEFT(G290,2)=LEFT('112'!$M$9,2),B290&lt;'112'!$N$8,$L290='112'!$I$6)),"x",""))</f>
        <v/>
      </c>
      <c r="T290" s="39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39" t="str">
        <f>IF(OR(TH!L290=TH!$V$7,M290=TH!$V$7),"x","")</f>
        <v/>
      </c>
      <c r="W290" s="39" t="str">
        <f>IF(AND(B290&gt;='IN-NX'!$P$3,B290&lt;='IN-NX'!$Q$3,'IN-NX'!$D$7=D290,OR(LEFT(L290,2)="15",AND(LEFT(M290,2)&lt;&gt;"15",LEFT(M290,2)&lt;&gt;"33"))),"x","")</f>
        <v/>
      </c>
      <c r="X290" s="39" t="str">
        <f>IF(AND(OR(LEFT(TH!L290,2)="15",LEFT(TH!M290,2)="15"),'152-CT'!$J$8=TH!F290),"x","")</f>
        <v/>
      </c>
      <c r="Y290" s="39" t="str">
        <f>IF(AND(OR(LEFT(TH!L290,2)="15",LEFT(TH!M290,2)="15"),TK!$E$7=TH!F290),"x","")</f>
        <v/>
      </c>
      <c r="Z290" s="39" t="str">
        <f>IF(AND(B290&lt;=NKC!$N$8,B290&gt;=NKC!$M$8),"x","")</f>
        <v/>
      </c>
      <c r="AA290" s="894"/>
      <c r="AB290" s="598" t="e">
        <f t="shared" si="13"/>
        <v>#N/A</v>
      </c>
    </row>
    <row r="291" spans="1:28" ht="15.75" customHeight="1">
      <c r="A291" s="199" t="str">
        <f>IF(B291&lt;&gt;"",IF(AND(B291&gt;=_TM1,B291&lt;=_TM2,OR(TH!L291="1111",TH!M291="1111")),TH!D291,""),"")</f>
        <v/>
      </c>
      <c r="B291" s="36">
        <f t="shared" si="14"/>
        <v>1</v>
      </c>
      <c r="C291" s="190">
        <f t="shared" si="12"/>
        <v>0</v>
      </c>
      <c r="D291" s="190"/>
      <c r="E291" s="190"/>
      <c r="F291" s="191"/>
      <c r="G291" s="191"/>
      <c r="H291" s="818"/>
      <c r="I291" s="253"/>
      <c r="J291" s="253"/>
      <c r="K291" s="38"/>
      <c r="L291" s="193"/>
      <c r="M291" s="193"/>
      <c r="N291" s="39" t="str">
        <f>IF(AND('331-CT'!$E$7=TH!H291,OR(L291="331",M291="331")),"331",IF(AND(OR(L291="131",M291="131"),H291='131-CT'!$E$7),"131",""))</f>
        <v/>
      </c>
      <c r="O291" s="39" t="str">
        <f>IF(AND($B291&gt;='111'!$N$11,$B291&lt;='111'!$O$11,OR($L291=$O$7,$M291=$O$7)),"x","")</f>
        <v/>
      </c>
      <c r="P291" s="39" t="str">
        <f>IF(AND($L291=$O$7,$B291&lt;'111'!$N$11),"x","")</f>
        <v/>
      </c>
      <c r="Q291" s="39" t="str">
        <f>IF(AND($M291=$O$7,$B291&lt;'111'!$N$11),"x","")</f>
        <v/>
      </c>
      <c r="R291" s="39" t="str">
        <f>IF(ISERROR(FIND('112'!$M$9,G291,1)),"",IF((AND(FIND('112'!$M$9,G291,1)&gt;=1,$B291&gt;='112'!$N$8,$B291&lt;='112'!$O$8,OR($L291='112'!$I$6,$M291='112'!$I$6))),"x",""))</f>
        <v/>
      </c>
      <c r="S291" s="39" t="str">
        <f>IF(ISERROR(FIND('112'!$M$9,G291,1)),"",IF((AND(LEFT(G291,2)=LEFT('112'!$M$9,2),B291&lt;'112'!$N$8,$L291='112'!$I$6)),"x",""))</f>
        <v/>
      </c>
      <c r="T291" s="39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39" t="str">
        <f>IF(OR(TH!L291=TH!$V$7,M291=TH!$V$7),"x","")</f>
        <v/>
      </c>
      <c r="W291" s="39" t="str">
        <f>IF(AND(B291&gt;='IN-NX'!$P$3,B291&lt;='IN-NX'!$Q$3,'IN-NX'!$D$7=D291,OR(LEFT(L291,2)="15",AND(LEFT(M291,2)&lt;&gt;"15",LEFT(M291,2)&lt;&gt;"33"))),"x","")</f>
        <v/>
      </c>
      <c r="X291" s="39" t="str">
        <f>IF(AND(OR(LEFT(TH!L291,2)="15",LEFT(TH!M291,2)="15"),'152-CT'!$J$8=TH!F291),"x","")</f>
        <v/>
      </c>
      <c r="Y291" s="39" t="str">
        <f>IF(AND(OR(LEFT(TH!L291,2)="15",LEFT(TH!M291,2)="15"),TK!$E$7=TH!F291),"x","")</f>
        <v/>
      </c>
      <c r="Z291" s="39" t="str">
        <f>IF(AND(B291&lt;=NKC!$N$8,B291&gt;=NKC!$M$8),"x","")</f>
        <v/>
      </c>
      <c r="AA291" s="894"/>
      <c r="AB291" s="598" t="e">
        <f t="shared" si="13"/>
        <v>#N/A</v>
      </c>
    </row>
    <row r="292" spans="1:28" ht="15.75" customHeight="1">
      <c r="A292" s="199" t="str">
        <f>IF(B292&lt;&gt;"",IF(AND(B292&gt;=_TM1,B292&lt;=_TM2,OR(TH!L292="1111",TH!M292="1111")),TH!D292,""),"")</f>
        <v/>
      </c>
      <c r="B292" s="36">
        <f t="shared" si="14"/>
        <v>1</v>
      </c>
      <c r="C292" s="190">
        <f t="shared" si="12"/>
        <v>0</v>
      </c>
      <c r="D292" s="190"/>
      <c r="E292" s="190"/>
      <c r="F292" s="191"/>
      <c r="G292" s="191"/>
      <c r="H292" s="192"/>
      <c r="I292" s="253"/>
      <c r="J292" s="253"/>
      <c r="K292" s="38"/>
      <c r="L292" s="193"/>
      <c r="M292" s="193"/>
      <c r="N292" s="39" t="str">
        <f>IF(AND('331-CT'!$E$7=TH!H292,OR(L292="331",M292="331")),"331",IF(AND(OR(L292="131",M292="131"),H292='131-CT'!$E$7),"131",""))</f>
        <v/>
      </c>
      <c r="O292" s="39" t="str">
        <f>IF(AND($B292&gt;='111'!$N$11,$B292&lt;='111'!$O$11,OR($L292=$O$7,$M292=$O$7)),"x","")</f>
        <v/>
      </c>
      <c r="P292" s="39" t="str">
        <f>IF(AND($L292=$O$7,$B292&lt;'111'!$N$11),"x","")</f>
        <v/>
      </c>
      <c r="Q292" s="39" t="str">
        <f>IF(AND($M292=$O$7,$B292&lt;'111'!$N$11),"x","")</f>
        <v/>
      </c>
      <c r="R292" s="39" t="str">
        <f>IF(ISERROR(FIND('112'!$M$9,G292,1)),"",IF((AND(FIND('112'!$M$9,G292,1)&gt;=1,$B292&gt;='112'!$N$8,$B292&lt;='112'!$O$8,OR($L292='112'!$I$6,$M292='112'!$I$6))),"x",""))</f>
        <v/>
      </c>
      <c r="S292" s="39" t="str">
        <f>IF(ISERROR(FIND('112'!$M$9,G292,1)),"",IF((AND(LEFT(G292,2)=LEFT('112'!$M$9,2),B292&lt;'112'!$N$8,$L292='112'!$I$6)),"x",""))</f>
        <v/>
      </c>
      <c r="T292" s="39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39" t="str">
        <f>IF(OR(TH!L292=TH!$V$7,M292=TH!$V$7),"x","")</f>
        <v/>
      </c>
      <c r="W292" s="39" t="str">
        <f>IF(AND(B292&gt;='IN-NX'!$P$3,B292&lt;='IN-NX'!$Q$3,'IN-NX'!$D$7=D292,OR(LEFT(L292,2)="15",AND(LEFT(M292,2)&lt;&gt;"15",LEFT(M292,2)&lt;&gt;"33"))),"x","")</f>
        <v/>
      </c>
      <c r="X292" s="39" t="str">
        <f>IF(AND(OR(LEFT(TH!L292,2)="15",LEFT(TH!M292,2)="15"),'152-CT'!$J$8=TH!F292),"x","")</f>
        <v/>
      </c>
      <c r="Y292" s="39" t="str">
        <f>IF(AND(OR(LEFT(TH!L292,2)="15",LEFT(TH!M292,2)="15"),TK!$E$7=TH!F292),"x","")</f>
        <v/>
      </c>
      <c r="Z292" s="39" t="str">
        <f>IF(AND(B292&lt;=NKC!$N$8,B292&gt;=NKC!$M$8),"x","")</f>
        <v/>
      </c>
      <c r="AA292" s="894"/>
      <c r="AB292" s="598" t="e">
        <f t="shared" si="13"/>
        <v>#N/A</v>
      </c>
    </row>
    <row r="293" spans="1:28" ht="15.75" customHeight="1">
      <c r="A293" s="199" t="str">
        <f>IF(B293&lt;&gt;"",IF(AND(B293&gt;=_TM1,B293&lt;=_TM2,OR(TH!L293="1111",TH!M293="1111")),TH!D293,""),"")</f>
        <v/>
      </c>
      <c r="B293" s="36">
        <f t="shared" si="14"/>
        <v>1</v>
      </c>
      <c r="C293" s="190">
        <f t="shared" si="12"/>
        <v>0</v>
      </c>
      <c r="D293" s="190"/>
      <c r="E293" s="190"/>
      <c r="F293" s="191"/>
      <c r="G293" s="191"/>
      <c r="H293" s="818"/>
      <c r="I293" s="255"/>
      <c r="J293" s="255"/>
      <c r="K293" s="38"/>
      <c r="L293" s="193"/>
      <c r="M293" s="193"/>
      <c r="N293" s="39" t="str">
        <f>IF(AND('331-CT'!$E$7=TH!H293,OR(L293="331",M293="331")),"331",IF(AND(OR(L293="131",M293="131"),H293='131-CT'!$E$7),"131",""))</f>
        <v/>
      </c>
      <c r="O293" s="39" t="str">
        <f>IF(AND($B293&gt;='111'!$N$11,$B293&lt;='111'!$O$11,OR($L293=$O$7,$M293=$O$7)),"x","")</f>
        <v/>
      </c>
      <c r="P293" s="39" t="str">
        <f>IF(AND($L293=$O$7,$B293&lt;'111'!$N$11),"x","")</f>
        <v/>
      </c>
      <c r="Q293" s="39" t="str">
        <f>IF(AND($M293=$O$7,$B293&lt;'111'!$N$11),"x","")</f>
        <v/>
      </c>
      <c r="R293" s="39" t="str">
        <f>IF(ISERROR(FIND('112'!$M$9,G293,1)),"",IF((AND(FIND('112'!$M$9,G293,1)&gt;=1,$B293&gt;='112'!$N$8,$B293&lt;='112'!$O$8,OR($L293='112'!$I$6,$M293='112'!$I$6))),"x",""))</f>
        <v/>
      </c>
      <c r="S293" s="39" t="str">
        <f>IF(ISERROR(FIND('112'!$M$9,G293,1)),"",IF((AND(LEFT(G293,2)=LEFT('112'!$M$9,2),B293&lt;'112'!$N$8,$L293='112'!$I$6)),"x",""))</f>
        <v/>
      </c>
      <c r="T293" s="39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39" t="str">
        <f>IF(OR(TH!L293=TH!$V$7,M293=TH!$V$7),"x","")</f>
        <v/>
      </c>
      <c r="W293" s="39" t="str">
        <f>IF(AND(B293&gt;='IN-NX'!$P$3,B293&lt;='IN-NX'!$Q$3,'IN-NX'!$D$7=D293,OR(LEFT(L293,2)="15",AND(LEFT(M293,2)&lt;&gt;"15",LEFT(M293,2)&lt;&gt;"33"))),"x","")</f>
        <v/>
      </c>
      <c r="X293" s="39" t="str">
        <f>IF(AND(OR(LEFT(TH!L293,2)="15",LEFT(TH!M293,2)="15"),'152-CT'!$J$8=TH!F293),"x","")</f>
        <v/>
      </c>
      <c r="Y293" s="39" t="str">
        <f>IF(AND(OR(LEFT(TH!L293,2)="15",LEFT(TH!M293,2)="15"),TK!$E$7=TH!F293),"x","")</f>
        <v/>
      </c>
      <c r="Z293" s="39" t="str">
        <f>IF(AND(B293&lt;=NKC!$N$8,B293&gt;=NKC!$M$8),"x","")</f>
        <v/>
      </c>
      <c r="AA293" s="894"/>
      <c r="AB293" s="598" t="e">
        <f t="shared" si="13"/>
        <v>#N/A</v>
      </c>
    </row>
    <row r="294" spans="1:28" ht="15.75" customHeight="1">
      <c r="A294" s="199" t="str">
        <f>IF(B294&lt;&gt;"",IF(AND(B294&gt;=_TM1,B294&lt;=_TM2,OR(TH!L294="1111",TH!M294="1111")),TH!D294,""),"")</f>
        <v/>
      </c>
      <c r="B294" s="36">
        <f t="shared" si="14"/>
        <v>1</v>
      </c>
      <c r="C294" s="190">
        <f t="shared" si="12"/>
        <v>0</v>
      </c>
      <c r="D294" s="190"/>
      <c r="E294" s="190"/>
      <c r="F294" s="191"/>
      <c r="G294" s="191"/>
      <c r="H294" s="818"/>
      <c r="I294" s="255"/>
      <c r="J294" s="255"/>
      <c r="K294" s="38"/>
      <c r="L294" s="193"/>
      <c r="M294" s="193"/>
      <c r="N294" s="39" t="str">
        <f>IF(AND('331-CT'!$E$7=TH!H294,OR(L294="331",M294="331")),"331",IF(AND(OR(L294="131",M294="131"),H294='131-CT'!$E$7),"131",""))</f>
        <v/>
      </c>
      <c r="O294" s="39" t="str">
        <f>IF(AND($B294&gt;='111'!$N$11,$B294&lt;='111'!$O$11,OR($L294=$O$7,$M294=$O$7)),"x","")</f>
        <v/>
      </c>
      <c r="P294" s="39" t="str">
        <f>IF(AND($L294=$O$7,$B294&lt;'111'!$N$11),"x","")</f>
        <v/>
      </c>
      <c r="Q294" s="39" t="str">
        <f>IF(AND($M294=$O$7,$B294&lt;'111'!$N$11),"x","")</f>
        <v/>
      </c>
      <c r="R294" s="39" t="str">
        <f>IF(ISERROR(FIND('112'!$M$9,G294,1)),"",IF((AND(FIND('112'!$M$9,G294,1)&gt;=1,$B294&gt;='112'!$N$8,$B294&lt;='112'!$O$8,OR($L294='112'!$I$6,$M294='112'!$I$6))),"x",""))</f>
        <v/>
      </c>
      <c r="S294" s="39" t="str">
        <f>IF(ISERROR(FIND('112'!$M$9,G294,1)),"",IF((AND(LEFT(G294,2)=LEFT('112'!$M$9,2),B294&lt;'112'!$N$8,$L294='112'!$I$6)),"x",""))</f>
        <v/>
      </c>
      <c r="T294" s="39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39" t="str">
        <f>IF(OR(TH!L294=TH!$V$7,M294=TH!$V$7),"x","")</f>
        <v/>
      </c>
      <c r="W294" s="39" t="str">
        <f>IF(AND(B294&gt;='IN-NX'!$P$3,B294&lt;='IN-NX'!$Q$3,'IN-NX'!$D$7=D294,OR(LEFT(L294,2)="15",AND(LEFT(M294,2)&lt;&gt;"15",LEFT(M294,2)&lt;&gt;"33"))),"x","")</f>
        <v/>
      </c>
      <c r="X294" s="39" t="str">
        <f>IF(AND(OR(LEFT(TH!L294,2)="15",LEFT(TH!M294,2)="15"),'152-CT'!$J$8=TH!F294),"x","")</f>
        <v/>
      </c>
      <c r="Y294" s="39" t="str">
        <f>IF(AND(OR(LEFT(TH!L294,2)="15",LEFT(TH!M294,2)="15"),TK!$E$7=TH!F294),"x","")</f>
        <v/>
      </c>
      <c r="Z294" s="39" t="str">
        <f>IF(AND(B294&lt;=NKC!$N$8,B294&gt;=NKC!$M$8),"x","")</f>
        <v/>
      </c>
      <c r="AA294" s="894"/>
      <c r="AB294" s="598" t="e">
        <f t="shared" si="13"/>
        <v>#N/A</v>
      </c>
    </row>
    <row r="295" spans="1:28" ht="15.75" customHeight="1">
      <c r="A295" s="199" t="str">
        <f>IF(B295&lt;&gt;"",IF(AND(B295&gt;=_TM1,B295&lt;=_TM2,OR(TH!L295="1111",TH!M295="1111")),TH!D295,""),"")</f>
        <v/>
      </c>
      <c r="B295" s="36">
        <f t="shared" si="14"/>
        <v>1</v>
      </c>
      <c r="C295" s="190">
        <f t="shared" si="12"/>
        <v>0</v>
      </c>
      <c r="D295" s="190"/>
      <c r="E295" s="190"/>
      <c r="F295" s="191"/>
      <c r="G295" s="191"/>
      <c r="H295" s="192"/>
      <c r="I295" s="253"/>
      <c r="J295" s="253"/>
      <c r="K295" s="38"/>
      <c r="L295" s="193"/>
      <c r="M295" s="193"/>
      <c r="N295" s="39" t="str">
        <f>IF(AND('331-CT'!$E$7=TH!H295,OR(L295="331",M295="331")),"331",IF(AND(OR(L295="131",M295="131"),H295='131-CT'!$E$7),"131",""))</f>
        <v/>
      </c>
      <c r="O295" s="39" t="str">
        <f>IF(AND($B295&gt;='111'!$N$11,$B295&lt;='111'!$O$11,OR($L295=$O$7,$M295=$O$7)),"x","")</f>
        <v/>
      </c>
      <c r="P295" s="39" t="str">
        <f>IF(AND($L295=$O$7,$B295&lt;'111'!$N$11),"x","")</f>
        <v/>
      </c>
      <c r="Q295" s="39" t="str">
        <f>IF(AND($M295=$O$7,$B295&lt;'111'!$N$11),"x","")</f>
        <v/>
      </c>
      <c r="R295" s="39" t="str">
        <f>IF(ISERROR(FIND('112'!$M$9,G295,1)),"",IF((AND(FIND('112'!$M$9,G295,1)&gt;=1,$B295&gt;='112'!$N$8,$B295&lt;='112'!$O$8,OR($L295='112'!$I$6,$M295='112'!$I$6))),"x",""))</f>
        <v/>
      </c>
      <c r="S295" s="39" t="str">
        <f>IF(ISERROR(FIND('112'!$M$9,G295,1)),"",IF((AND(LEFT(G295,2)=LEFT('112'!$M$9,2),B295&lt;'112'!$N$8,$L295='112'!$I$6)),"x",""))</f>
        <v/>
      </c>
      <c r="T295" s="39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39" t="str">
        <f>IF(OR(TH!L295=TH!$V$7,M295=TH!$V$7),"x","")</f>
        <v/>
      </c>
      <c r="W295" s="39" t="str">
        <f>IF(AND(B295&gt;='IN-NX'!$P$3,B295&lt;='IN-NX'!$Q$3,'IN-NX'!$D$7=D295,OR(LEFT(L295,2)="15",AND(LEFT(M295,2)&lt;&gt;"15",LEFT(M295,2)&lt;&gt;"33"))),"x","")</f>
        <v/>
      </c>
      <c r="X295" s="39" t="str">
        <f>IF(AND(OR(LEFT(TH!L295,2)="15",LEFT(TH!M295,2)="15"),'152-CT'!$J$8=TH!F295),"x","")</f>
        <v/>
      </c>
      <c r="Y295" s="39" t="str">
        <f>IF(AND(OR(LEFT(TH!L295,2)="15",LEFT(TH!M295,2)="15"),TK!$E$7=TH!F295),"x","")</f>
        <v/>
      </c>
      <c r="Z295" s="39" t="str">
        <f>IF(AND(B295&lt;=NKC!$N$8,B295&gt;=NKC!$M$8),"x","")</f>
        <v/>
      </c>
      <c r="AA295" s="894"/>
      <c r="AB295" s="598" t="e">
        <f t="shared" si="13"/>
        <v>#N/A</v>
      </c>
    </row>
    <row r="296" spans="1:28" ht="15.75" customHeight="1">
      <c r="A296" s="199" t="str">
        <f>IF(B296&lt;&gt;"",IF(AND(B296&gt;=_TM1,B296&lt;=_TM2,OR(TH!L296="1111",TH!M296="1111")),TH!D296,""),"")</f>
        <v/>
      </c>
      <c r="B296" s="36">
        <f t="shared" si="14"/>
        <v>1</v>
      </c>
      <c r="C296" s="190">
        <f t="shared" si="12"/>
        <v>0</v>
      </c>
      <c r="D296" s="190"/>
      <c r="E296" s="190"/>
      <c r="F296" s="191"/>
      <c r="G296" s="191"/>
      <c r="H296" s="192"/>
      <c r="I296" s="253"/>
      <c r="J296" s="253"/>
      <c r="K296" s="38"/>
      <c r="L296" s="193"/>
      <c r="M296" s="193"/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94"/>
      <c r="AB296" s="598" t="e">
        <f t="shared" si="13"/>
        <v>#N/A</v>
      </c>
    </row>
    <row r="297" spans="1:28" ht="15.75" customHeight="1">
      <c r="A297" s="199" t="str">
        <f>IF(B297&lt;&gt;"",IF(AND(B297&gt;=_TM1,B297&lt;=_TM2,OR(TH!L297="1111",TH!M297="1111")),TH!D297,""),"")</f>
        <v/>
      </c>
      <c r="B297" s="36">
        <f t="shared" si="14"/>
        <v>1</v>
      </c>
      <c r="C297" s="190">
        <f t="shared" si="12"/>
        <v>0</v>
      </c>
      <c r="D297" s="190"/>
      <c r="E297" s="190"/>
      <c r="F297" s="191"/>
      <c r="G297" s="191"/>
      <c r="H297" s="192"/>
      <c r="I297" s="253"/>
      <c r="J297" s="253"/>
      <c r="K297" s="38"/>
      <c r="L297" s="193"/>
      <c r="M297" s="193"/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94"/>
      <c r="AB297" s="598" t="e">
        <f t="shared" si="13"/>
        <v>#N/A</v>
      </c>
    </row>
    <row r="298" spans="1:28" ht="15.75" customHeight="1">
      <c r="A298" s="199" t="str">
        <f>IF(B298&lt;&gt;"",IF(AND(B298&gt;=_TM1,B298&lt;=_TM2,OR(TH!L298="1111",TH!M298="1111")),TH!D298,""),"")</f>
        <v/>
      </c>
      <c r="B298" s="36">
        <f t="shared" si="14"/>
        <v>1</v>
      </c>
      <c r="C298" s="190">
        <f t="shared" si="12"/>
        <v>0</v>
      </c>
      <c r="D298" s="190"/>
      <c r="E298" s="190"/>
      <c r="F298" s="191"/>
      <c r="G298" s="191"/>
      <c r="H298" s="192"/>
      <c r="I298" s="253"/>
      <c r="J298" s="253"/>
      <c r="K298" s="38"/>
      <c r="L298" s="193"/>
      <c r="M298" s="193"/>
      <c r="N298" s="39" t="str">
        <f>IF(AND('331-CT'!$E$7=TH!H298,OR(L298="331",M298="331")),"331",IF(AND(OR(L298="131",M298="131"),H298='131-CT'!$E$7),"131",""))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IF(OR(TH!L298=TH!$V$7,M298=TH!$V$7),"x","")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IF(AND(OR(LEFT(TH!L298,2)="15",LEFT(TH!M298,2)="15"),'152-CT'!$J$8=TH!F298),"x","")</f>
        <v/>
      </c>
      <c r="Y298" s="39" t="str">
        <f>IF(AND(OR(LEFT(TH!L298,2)="15",LEFT(TH!M298,2)="15"),TK!$E$7=TH!F298),"x","")</f>
        <v/>
      </c>
      <c r="Z298" s="39" t="str">
        <f>IF(AND(B298&lt;=NKC!$N$8,B298&gt;=NKC!$M$8),"x","")</f>
        <v/>
      </c>
      <c r="AA298" s="894"/>
      <c r="AB298" s="598" t="e">
        <f t="shared" si="13"/>
        <v>#N/A</v>
      </c>
    </row>
    <row r="299" spans="1:28" ht="15.75" customHeight="1">
      <c r="A299" s="199" t="str">
        <f>IF(B299&lt;&gt;"",IF(AND(B299&gt;=_TM1,B299&lt;=_TM2,OR(TH!L299="1111",TH!M299="1111")),TH!D299,""),"")</f>
        <v/>
      </c>
      <c r="B299" s="36">
        <f t="shared" si="14"/>
        <v>1</v>
      </c>
      <c r="C299" s="190">
        <f t="shared" si="12"/>
        <v>0</v>
      </c>
      <c r="D299" s="190"/>
      <c r="E299" s="190"/>
      <c r="F299" s="191"/>
      <c r="G299" s="191"/>
      <c r="H299" s="204"/>
      <c r="I299" s="254"/>
      <c r="J299" s="254"/>
      <c r="K299" s="38"/>
      <c r="L299" s="193"/>
      <c r="M299" s="193"/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IF(OR(TH!L299=TH!$V$7,M299=TH!$V$7),"x","")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/>
      </c>
      <c r="AA299" s="894"/>
      <c r="AB299" s="598" t="e">
        <f t="shared" si="13"/>
        <v>#N/A</v>
      </c>
    </row>
    <row r="300" spans="1:28" ht="15.75" customHeight="1">
      <c r="A300" s="199" t="str">
        <f>IF(B300&lt;&gt;"",IF(AND(B300&gt;=_TM1,B300&lt;=_TM2,OR(TH!L300="1111",TH!M300="1111")),TH!D300,""),"")</f>
        <v/>
      </c>
      <c r="B300" s="36">
        <f t="shared" si="14"/>
        <v>1</v>
      </c>
      <c r="C300" s="190">
        <f t="shared" si="12"/>
        <v>0</v>
      </c>
      <c r="D300" s="190"/>
      <c r="E300" s="190"/>
      <c r="F300" s="191"/>
      <c r="G300" s="191"/>
      <c r="H300" s="191"/>
      <c r="I300" s="253"/>
      <c r="J300" s="253"/>
      <c r="K300" s="38"/>
      <c r="L300" s="193"/>
      <c r="M300" s="193"/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94"/>
      <c r="AB300" s="598" t="e">
        <f t="shared" si="13"/>
        <v>#N/A</v>
      </c>
    </row>
    <row r="301" spans="1:28" ht="15.75" customHeight="1">
      <c r="A301" s="199" t="str">
        <f>IF(B301&lt;&gt;"",IF(AND(B301&gt;=_TM1,B301&lt;=_TM2,OR(TH!L301="1111",TH!M301="1111")),TH!D301,""),"")</f>
        <v/>
      </c>
      <c r="B301" s="36">
        <f t="shared" si="14"/>
        <v>1</v>
      </c>
      <c r="C301" s="190">
        <f t="shared" si="12"/>
        <v>0</v>
      </c>
      <c r="D301" s="190"/>
      <c r="E301" s="190"/>
      <c r="F301" s="191"/>
      <c r="G301" s="191"/>
      <c r="H301" s="192"/>
      <c r="I301" s="253"/>
      <c r="J301" s="253"/>
      <c r="K301" s="38"/>
      <c r="L301" s="193"/>
      <c r="M301" s="193"/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94"/>
      <c r="AB301" s="598" t="e">
        <f t="shared" si="13"/>
        <v>#N/A</v>
      </c>
    </row>
    <row r="302" spans="1:28" ht="15.75" customHeight="1">
      <c r="A302" s="199" t="str">
        <f>IF(B302&lt;&gt;"",IF(AND(B302&gt;=_TM1,B302&lt;=_TM2,OR(TH!L302="1111",TH!M302="1111")),TH!D302,""),"")</f>
        <v/>
      </c>
      <c r="B302" s="36">
        <f t="shared" si="14"/>
        <v>1</v>
      </c>
      <c r="C302" s="190">
        <f t="shared" si="12"/>
        <v>0</v>
      </c>
      <c r="D302" s="190"/>
      <c r="E302" s="190"/>
      <c r="F302" s="191"/>
      <c r="G302" s="191"/>
      <c r="H302" s="191"/>
      <c r="I302" s="253"/>
      <c r="J302" s="253"/>
      <c r="K302" s="38"/>
      <c r="L302" s="193"/>
      <c r="M302" s="193"/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94"/>
      <c r="AB302" s="598" t="e">
        <f t="shared" si="13"/>
        <v>#N/A</v>
      </c>
    </row>
    <row r="303" spans="1:28" ht="15.75" customHeight="1">
      <c r="A303" s="199" t="str">
        <f>IF(B303&lt;&gt;"",IF(AND(B303&gt;=_TM1,B303&lt;=_TM2,OR(TH!L303="1111",TH!M303="1111")),TH!D303,""),"")</f>
        <v/>
      </c>
      <c r="B303" s="36">
        <f t="shared" si="14"/>
        <v>1</v>
      </c>
      <c r="C303" s="190">
        <f t="shared" si="12"/>
        <v>0</v>
      </c>
      <c r="D303" s="190"/>
      <c r="E303" s="190"/>
      <c r="F303" s="191"/>
      <c r="G303" s="191"/>
      <c r="H303" s="818"/>
      <c r="I303" s="255"/>
      <c r="J303" s="255"/>
      <c r="K303" s="38"/>
      <c r="L303" s="193"/>
      <c r="M303" s="193"/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94"/>
      <c r="AB303" s="598" t="e">
        <f t="shared" si="13"/>
        <v>#N/A</v>
      </c>
    </row>
    <row r="304" spans="1:28" ht="15.75" customHeight="1">
      <c r="A304" s="199" t="str">
        <f>IF(B304&lt;&gt;"",IF(AND(B304&gt;=_TM1,B304&lt;=_TM2,OR(TH!L304="1111",TH!M304="1111")),TH!D304,""),"")</f>
        <v/>
      </c>
      <c r="B304" s="36">
        <f t="shared" si="14"/>
        <v>1</v>
      </c>
      <c r="C304" s="190">
        <f t="shared" si="12"/>
        <v>0</v>
      </c>
      <c r="D304" s="190"/>
      <c r="E304" s="190"/>
      <c r="F304" s="191"/>
      <c r="G304" s="491"/>
      <c r="H304" s="192"/>
      <c r="I304" s="253"/>
      <c r="J304" s="253"/>
      <c r="K304" s="38"/>
      <c r="L304" s="193"/>
      <c r="M304" s="193"/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94"/>
      <c r="AB304" s="598" t="e">
        <f t="shared" si="13"/>
        <v>#N/A</v>
      </c>
    </row>
    <row r="305" spans="1:30" ht="15.75" customHeight="1">
      <c r="A305" s="199" t="str">
        <f>IF(B305&lt;&gt;"",IF(AND(B305&gt;=_TM1,B305&lt;=_TM2,OR(TH!L305="1111",TH!M305="1111")),TH!D305,""),"")</f>
        <v/>
      </c>
      <c r="B305" s="36">
        <f t="shared" si="14"/>
        <v>1</v>
      </c>
      <c r="C305" s="190">
        <f t="shared" si="12"/>
        <v>0</v>
      </c>
      <c r="D305" s="190"/>
      <c r="E305" s="190"/>
      <c r="F305" s="191"/>
      <c r="G305" s="191"/>
      <c r="H305" s="192"/>
      <c r="I305" s="253"/>
      <c r="J305" s="253"/>
      <c r="K305" s="38"/>
      <c r="L305" s="193"/>
      <c r="M305" s="193"/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94"/>
      <c r="AB305" s="598" t="e">
        <f t="shared" si="13"/>
        <v>#N/A</v>
      </c>
    </row>
    <row r="306" spans="1:30" ht="15.75" customHeight="1">
      <c r="A306" s="199" t="str">
        <f>IF(B306&lt;&gt;"",IF(AND(B306&gt;=_TM1,B306&lt;=_TM2,OR(TH!L306="1111",TH!M306="1111")),TH!D306,""),"")</f>
        <v/>
      </c>
      <c r="B306" s="36">
        <f t="shared" si="14"/>
        <v>1</v>
      </c>
      <c r="C306" s="190">
        <f t="shared" si="12"/>
        <v>0</v>
      </c>
      <c r="D306" s="190"/>
      <c r="E306" s="190"/>
      <c r="F306" s="191"/>
      <c r="G306" s="491"/>
      <c r="H306" s="192"/>
      <c r="I306" s="253"/>
      <c r="J306" s="253"/>
      <c r="K306" s="38"/>
      <c r="L306" s="193"/>
      <c r="M306" s="193"/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94"/>
      <c r="AB306" s="598" t="e">
        <f t="shared" si="13"/>
        <v>#N/A</v>
      </c>
    </row>
    <row r="307" spans="1:30" ht="15.75" customHeight="1">
      <c r="A307" s="199" t="str">
        <f>IF(B307&lt;&gt;"",IF(AND(B307&gt;=_TM1,B307&lt;=_TM2,OR(TH!L307="1111",TH!M307="1111")),TH!D307,""),"")</f>
        <v/>
      </c>
      <c r="B307" s="36">
        <f t="shared" si="14"/>
        <v>1</v>
      </c>
      <c r="C307" s="190">
        <f t="shared" si="12"/>
        <v>0</v>
      </c>
      <c r="D307" s="190"/>
      <c r="E307" s="190"/>
      <c r="F307" s="191"/>
      <c r="G307" s="191"/>
      <c r="H307" s="192"/>
      <c r="I307" s="253"/>
      <c r="J307" s="253"/>
      <c r="K307" s="38"/>
      <c r="L307" s="193"/>
      <c r="M307" s="193"/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94"/>
      <c r="AB307" s="598" t="e">
        <f t="shared" si="13"/>
        <v>#N/A</v>
      </c>
    </row>
    <row r="308" spans="1:30" ht="15.75" customHeight="1">
      <c r="A308" s="199" t="str">
        <f>IF(B308&lt;&gt;"",IF(AND(B308&gt;=_TM1,B308&lt;=_TM2,OR(TH!L308="1111",TH!M308="1111")),TH!D308,""),"")</f>
        <v/>
      </c>
      <c r="B308" s="36">
        <f t="shared" si="14"/>
        <v>1</v>
      </c>
      <c r="C308" s="190">
        <f t="shared" si="12"/>
        <v>0</v>
      </c>
      <c r="D308" s="190"/>
      <c r="E308" s="190"/>
      <c r="F308" s="191"/>
      <c r="G308" s="191"/>
      <c r="H308" s="204"/>
      <c r="I308" s="253"/>
      <c r="J308" s="253"/>
      <c r="K308" s="38"/>
      <c r="L308" s="193"/>
      <c r="M308" s="193"/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94"/>
      <c r="AB308" s="598" t="e">
        <f t="shared" si="13"/>
        <v>#N/A</v>
      </c>
    </row>
    <row r="309" spans="1:30" s="598" customFormat="1" ht="15.75" customHeight="1">
      <c r="A309" s="199" t="str">
        <f>IF(B309&lt;&gt;"",IF(AND(B309&gt;=_TM1,B309&lt;=_TM2,OR(TH!L309="1111",TH!M309="1111")),TH!D309,""),"")</f>
        <v/>
      </c>
      <c r="B309" s="36">
        <f t="shared" si="14"/>
        <v>1</v>
      </c>
      <c r="C309" s="190">
        <f t="shared" ref="C309:C372" si="15">E309</f>
        <v>0</v>
      </c>
      <c r="D309" s="190"/>
      <c r="E309" s="190"/>
      <c r="F309" s="191"/>
      <c r="G309" s="191"/>
      <c r="H309" s="45"/>
      <c r="I309" s="254"/>
      <c r="J309" s="254"/>
      <c r="K309" s="38"/>
      <c r="L309" s="193"/>
      <c r="M309" s="193"/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94"/>
      <c r="AB309" s="598" t="e">
        <f t="shared" si="13"/>
        <v>#N/A</v>
      </c>
      <c r="AC309" s="205"/>
      <c r="AD309" s="205"/>
    </row>
    <row r="310" spans="1:30" s="598" customFormat="1" ht="15.75" customHeight="1">
      <c r="A310" s="199" t="str">
        <f>IF(B310&lt;&gt;"",IF(AND(B310&gt;=_TM1,B310&lt;=_TM2,OR(TH!L310="1111",TH!M310="1111")),TH!D310,""),"")</f>
        <v/>
      </c>
      <c r="B310" s="36">
        <f t="shared" si="14"/>
        <v>1</v>
      </c>
      <c r="C310" s="190">
        <f t="shared" si="15"/>
        <v>0</v>
      </c>
      <c r="D310" s="190"/>
      <c r="E310" s="190"/>
      <c r="F310" s="191"/>
      <c r="G310" s="191"/>
      <c r="H310" s="204"/>
      <c r="I310" s="253"/>
      <c r="J310" s="253"/>
      <c r="K310" s="38"/>
      <c r="L310" s="193"/>
      <c r="M310" s="193"/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94"/>
      <c r="AB310" s="598" t="e">
        <f t="shared" si="13"/>
        <v>#N/A</v>
      </c>
      <c r="AC310" s="205"/>
      <c r="AD310" s="205"/>
    </row>
    <row r="311" spans="1:30" s="598" customFormat="1" ht="15.75" customHeight="1">
      <c r="A311" s="199" t="str">
        <f>IF(B311&lt;&gt;"",IF(AND(B311&gt;=_TM1,B311&lt;=_TM2,OR(TH!L311="1111",TH!M311="1111")),TH!D311,""),"")</f>
        <v/>
      </c>
      <c r="B311" s="36">
        <f t="shared" si="14"/>
        <v>1</v>
      </c>
      <c r="C311" s="190">
        <f t="shared" si="15"/>
        <v>0</v>
      </c>
      <c r="D311" s="190"/>
      <c r="E311" s="190"/>
      <c r="F311" s="191"/>
      <c r="G311" s="191"/>
      <c r="H311" s="45"/>
      <c r="I311" s="254"/>
      <c r="J311" s="254"/>
      <c r="K311" s="38"/>
      <c r="L311" s="193"/>
      <c r="M311" s="193"/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94"/>
      <c r="AB311" s="598" t="e">
        <f t="shared" si="13"/>
        <v>#N/A</v>
      </c>
      <c r="AC311" s="205"/>
      <c r="AD311" s="205"/>
    </row>
    <row r="312" spans="1:30" s="598" customFormat="1" ht="15.75" customHeight="1">
      <c r="A312" s="199" t="str">
        <f>IF(B312&lt;&gt;"",IF(AND(B312&gt;=_TM1,B312&lt;=_TM2,OR(TH!L312="1111",TH!M312="1111")),TH!D312,""),"")</f>
        <v/>
      </c>
      <c r="B312" s="36">
        <f t="shared" si="14"/>
        <v>1</v>
      </c>
      <c r="C312" s="190">
        <f t="shared" si="15"/>
        <v>0</v>
      </c>
      <c r="D312" s="190"/>
      <c r="E312" s="190"/>
      <c r="F312" s="191"/>
      <c r="G312" s="191"/>
      <c r="H312" s="204"/>
      <c r="I312" s="253"/>
      <c r="J312" s="253"/>
      <c r="K312" s="38"/>
      <c r="L312" s="193"/>
      <c r="M312" s="193"/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94"/>
      <c r="AB312" s="598" t="e">
        <f t="shared" si="13"/>
        <v>#N/A</v>
      </c>
      <c r="AC312" s="205"/>
      <c r="AD312" s="205"/>
    </row>
    <row r="313" spans="1:30" s="598" customFormat="1" ht="15.75" customHeight="1">
      <c r="A313" s="199" t="str">
        <f>IF(B313&lt;&gt;"",IF(AND(B313&gt;=_TM1,B313&lt;=_TM2,OR(TH!L313="1111",TH!M313="1111")),TH!D313,""),"")</f>
        <v/>
      </c>
      <c r="B313" s="36">
        <f t="shared" si="14"/>
        <v>1</v>
      </c>
      <c r="C313" s="190">
        <f t="shared" si="15"/>
        <v>0</v>
      </c>
      <c r="D313" s="190"/>
      <c r="E313" s="190"/>
      <c r="F313" s="191"/>
      <c r="G313" s="191"/>
      <c r="H313" s="45"/>
      <c r="I313" s="254"/>
      <c r="J313" s="254"/>
      <c r="K313" s="38"/>
      <c r="L313" s="193"/>
      <c r="M313" s="193"/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IF(OR(TH!L313=TH!$V$7,M313=TH!$V$7),"x","")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94"/>
      <c r="AB313" s="598" t="e">
        <f t="shared" si="13"/>
        <v>#N/A</v>
      </c>
      <c r="AC313" s="205"/>
      <c r="AD313" s="205"/>
    </row>
    <row r="314" spans="1:30" s="598" customFormat="1" ht="15.75" customHeight="1">
      <c r="A314" s="199" t="str">
        <f>IF(B314&lt;&gt;"",IF(AND(B314&gt;=_TM1,B314&lt;=_TM2,OR(TH!L314="1111",TH!M314="1111")),TH!D314,""),"")</f>
        <v/>
      </c>
      <c r="B314" s="36">
        <f t="shared" si="14"/>
        <v>1</v>
      </c>
      <c r="C314" s="190">
        <f t="shared" si="15"/>
        <v>0</v>
      </c>
      <c r="D314" s="190"/>
      <c r="E314" s="190"/>
      <c r="F314" s="191"/>
      <c r="G314" s="191"/>
      <c r="H314" s="204"/>
      <c r="I314" s="253"/>
      <c r="J314" s="253"/>
      <c r="K314" s="38"/>
      <c r="L314" s="193"/>
      <c r="M314" s="193"/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94"/>
      <c r="AB314" s="598" t="e">
        <f t="shared" si="13"/>
        <v>#N/A</v>
      </c>
      <c r="AC314" s="205"/>
      <c r="AD314" s="205"/>
    </row>
    <row r="315" spans="1:30" s="598" customFormat="1" ht="15.75" customHeight="1">
      <c r="A315" s="199" t="str">
        <f>IF(B315&lt;&gt;"",IF(AND(B315&gt;=_TM1,B315&lt;=_TM2,OR(TH!L315="1111",TH!M315="1111")),TH!D315,""),"")</f>
        <v/>
      </c>
      <c r="B315" s="36">
        <f t="shared" si="14"/>
        <v>1</v>
      </c>
      <c r="C315" s="190">
        <f t="shared" si="15"/>
        <v>0</v>
      </c>
      <c r="D315" s="190"/>
      <c r="E315" s="190"/>
      <c r="F315" s="191"/>
      <c r="G315" s="191"/>
      <c r="H315" s="45"/>
      <c r="I315" s="254"/>
      <c r="J315" s="254"/>
      <c r="K315" s="38"/>
      <c r="L315" s="193"/>
      <c r="M315" s="193"/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94"/>
      <c r="AB315" s="598" t="e">
        <f t="shared" si="13"/>
        <v>#N/A</v>
      </c>
      <c r="AC315" s="205"/>
      <c r="AD315" s="205"/>
    </row>
    <row r="316" spans="1:30" s="598" customFormat="1" ht="15.75" customHeight="1">
      <c r="A316" s="199" t="str">
        <f>IF(B316&lt;&gt;"",IF(AND(B316&gt;=_TM1,B316&lt;=_TM2,OR(TH!L316="1111",TH!M316="1111")),TH!D316,""),"")</f>
        <v/>
      </c>
      <c r="B316" s="36">
        <f t="shared" si="14"/>
        <v>1</v>
      </c>
      <c r="C316" s="190">
        <f t="shared" si="15"/>
        <v>0</v>
      </c>
      <c r="D316" s="190"/>
      <c r="E316" s="190"/>
      <c r="F316" s="191"/>
      <c r="G316" s="191"/>
      <c r="H316" s="192"/>
      <c r="I316" s="253"/>
      <c r="J316" s="253"/>
      <c r="K316" s="38"/>
      <c r="L316" s="193"/>
      <c r="M316" s="193"/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94"/>
      <c r="AB316" s="598" t="e">
        <f t="shared" si="13"/>
        <v>#N/A</v>
      </c>
      <c r="AC316" s="205"/>
      <c r="AD316" s="205"/>
    </row>
    <row r="317" spans="1:30" s="598" customFormat="1" ht="15.75" customHeight="1">
      <c r="A317" s="199" t="str">
        <f>IF(B317&lt;&gt;"",IF(AND(B317&gt;=_TM1,B317&lt;=_TM2,OR(TH!L317="1111",TH!M317="1111")),TH!D317,""),"")</f>
        <v/>
      </c>
      <c r="B317" s="36">
        <f t="shared" si="14"/>
        <v>1</v>
      </c>
      <c r="C317" s="190">
        <f t="shared" si="15"/>
        <v>0</v>
      </c>
      <c r="D317" s="190"/>
      <c r="E317" s="190"/>
      <c r="F317" s="191"/>
      <c r="G317" s="191"/>
      <c r="H317" s="45"/>
      <c r="I317" s="254"/>
      <c r="J317" s="254"/>
      <c r="K317" s="38"/>
      <c r="L317" s="193"/>
      <c r="M317" s="193"/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94"/>
      <c r="AB317" s="598" t="e">
        <f t="shared" si="13"/>
        <v>#N/A</v>
      </c>
      <c r="AC317" s="205"/>
      <c r="AD317" s="205"/>
    </row>
    <row r="318" spans="1:30" s="598" customFormat="1" ht="15.75" customHeight="1">
      <c r="A318" s="199" t="str">
        <f>IF(B318&lt;&gt;"",IF(AND(B318&gt;=_TM1,B318&lt;=_TM2,OR(TH!L318="1111",TH!M318="1111")),TH!D318,""),"")</f>
        <v/>
      </c>
      <c r="B318" s="36">
        <f t="shared" si="14"/>
        <v>1</v>
      </c>
      <c r="C318" s="190">
        <f t="shared" si="15"/>
        <v>0</v>
      </c>
      <c r="D318" s="190"/>
      <c r="E318" s="190"/>
      <c r="F318" s="191"/>
      <c r="G318" s="191"/>
      <c r="H318" s="204"/>
      <c r="I318" s="254"/>
      <c r="J318" s="254"/>
      <c r="K318" s="38"/>
      <c r="L318" s="193"/>
      <c r="M318" s="193"/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94"/>
      <c r="AB318" s="598" t="e">
        <f t="shared" si="13"/>
        <v>#N/A</v>
      </c>
      <c r="AC318" s="205"/>
      <c r="AD318" s="205"/>
    </row>
    <row r="319" spans="1:30" s="598" customFormat="1" ht="15.75" customHeight="1">
      <c r="A319" s="199" t="str">
        <f>IF(B319&lt;&gt;"",IF(AND(B319&gt;=_TM1,B319&lt;=_TM2,OR(TH!L319="1111",TH!M319="1111")),TH!D319,""),"")</f>
        <v/>
      </c>
      <c r="B319" s="36">
        <f t="shared" si="14"/>
        <v>1</v>
      </c>
      <c r="C319" s="190">
        <f t="shared" si="15"/>
        <v>0</v>
      </c>
      <c r="D319" s="190"/>
      <c r="E319" s="190"/>
      <c r="F319" s="191"/>
      <c r="G319" s="191"/>
      <c r="H319" s="45"/>
      <c r="I319" s="254"/>
      <c r="J319" s="254"/>
      <c r="K319" s="38"/>
      <c r="L319" s="193"/>
      <c r="M319" s="193"/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94"/>
      <c r="AB319" s="598" t="e">
        <f t="shared" si="13"/>
        <v>#N/A</v>
      </c>
      <c r="AC319" s="205"/>
      <c r="AD319" s="205"/>
    </row>
    <row r="320" spans="1:30" s="598" customFormat="1" ht="15.75" customHeight="1">
      <c r="A320" s="199" t="str">
        <f>IF(B320&lt;&gt;"",IF(AND(B320&gt;=_TM1,B320&lt;=_TM2,OR(TH!L320="1111",TH!M320="1111")),TH!D320,""),"")</f>
        <v/>
      </c>
      <c r="B320" s="36">
        <f t="shared" si="14"/>
        <v>1</v>
      </c>
      <c r="C320" s="190">
        <f t="shared" si="15"/>
        <v>0</v>
      </c>
      <c r="D320" s="190"/>
      <c r="E320" s="190"/>
      <c r="F320" s="191"/>
      <c r="G320" s="191"/>
      <c r="H320" s="192"/>
      <c r="I320" s="253"/>
      <c r="J320" s="253"/>
      <c r="K320" s="38"/>
      <c r="L320" s="193"/>
      <c r="M320" s="193"/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94"/>
      <c r="AB320" s="598" t="e">
        <f t="shared" si="13"/>
        <v>#N/A</v>
      </c>
      <c r="AC320" s="205"/>
      <c r="AD320" s="205"/>
    </row>
    <row r="321" spans="1:30" s="598" customFormat="1" ht="15.75" customHeight="1">
      <c r="A321" s="199" t="str">
        <f>IF(B321&lt;&gt;"",IF(AND(B321&gt;=_TM1,B321&lt;=_TM2,OR(TH!L321="1111",TH!M321="1111")),TH!D321,""),"")</f>
        <v/>
      </c>
      <c r="B321" s="36">
        <f t="shared" si="14"/>
        <v>1</v>
      </c>
      <c r="C321" s="190">
        <f t="shared" si="15"/>
        <v>0</v>
      </c>
      <c r="D321" s="190"/>
      <c r="E321" s="190"/>
      <c r="F321" s="191"/>
      <c r="G321" s="191"/>
      <c r="H321" s="192"/>
      <c r="I321" s="253"/>
      <c r="J321" s="253"/>
      <c r="K321" s="38"/>
      <c r="L321" s="193"/>
      <c r="M321" s="193"/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94"/>
      <c r="AB321" s="598" t="e">
        <f t="shared" si="13"/>
        <v>#N/A</v>
      </c>
      <c r="AC321" s="205"/>
      <c r="AD321" s="205"/>
    </row>
    <row r="322" spans="1:30" s="598" customFormat="1" ht="15.75" customHeight="1">
      <c r="A322" s="199" t="str">
        <f>IF(B322&lt;&gt;"",IF(AND(B322&gt;=_TM1,B322&lt;=_TM2,OR(TH!L322="1111",TH!M322="1111")),TH!D322,""),"")</f>
        <v/>
      </c>
      <c r="B322" s="36">
        <f t="shared" si="14"/>
        <v>1</v>
      </c>
      <c r="C322" s="190">
        <f t="shared" si="15"/>
        <v>0</v>
      </c>
      <c r="D322" s="190"/>
      <c r="E322" s="190"/>
      <c r="F322" s="191"/>
      <c r="G322" s="191"/>
      <c r="H322" s="192"/>
      <c r="I322" s="253"/>
      <c r="J322" s="253"/>
      <c r="K322" s="38"/>
      <c r="L322" s="193"/>
      <c r="M322" s="193"/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94"/>
      <c r="AB322" s="598" t="e">
        <f t="shared" si="13"/>
        <v>#N/A</v>
      </c>
      <c r="AC322" s="205"/>
      <c r="AD322" s="205"/>
    </row>
    <row r="323" spans="1:30" ht="15.75" customHeight="1">
      <c r="A323" s="199" t="str">
        <f>IF(B323&lt;&gt;"",IF(AND(B323&gt;=_TM1,B323&lt;=_TM2,OR(TH!L323="1111",TH!M323="1111")),TH!D323,""),"")</f>
        <v/>
      </c>
      <c r="B323" s="36">
        <f t="shared" si="14"/>
        <v>1</v>
      </c>
      <c r="C323" s="190">
        <f t="shared" si="15"/>
        <v>0</v>
      </c>
      <c r="D323" s="190"/>
      <c r="E323" s="190"/>
      <c r="F323" s="191"/>
      <c r="G323" s="491"/>
      <c r="H323" s="192"/>
      <c r="I323" s="253"/>
      <c r="J323" s="253"/>
      <c r="K323" s="38"/>
      <c r="L323" s="193"/>
      <c r="M323" s="193"/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94"/>
      <c r="AB323" s="598" t="e">
        <f t="shared" si="13"/>
        <v>#N/A</v>
      </c>
    </row>
    <row r="324" spans="1:30" ht="15.75" customHeight="1">
      <c r="A324" s="199" t="str">
        <f>IF(B324&lt;&gt;"",IF(AND(B324&gt;=_TM1,B324&lt;=_TM2,OR(TH!L324="1111",TH!M324="1111")),TH!D324,""),"")</f>
        <v/>
      </c>
      <c r="B324" s="36">
        <f t="shared" si="14"/>
        <v>1</v>
      </c>
      <c r="C324" s="190">
        <f t="shared" si="15"/>
        <v>0</v>
      </c>
      <c r="D324" s="190"/>
      <c r="E324" s="190"/>
      <c r="F324" s="191"/>
      <c r="G324" s="191"/>
      <c r="H324" s="204"/>
      <c r="I324" s="254"/>
      <c r="J324" s="254"/>
      <c r="K324" s="38"/>
      <c r="L324" s="193"/>
      <c r="M324" s="193"/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94"/>
      <c r="AB324" s="598" t="e">
        <f t="shared" si="13"/>
        <v>#N/A</v>
      </c>
    </row>
    <row r="325" spans="1:30" s="598" customFormat="1" ht="15.75" customHeight="1">
      <c r="A325" s="199" t="str">
        <f>IF(B325&lt;&gt;"",IF(AND(B325&gt;=_TM1,B325&lt;=_TM2,OR(TH!L325="1111",TH!M325="1111")),TH!D325,""),"")</f>
        <v/>
      </c>
      <c r="B325" s="36">
        <f t="shared" si="14"/>
        <v>1</v>
      </c>
      <c r="C325" s="190">
        <f t="shared" si="15"/>
        <v>0</v>
      </c>
      <c r="D325" s="190"/>
      <c r="E325" s="190"/>
      <c r="F325" s="191"/>
      <c r="G325" s="191"/>
      <c r="H325" s="192"/>
      <c r="I325" s="253"/>
      <c r="J325" s="253"/>
      <c r="K325" s="38"/>
      <c r="L325" s="193"/>
      <c r="M325" s="193"/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94"/>
      <c r="AB325" s="598" t="e">
        <f t="shared" si="13"/>
        <v>#N/A</v>
      </c>
      <c r="AC325" s="205"/>
      <c r="AD325" s="205"/>
    </row>
    <row r="326" spans="1:30" s="598" customFormat="1" ht="15.75" customHeight="1">
      <c r="A326" s="199" t="str">
        <f>IF(B326&lt;&gt;"",IF(AND(B326&gt;=_TM1,B326&lt;=_TM2,OR(TH!L326="1111",TH!M326="1111")),TH!D326,""),"")</f>
        <v/>
      </c>
      <c r="B326" s="36">
        <f t="shared" si="14"/>
        <v>1</v>
      </c>
      <c r="C326" s="190">
        <f t="shared" si="15"/>
        <v>0</v>
      </c>
      <c r="D326" s="190"/>
      <c r="E326" s="190"/>
      <c r="F326" s="191"/>
      <c r="G326" s="191"/>
      <c r="H326" s="192"/>
      <c r="I326" s="253"/>
      <c r="J326" s="253"/>
      <c r="K326" s="38"/>
      <c r="L326" s="193"/>
      <c r="M326" s="193"/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94"/>
      <c r="AB326" s="598" t="e">
        <f t="shared" si="13"/>
        <v>#N/A</v>
      </c>
      <c r="AC326" s="205"/>
      <c r="AD326" s="205"/>
    </row>
    <row r="327" spans="1:30" s="598" customFormat="1" ht="15.75" customHeight="1">
      <c r="A327" s="199" t="str">
        <f>IF(B327&lt;&gt;"",IF(AND(B327&gt;=_TM1,B327&lt;=_TM2,OR(TH!L327="1111",TH!M327="1111")),TH!D327,""),"")</f>
        <v/>
      </c>
      <c r="B327" s="36">
        <f t="shared" si="14"/>
        <v>1</v>
      </c>
      <c r="C327" s="190">
        <f t="shared" si="15"/>
        <v>0</v>
      </c>
      <c r="D327" s="190"/>
      <c r="E327" s="190"/>
      <c r="F327" s="191"/>
      <c r="G327" s="191"/>
      <c r="H327" s="192"/>
      <c r="I327" s="253"/>
      <c r="J327" s="253"/>
      <c r="K327" s="38"/>
      <c r="L327" s="193"/>
      <c r="M327" s="193"/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94"/>
      <c r="AB327" s="598" t="e">
        <f t="shared" si="13"/>
        <v>#N/A</v>
      </c>
      <c r="AC327" s="205"/>
      <c r="AD327" s="205"/>
    </row>
    <row r="328" spans="1:30" s="598" customFormat="1" ht="15.75" customHeight="1">
      <c r="A328" s="199" t="str">
        <f>IF(B328&lt;&gt;"",IF(AND(B328&gt;=_TM1,B328&lt;=_TM2,OR(TH!L328="1111",TH!M328="1111")),TH!D328,""),"")</f>
        <v/>
      </c>
      <c r="B328" s="36">
        <f t="shared" si="14"/>
        <v>1</v>
      </c>
      <c r="C328" s="190">
        <f t="shared" si="15"/>
        <v>0</v>
      </c>
      <c r="D328" s="190"/>
      <c r="E328" s="190"/>
      <c r="F328" s="191"/>
      <c r="G328" s="191"/>
      <c r="H328" s="192"/>
      <c r="I328" s="253"/>
      <c r="J328" s="253"/>
      <c r="K328" s="38"/>
      <c r="L328" s="193"/>
      <c r="M328" s="193"/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94"/>
      <c r="AB328" s="598" t="e">
        <f t="shared" si="13"/>
        <v>#N/A</v>
      </c>
      <c r="AC328" s="205"/>
      <c r="AD328" s="205"/>
    </row>
    <row r="329" spans="1:30" s="598" customFormat="1" ht="15.75" customHeight="1">
      <c r="A329" s="199" t="str">
        <f>IF(B329&lt;&gt;"",IF(AND(B329&gt;=_TM1,B329&lt;=_TM2,OR(TH!L329="1111",TH!M329="1111")),TH!D329,""),"")</f>
        <v/>
      </c>
      <c r="B329" s="36">
        <f t="shared" si="14"/>
        <v>1</v>
      </c>
      <c r="C329" s="190">
        <f t="shared" si="15"/>
        <v>0</v>
      </c>
      <c r="D329" s="190"/>
      <c r="E329" s="190"/>
      <c r="F329" s="191"/>
      <c r="G329" s="191"/>
      <c r="H329" s="192"/>
      <c r="I329" s="253"/>
      <c r="J329" s="253"/>
      <c r="K329" s="38"/>
      <c r="L329" s="193"/>
      <c r="M329" s="193"/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94"/>
      <c r="AB329" s="598" t="e">
        <f t="shared" si="13"/>
        <v>#N/A</v>
      </c>
      <c r="AC329" s="205"/>
      <c r="AD329" s="205"/>
    </row>
    <row r="330" spans="1:30" ht="15.75" customHeight="1">
      <c r="A330" s="199" t="str">
        <f>IF(B330&lt;&gt;"",IF(AND(B330&gt;=_TM1,B330&lt;=_TM2,OR(TH!L330="1111",TH!M330="1111")),TH!D330,""),"")</f>
        <v/>
      </c>
      <c r="B330" s="36">
        <f t="shared" si="14"/>
        <v>1</v>
      </c>
      <c r="C330" s="190">
        <f t="shared" si="15"/>
        <v>0</v>
      </c>
      <c r="D330" s="190"/>
      <c r="E330" s="190"/>
      <c r="F330" s="191"/>
      <c r="G330" s="191"/>
      <c r="H330" s="192"/>
      <c r="I330" s="253"/>
      <c r="J330" s="253"/>
      <c r="K330" s="38"/>
      <c r="L330" s="193"/>
      <c r="M330" s="193"/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94"/>
      <c r="AB330" s="598" t="e">
        <f t="shared" si="13"/>
        <v>#N/A</v>
      </c>
    </row>
    <row r="331" spans="1:30" ht="15.75" customHeight="1">
      <c r="A331" s="199" t="str">
        <f>IF(B331&lt;&gt;"",IF(AND(B331&gt;=_TM1,B331&lt;=_TM2,OR(TH!L331="1111",TH!M331="1111")),TH!D331,""),"")</f>
        <v/>
      </c>
      <c r="B331" s="36">
        <f t="shared" si="14"/>
        <v>1</v>
      </c>
      <c r="C331" s="190">
        <f t="shared" si="15"/>
        <v>0</v>
      </c>
      <c r="D331" s="190"/>
      <c r="E331" s="190"/>
      <c r="F331" s="191"/>
      <c r="G331" s="191"/>
      <c r="H331" s="192"/>
      <c r="I331" s="253"/>
      <c r="J331" s="253"/>
      <c r="K331" s="38"/>
      <c r="L331" s="193"/>
      <c r="M331" s="193"/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94"/>
      <c r="AB331" s="598" t="e">
        <f t="shared" si="13"/>
        <v>#N/A</v>
      </c>
    </row>
    <row r="332" spans="1:30" ht="15.75" customHeight="1">
      <c r="A332" s="199" t="str">
        <f>IF(B332&lt;&gt;"",IF(AND(B332&gt;=_TM1,B332&lt;=_TM2,OR(TH!L332="1111",TH!M332="1111")),TH!D332,""),"")</f>
        <v/>
      </c>
      <c r="B332" s="36">
        <f t="shared" si="14"/>
        <v>1</v>
      </c>
      <c r="C332" s="190">
        <f t="shared" si="15"/>
        <v>0</v>
      </c>
      <c r="D332" s="190"/>
      <c r="E332" s="190"/>
      <c r="F332" s="191"/>
      <c r="G332" s="491"/>
      <c r="H332" s="192"/>
      <c r="I332" s="253"/>
      <c r="J332" s="253"/>
      <c r="K332" s="38"/>
      <c r="L332" s="193"/>
      <c r="M332" s="193"/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94"/>
      <c r="AB332" s="598" t="e">
        <f t="shared" ref="AB332:AB395" si="16">IF(VLOOKUP(H332,DS_131,1,0)&lt;&gt;"","","x")</f>
        <v>#N/A</v>
      </c>
    </row>
    <row r="333" spans="1:30" ht="15.75" customHeight="1">
      <c r="A333" s="199" t="str">
        <f>IF(B333&lt;&gt;"",IF(AND(B333&gt;=_TM1,B333&lt;=_TM2,OR(TH!L333="1111",TH!M333="1111")),TH!D333,""),"")</f>
        <v/>
      </c>
      <c r="B333" s="36">
        <f t="shared" si="14"/>
        <v>1</v>
      </c>
      <c r="C333" s="190">
        <f t="shared" si="15"/>
        <v>0</v>
      </c>
      <c r="D333" s="190"/>
      <c r="E333" s="190"/>
      <c r="F333" s="191"/>
      <c r="G333" s="191"/>
      <c r="H333" s="192"/>
      <c r="I333" s="253"/>
      <c r="J333" s="253"/>
      <c r="K333" s="38"/>
      <c r="L333" s="193"/>
      <c r="M333" s="193"/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94"/>
      <c r="AB333" s="598" t="e">
        <f t="shared" si="16"/>
        <v>#N/A</v>
      </c>
    </row>
    <row r="334" spans="1:30" s="598" customFormat="1" ht="15.75" customHeight="1">
      <c r="A334" s="199" t="str">
        <f>IF(B334&lt;&gt;"",IF(AND(B334&gt;=_TM1,B334&lt;=_TM2,OR(TH!L334="1111",TH!M334="1111")),TH!D334,""),"")</f>
        <v/>
      </c>
      <c r="B334" s="36">
        <f t="shared" si="14"/>
        <v>1</v>
      </c>
      <c r="C334" s="190">
        <f t="shared" si="15"/>
        <v>0</v>
      </c>
      <c r="D334" s="190"/>
      <c r="E334" s="190"/>
      <c r="F334" s="191"/>
      <c r="G334" s="191"/>
      <c r="H334" s="192"/>
      <c r="I334" s="253"/>
      <c r="J334" s="253"/>
      <c r="K334" s="38"/>
      <c r="L334" s="193"/>
      <c r="M334" s="193"/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94"/>
      <c r="AB334" s="598" t="e">
        <f t="shared" si="16"/>
        <v>#N/A</v>
      </c>
      <c r="AC334" s="205"/>
      <c r="AD334" s="205"/>
    </row>
    <row r="335" spans="1:30" s="598" customFormat="1" ht="15.75" customHeight="1">
      <c r="A335" s="199" t="str">
        <f>IF(B335&lt;&gt;"",IF(AND(B335&gt;=_TM1,B335&lt;=_TM2,OR(TH!L335="1111",TH!M335="1111")),TH!D335,""),"")</f>
        <v/>
      </c>
      <c r="B335" s="36">
        <f t="shared" si="14"/>
        <v>1</v>
      </c>
      <c r="C335" s="190">
        <f t="shared" si="15"/>
        <v>0</v>
      </c>
      <c r="D335" s="190"/>
      <c r="E335" s="190"/>
      <c r="F335" s="191"/>
      <c r="G335" s="191"/>
      <c r="H335" s="192"/>
      <c r="I335" s="253"/>
      <c r="J335" s="253"/>
      <c r="K335" s="38"/>
      <c r="L335" s="193"/>
      <c r="M335" s="193"/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94"/>
      <c r="AB335" s="598" t="e">
        <f t="shared" si="16"/>
        <v>#N/A</v>
      </c>
      <c r="AC335" s="205"/>
      <c r="AD335" s="205"/>
    </row>
    <row r="336" spans="1:30" s="598" customFormat="1" ht="15.75" customHeight="1">
      <c r="A336" s="199" t="str">
        <f>IF(B336&lt;&gt;"",IF(AND(B336&gt;=_TM1,B336&lt;=_TM2,OR(TH!L336="1111",TH!M336="1111")),TH!D336,""),"")</f>
        <v/>
      </c>
      <c r="B336" s="36">
        <f t="shared" si="14"/>
        <v>1</v>
      </c>
      <c r="C336" s="190">
        <f t="shared" si="15"/>
        <v>0</v>
      </c>
      <c r="D336" s="190"/>
      <c r="E336" s="190"/>
      <c r="F336" s="191"/>
      <c r="G336" s="491"/>
      <c r="H336" s="192"/>
      <c r="I336" s="253"/>
      <c r="J336" s="253"/>
      <c r="K336" s="38"/>
      <c r="L336" s="193"/>
      <c r="M336" s="193"/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94"/>
      <c r="AB336" s="598" t="e">
        <f t="shared" si="16"/>
        <v>#N/A</v>
      </c>
      <c r="AC336" s="205"/>
      <c r="AD336" s="205"/>
    </row>
    <row r="337" spans="1:30" s="598" customFormat="1" ht="15.75" customHeight="1">
      <c r="A337" s="199" t="str">
        <f>IF(B337&lt;&gt;"",IF(AND(B337&gt;=_TM1,B337&lt;=_TM2,OR(TH!L337="1111",TH!M337="1111")),TH!D337,""),"")</f>
        <v/>
      </c>
      <c r="B337" s="36">
        <f t="shared" si="14"/>
        <v>1</v>
      </c>
      <c r="C337" s="190">
        <f t="shared" si="15"/>
        <v>0</v>
      </c>
      <c r="D337" s="190"/>
      <c r="E337" s="190"/>
      <c r="F337" s="191"/>
      <c r="G337" s="191"/>
      <c r="H337" s="192"/>
      <c r="I337" s="253"/>
      <c r="J337" s="253"/>
      <c r="K337" s="38"/>
      <c r="L337" s="193"/>
      <c r="M337" s="193"/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94"/>
      <c r="AB337" s="598" t="e">
        <f t="shared" si="16"/>
        <v>#N/A</v>
      </c>
      <c r="AC337" s="205"/>
      <c r="AD337" s="205"/>
    </row>
    <row r="338" spans="1:30" s="598" customFormat="1" ht="15.75" customHeight="1">
      <c r="A338" s="199" t="str">
        <f>IF(B338&lt;&gt;"",IF(AND(B338&gt;=_TM1,B338&lt;=_TM2,OR(TH!L338="1111",TH!M338="1111")),TH!D338,""),"")</f>
        <v/>
      </c>
      <c r="B338" s="36">
        <f t="shared" si="14"/>
        <v>1</v>
      </c>
      <c r="C338" s="190">
        <f t="shared" si="15"/>
        <v>0</v>
      </c>
      <c r="D338" s="190"/>
      <c r="E338" s="190"/>
      <c r="F338" s="191"/>
      <c r="G338" s="491"/>
      <c r="H338" s="192"/>
      <c r="I338" s="253"/>
      <c r="J338" s="253"/>
      <c r="K338" s="38"/>
      <c r="L338" s="193"/>
      <c r="M338" s="193"/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94"/>
      <c r="AB338" s="598" t="e">
        <f t="shared" si="16"/>
        <v>#N/A</v>
      </c>
      <c r="AC338" s="205"/>
      <c r="AD338" s="205"/>
    </row>
    <row r="339" spans="1:30" s="598" customFormat="1" ht="15.75" customHeight="1">
      <c r="A339" s="199" t="str">
        <f>IF(B339&lt;&gt;"",IF(AND(B339&gt;=_TM1,B339&lt;=_TM2,OR(TH!L339="1111",TH!M339="1111")),TH!D339,""),"")</f>
        <v/>
      </c>
      <c r="B339" s="36">
        <f t="shared" si="14"/>
        <v>1</v>
      </c>
      <c r="C339" s="190">
        <f t="shared" si="15"/>
        <v>0</v>
      </c>
      <c r="D339" s="190"/>
      <c r="E339" s="190"/>
      <c r="F339" s="191"/>
      <c r="G339" s="191"/>
      <c r="H339" s="192"/>
      <c r="I339" s="253"/>
      <c r="J339" s="253"/>
      <c r="K339" s="38"/>
      <c r="L339" s="193"/>
      <c r="M339" s="193"/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94"/>
      <c r="AB339" s="598" t="e">
        <f t="shared" si="16"/>
        <v>#N/A</v>
      </c>
      <c r="AC339" s="205"/>
      <c r="AD339" s="205"/>
    </row>
    <row r="340" spans="1:30" s="598" customFormat="1" ht="15.75" customHeight="1">
      <c r="A340" s="199" t="str">
        <f>IF(B340&lt;&gt;"",IF(AND(B340&gt;=_TM1,B340&lt;=_TM2,OR(TH!L340="1111",TH!M340="1111")),TH!D340,""),"")</f>
        <v/>
      </c>
      <c r="B340" s="36">
        <f t="shared" si="14"/>
        <v>1</v>
      </c>
      <c r="C340" s="190">
        <f t="shared" si="15"/>
        <v>0</v>
      </c>
      <c r="D340" s="190"/>
      <c r="E340" s="190"/>
      <c r="F340" s="191"/>
      <c r="G340" s="491"/>
      <c r="H340" s="192"/>
      <c r="I340" s="253"/>
      <c r="J340" s="253"/>
      <c r="K340" s="38"/>
      <c r="L340" s="193"/>
      <c r="M340" s="193"/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94"/>
      <c r="AB340" s="598" t="e">
        <f t="shared" si="16"/>
        <v>#N/A</v>
      </c>
      <c r="AC340" s="205"/>
      <c r="AD340" s="205"/>
    </row>
    <row r="341" spans="1:30" s="598" customFormat="1" ht="15.75" customHeight="1">
      <c r="A341" s="199" t="str">
        <f>IF(B341&lt;&gt;"",IF(AND(B341&gt;=_TM1,B341&lt;=_TM2,OR(TH!L341="1111",TH!M341="1111")),TH!D341,""),"")</f>
        <v/>
      </c>
      <c r="B341" s="36">
        <f t="shared" si="14"/>
        <v>1</v>
      </c>
      <c r="C341" s="190">
        <f t="shared" si="15"/>
        <v>0</v>
      </c>
      <c r="D341" s="190"/>
      <c r="E341" s="190"/>
      <c r="F341" s="191"/>
      <c r="G341" s="191"/>
      <c r="H341" s="192"/>
      <c r="I341" s="253"/>
      <c r="J341" s="253"/>
      <c r="K341" s="38"/>
      <c r="L341" s="193"/>
      <c r="M341" s="193"/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94"/>
      <c r="AB341" s="598" t="e">
        <f t="shared" si="16"/>
        <v>#N/A</v>
      </c>
      <c r="AC341" s="205"/>
      <c r="AD341" s="205"/>
    </row>
    <row r="342" spans="1:30" s="598" customFormat="1" ht="15.75" customHeight="1">
      <c r="A342" s="199" t="str">
        <f>IF(B342&lt;&gt;"",IF(AND(B342&gt;=_TM1,B342&lt;=_TM2,OR(TH!L342="1111",TH!M342="1111")),TH!D342,""),"")</f>
        <v/>
      </c>
      <c r="B342" s="36">
        <f t="shared" si="14"/>
        <v>1</v>
      </c>
      <c r="C342" s="190">
        <f t="shared" si="15"/>
        <v>0</v>
      </c>
      <c r="D342" s="190"/>
      <c r="E342" s="190"/>
      <c r="F342" s="191"/>
      <c r="G342" s="491"/>
      <c r="H342" s="192"/>
      <c r="I342" s="253"/>
      <c r="J342" s="253"/>
      <c r="K342" s="38"/>
      <c r="L342" s="193"/>
      <c r="M342" s="193"/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94"/>
      <c r="AB342" s="598" t="e">
        <f t="shared" si="16"/>
        <v>#N/A</v>
      </c>
      <c r="AC342" s="205"/>
      <c r="AD342" s="205"/>
    </row>
    <row r="343" spans="1:30" s="598" customFormat="1" ht="15.75" customHeight="1">
      <c r="A343" s="199" t="str">
        <f>IF(B343&lt;&gt;"",IF(AND(B343&gt;=_TM1,B343&lt;=_TM2,OR(TH!L343="1111",TH!M343="1111")),TH!D343,""),"")</f>
        <v/>
      </c>
      <c r="B343" s="36">
        <f t="shared" si="14"/>
        <v>1</v>
      </c>
      <c r="C343" s="190">
        <f t="shared" si="15"/>
        <v>0</v>
      </c>
      <c r="D343" s="190"/>
      <c r="E343" s="190"/>
      <c r="F343" s="191"/>
      <c r="G343" s="191"/>
      <c r="H343" s="192"/>
      <c r="I343" s="253"/>
      <c r="J343" s="253"/>
      <c r="K343" s="38"/>
      <c r="L343" s="193"/>
      <c r="M343" s="193"/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94"/>
      <c r="AB343" s="598" t="e">
        <f t="shared" si="16"/>
        <v>#N/A</v>
      </c>
      <c r="AC343" s="205"/>
      <c r="AD343" s="205"/>
    </row>
    <row r="344" spans="1:30" s="598" customFormat="1" ht="15.75" customHeight="1">
      <c r="A344" s="199" t="str">
        <f>IF(B344&lt;&gt;"",IF(AND(B344&gt;=_TM1,B344&lt;=_TM2,OR(TH!L344="1111",TH!M344="1111")),TH!D344,""),"")</f>
        <v/>
      </c>
      <c r="B344" s="36">
        <f t="shared" si="14"/>
        <v>1</v>
      </c>
      <c r="C344" s="190">
        <f t="shared" si="15"/>
        <v>0</v>
      </c>
      <c r="D344" s="190"/>
      <c r="E344" s="190"/>
      <c r="F344" s="191"/>
      <c r="G344" s="191"/>
      <c r="H344" s="192"/>
      <c r="I344" s="255"/>
      <c r="J344" s="255"/>
      <c r="K344" s="38"/>
      <c r="L344" s="193"/>
      <c r="M344" s="193"/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94"/>
      <c r="AB344" s="598" t="e">
        <f t="shared" si="16"/>
        <v>#N/A</v>
      </c>
      <c r="AC344" s="205"/>
      <c r="AD344" s="205"/>
    </row>
    <row r="345" spans="1:30" s="598" customFormat="1" ht="15.75" customHeight="1">
      <c r="A345" s="199" t="str">
        <f>IF(B345&lt;&gt;"",IF(AND(B345&gt;=_TM1,B345&lt;=_TM2,OR(TH!L345="1111",TH!M345="1111")),TH!D345,""),"")</f>
        <v/>
      </c>
      <c r="B345" s="36">
        <f t="shared" ref="B345:B408" si="17">IF(C345&lt;&gt;"",MONTH(C345),"")</f>
        <v>1</v>
      </c>
      <c r="C345" s="190">
        <f t="shared" si="15"/>
        <v>0</v>
      </c>
      <c r="D345" s="190"/>
      <c r="E345" s="190"/>
      <c r="F345" s="191"/>
      <c r="G345" s="491"/>
      <c r="H345" s="192"/>
      <c r="I345" s="253"/>
      <c r="J345" s="253"/>
      <c r="K345" s="38"/>
      <c r="L345" s="193"/>
      <c r="M345" s="193"/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94"/>
      <c r="AB345" s="598" t="e">
        <f t="shared" si="16"/>
        <v>#N/A</v>
      </c>
      <c r="AC345" s="205"/>
      <c r="AD345" s="205"/>
    </row>
    <row r="346" spans="1:30" s="598" customFormat="1" ht="15.75" customHeight="1">
      <c r="A346" s="199" t="str">
        <f>IF(B346&lt;&gt;"",IF(AND(B346&gt;=_TM1,B346&lt;=_TM2,OR(TH!L346="1111",TH!M346="1111")),TH!D346,""),"")</f>
        <v/>
      </c>
      <c r="B346" s="36">
        <f t="shared" si="17"/>
        <v>1</v>
      </c>
      <c r="C346" s="190">
        <f t="shared" si="15"/>
        <v>0</v>
      </c>
      <c r="D346" s="190"/>
      <c r="E346" s="190"/>
      <c r="F346" s="191"/>
      <c r="G346" s="191"/>
      <c r="H346" s="191"/>
      <c r="I346" s="255"/>
      <c r="J346" s="255"/>
      <c r="K346" s="38"/>
      <c r="L346" s="193"/>
      <c r="M346" s="193"/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94"/>
      <c r="AB346" s="598" t="e">
        <f t="shared" si="16"/>
        <v>#N/A</v>
      </c>
      <c r="AC346" s="205"/>
      <c r="AD346" s="205"/>
    </row>
    <row r="347" spans="1:30" s="598" customFormat="1" ht="15.75" customHeight="1">
      <c r="A347" s="199" t="str">
        <f>IF(B347&lt;&gt;"",IF(AND(B347&gt;=_TM1,B347&lt;=_TM2,OR(TH!L347="1111",TH!M347="1111")),TH!D347,""),"")</f>
        <v/>
      </c>
      <c r="B347" s="36">
        <f t="shared" si="17"/>
        <v>1</v>
      </c>
      <c r="C347" s="190">
        <f t="shared" si="15"/>
        <v>0</v>
      </c>
      <c r="D347" s="190"/>
      <c r="E347" s="190"/>
      <c r="F347" s="191"/>
      <c r="G347" s="491"/>
      <c r="H347" s="192"/>
      <c r="I347" s="253"/>
      <c r="J347" s="253"/>
      <c r="K347" s="38"/>
      <c r="L347" s="193"/>
      <c r="M347" s="193"/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94"/>
      <c r="AB347" s="598" t="e">
        <f t="shared" si="16"/>
        <v>#N/A</v>
      </c>
      <c r="AC347" s="205"/>
      <c r="AD347" s="205"/>
    </row>
    <row r="348" spans="1:30" s="598" customFormat="1" ht="15.75" customHeight="1">
      <c r="A348" s="199" t="str">
        <f>IF(B348&lt;&gt;"",IF(AND(B348&gt;=_TM1,B348&lt;=_TM2,OR(TH!L348="1111",TH!M348="1111")),TH!D348,""),"")</f>
        <v/>
      </c>
      <c r="B348" s="36">
        <f t="shared" si="17"/>
        <v>1</v>
      </c>
      <c r="C348" s="190">
        <f t="shared" si="15"/>
        <v>0</v>
      </c>
      <c r="D348" s="190"/>
      <c r="E348" s="190"/>
      <c r="F348" s="191"/>
      <c r="G348" s="191"/>
      <c r="H348" s="192"/>
      <c r="I348" s="253"/>
      <c r="J348" s="253"/>
      <c r="K348" s="38"/>
      <c r="L348" s="193"/>
      <c r="M348" s="193"/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94"/>
      <c r="AB348" s="598" t="e">
        <f t="shared" si="16"/>
        <v>#N/A</v>
      </c>
      <c r="AC348" s="205"/>
      <c r="AD348" s="205"/>
    </row>
    <row r="349" spans="1:30" s="598" customFormat="1" ht="15.75" customHeight="1">
      <c r="A349" s="199" t="str">
        <f>IF(B349&lt;&gt;"",IF(AND(B349&gt;=_TM1,B349&lt;=_TM2,OR(TH!L349="1111",TH!M349="1111")),TH!D349,""),"")</f>
        <v/>
      </c>
      <c r="B349" s="36">
        <f t="shared" si="17"/>
        <v>1</v>
      </c>
      <c r="C349" s="190">
        <f t="shared" si="15"/>
        <v>0</v>
      </c>
      <c r="D349" s="190"/>
      <c r="E349" s="190"/>
      <c r="F349" s="191"/>
      <c r="G349" s="491"/>
      <c r="H349" s="192"/>
      <c r="I349" s="253"/>
      <c r="J349" s="253"/>
      <c r="K349" s="38"/>
      <c r="L349" s="193"/>
      <c r="M349" s="193"/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94"/>
      <c r="AB349" s="598" t="e">
        <f t="shared" si="16"/>
        <v>#N/A</v>
      </c>
      <c r="AC349" s="205"/>
      <c r="AD349" s="205"/>
    </row>
    <row r="350" spans="1:30" s="598" customFormat="1" ht="15.75" customHeight="1">
      <c r="A350" s="199" t="str">
        <f>IF(B350&lt;&gt;"",IF(AND(B350&gt;=_TM1,B350&lt;=_TM2,OR(TH!L350="1111",TH!M350="1111")),TH!D350,""),"")</f>
        <v/>
      </c>
      <c r="B350" s="36">
        <f t="shared" si="17"/>
        <v>1</v>
      </c>
      <c r="C350" s="190">
        <f t="shared" si="15"/>
        <v>0</v>
      </c>
      <c r="D350" s="190"/>
      <c r="E350" s="190"/>
      <c r="F350" s="191"/>
      <c r="G350" s="191"/>
      <c r="H350" s="192"/>
      <c r="I350" s="253"/>
      <c r="J350" s="253"/>
      <c r="K350" s="38"/>
      <c r="L350" s="193"/>
      <c r="M350" s="193"/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94"/>
      <c r="AB350" s="598" t="e">
        <f t="shared" si="16"/>
        <v>#N/A</v>
      </c>
      <c r="AC350" s="205"/>
      <c r="AD350" s="205"/>
    </row>
    <row r="351" spans="1:30" s="598" customFormat="1" ht="15.75" customHeight="1">
      <c r="A351" s="199" t="str">
        <f>IF(B351&lt;&gt;"",IF(AND(B351&gt;=_TM1,B351&lt;=_TM2,OR(TH!L351="1111",TH!M351="1111")),TH!D351,""),"")</f>
        <v/>
      </c>
      <c r="B351" s="36">
        <f t="shared" si="17"/>
        <v>1</v>
      </c>
      <c r="C351" s="190">
        <f t="shared" si="15"/>
        <v>0</v>
      </c>
      <c r="D351" s="190"/>
      <c r="E351" s="190"/>
      <c r="F351" s="191"/>
      <c r="G351" s="491"/>
      <c r="H351" s="192"/>
      <c r="I351" s="253"/>
      <c r="J351" s="253"/>
      <c r="K351" s="38"/>
      <c r="L351" s="193"/>
      <c r="M351" s="193"/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94"/>
      <c r="AB351" s="598" t="e">
        <f t="shared" si="16"/>
        <v>#N/A</v>
      </c>
      <c r="AC351" s="205"/>
      <c r="AD351" s="205"/>
    </row>
    <row r="352" spans="1:30" s="598" customFormat="1" ht="15.75" customHeight="1">
      <c r="A352" s="199" t="str">
        <f>IF(B352&lt;&gt;"",IF(AND(B352&gt;=_TM1,B352&lt;=_TM2,OR(TH!L352="1111",TH!M352="1111")),TH!D352,""),"")</f>
        <v/>
      </c>
      <c r="B352" s="36">
        <f t="shared" si="17"/>
        <v>1</v>
      </c>
      <c r="C352" s="190">
        <f t="shared" si="15"/>
        <v>0</v>
      </c>
      <c r="D352" s="190"/>
      <c r="E352" s="190"/>
      <c r="F352" s="191"/>
      <c r="G352" s="191"/>
      <c r="H352" s="191"/>
      <c r="I352" s="254"/>
      <c r="J352" s="254"/>
      <c r="K352" s="38"/>
      <c r="L352" s="193"/>
      <c r="M352" s="193"/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94"/>
      <c r="AB352" s="598" t="e">
        <f t="shared" si="16"/>
        <v>#N/A</v>
      </c>
      <c r="AC352" s="205"/>
      <c r="AD352" s="205"/>
    </row>
    <row r="353" spans="1:30" s="598" customFormat="1" ht="15.75" customHeight="1">
      <c r="A353" s="199" t="str">
        <f>IF(B353&lt;&gt;"",IF(AND(B353&gt;=_TM1,B353&lt;=_TM2,OR(TH!L353="1111",TH!M353="1111")),TH!D353,""),"")</f>
        <v/>
      </c>
      <c r="B353" s="36">
        <f t="shared" si="17"/>
        <v>1</v>
      </c>
      <c r="C353" s="190">
        <f t="shared" si="15"/>
        <v>0</v>
      </c>
      <c r="D353" s="190"/>
      <c r="E353" s="190"/>
      <c r="F353" s="191"/>
      <c r="G353" s="191"/>
      <c r="H353" s="192"/>
      <c r="I353" s="253"/>
      <c r="J353" s="253"/>
      <c r="K353" s="38"/>
      <c r="L353" s="193"/>
      <c r="M353" s="193"/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94"/>
      <c r="AB353" s="598" t="e">
        <f t="shared" si="16"/>
        <v>#N/A</v>
      </c>
      <c r="AC353" s="205"/>
      <c r="AD353" s="205"/>
    </row>
    <row r="354" spans="1:30" s="598" customFormat="1" ht="15.75" customHeight="1">
      <c r="A354" s="199" t="str">
        <f>IF(B354&lt;&gt;"",IF(AND(B354&gt;=_TM1,B354&lt;=_TM2,OR(TH!L354="1111",TH!M354="1111")),TH!D354,""),"")</f>
        <v/>
      </c>
      <c r="B354" s="36">
        <f t="shared" si="17"/>
        <v>1</v>
      </c>
      <c r="C354" s="190">
        <f t="shared" si="15"/>
        <v>0</v>
      </c>
      <c r="D354" s="190"/>
      <c r="E354" s="190"/>
      <c r="F354" s="191"/>
      <c r="G354" s="191"/>
      <c r="H354" s="191"/>
      <c r="I354" s="253"/>
      <c r="J354" s="253"/>
      <c r="K354" s="38"/>
      <c r="L354" s="193"/>
      <c r="M354" s="193"/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94"/>
      <c r="AB354" s="598" t="e">
        <f t="shared" si="16"/>
        <v>#N/A</v>
      </c>
      <c r="AC354" s="205"/>
      <c r="AD354" s="205"/>
    </row>
    <row r="355" spans="1:30" s="598" customFormat="1" ht="15.75" customHeight="1">
      <c r="A355" s="199" t="str">
        <f>IF(B355&lt;&gt;"",IF(AND(B355&gt;=_TM1,B355&lt;=_TM2,OR(TH!L355="1111",TH!M355="1111")),TH!D355,""),"")</f>
        <v/>
      </c>
      <c r="B355" s="36">
        <f t="shared" si="17"/>
        <v>1</v>
      </c>
      <c r="C355" s="190">
        <f t="shared" si="15"/>
        <v>0</v>
      </c>
      <c r="D355" s="190"/>
      <c r="E355" s="190"/>
      <c r="F355" s="191"/>
      <c r="G355" s="191"/>
      <c r="H355" s="191"/>
      <c r="I355" s="253"/>
      <c r="J355" s="253"/>
      <c r="K355" s="38"/>
      <c r="L355" s="193"/>
      <c r="M355" s="193"/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94"/>
      <c r="AB355" s="598" t="e">
        <f t="shared" si="16"/>
        <v>#N/A</v>
      </c>
      <c r="AC355" s="205"/>
      <c r="AD355" s="205"/>
    </row>
    <row r="356" spans="1:30" s="598" customFormat="1" ht="15.75" customHeight="1">
      <c r="A356" s="199" t="str">
        <f>IF(B356&lt;&gt;"",IF(AND(B356&gt;=_TM1,B356&lt;=_TM2,OR(TH!L356="1111",TH!M356="1111")),TH!D356,""),"")</f>
        <v/>
      </c>
      <c r="B356" s="36">
        <f t="shared" si="17"/>
        <v>1</v>
      </c>
      <c r="C356" s="190">
        <f t="shared" si="15"/>
        <v>0</v>
      </c>
      <c r="D356" s="190"/>
      <c r="E356" s="190"/>
      <c r="F356" s="191"/>
      <c r="G356" s="191"/>
      <c r="H356" s="191"/>
      <c r="I356" s="253"/>
      <c r="J356" s="253"/>
      <c r="K356" s="38"/>
      <c r="L356" s="193"/>
      <c r="M356" s="193"/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94"/>
      <c r="AB356" s="598" t="e">
        <f t="shared" si="16"/>
        <v>#N/A</v>
      </c>
      <c r="AC356" s="205"/>
      <c r="AD356" s="205"/>
    </row>
    <row r="357" spans="1:30" s="598" customFormat="1" ht="15.75" customHeight="1">
      <c r="A357" s="199" t="str">
        <f>IF(B357&lt;&gt;"",IF(AND(B357&gt;=_TM1,B357&lt;=_TM2,OR(TH!L357="1111",TH!M357="1111")),TH!D357,""),"")</f>
        <v/>
      </c>
      <c r="B357" s="36">
        <f t="shared" si="17"/>
        <v>1</v>
      </c>
      <c r="C357" s="190">
        <f t="shared" si="15"/>
        <v>0</v>
      </c>
      <c r="D357" s="798"/>
      <c r="E357" s="798"/>
      <c r="F357" s="191"/>
      <c r="G357" s="191"/>
      <c r="H357" s="192"/>
      <c r="I357" s="256"/>
      <c r="J357" s="256"/>
      <c r="K357" s="38"/>
      <c r="L357" s="193"/>
      <c r="M357" s="193"/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94"/>
      <c r="AB357" s="598" t="e">
        <f t="shared" si="16"/>
        <v>#N/A</v>
      </c>
      <c r="AC357" s="205"/>
      <c r="AD357" s="205"/>
    </row>
    <row r="358" spans="1:30" s="598" customFormat="1" ht="15.75" customHeight="1">
      <c r="A358" s="199" t="str">
        <f>IF(B358&lt;&gt;"",IF(AND(B358&gt;=_TM1,B358&lt;=_TM2,OR(TH!L358="1111",TH!M358="1111")),TH!D358,""),"")</f>
        <v/>
      </c>
      <c r="B358" s="36">
        <f t="shared" si="17"/>
        <v>1</v>
      </c>
      <c r="C358" s="190">
        <f t="shared" si="15"/>
        <v>0</v>
      </c>
      <c r="D358" s="190"/>
      <c r="E358" s="190"/>
      <c r="F358" s="191"/>
      <c r="G358" s="491"/>
      <c r="H358" s="192"/>
      <c r="I358" s="253"/>
      <c r="J358" s="253"/>
      <c r="K358" s="38"/>
      <c r="L358" s="193"/>
      <c r="M358" s="193"/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94"/>
      <c r="AB358" s="598" t="e">
        <f t="shared" si="16"/>
        <v>#N/A</v>
      </c>
      <c r="AC358" s="205"/>
      <c r="AD358" s="205"/>
    </row>
    <row r="359" spans="1:30" s="598" customFormat="1" ht="15.75" customHeight="1">
      <c r="A359" s="199" t="str">
        <f>IF(B359&lt;&gt;"",IF(AND(B359&gt;=_TM1,B359&lt;=_TM2,OR(TH!L359="1111",TH!M359="1111")),TH!D359,""),"")</f>
        <v/>
      </c>
      <c r="B359" s="36">
        <f t="shared" si="17"/>
        <v>1</v>
      </c>
      <c r="C359" s="190">
        <f t="shared" si="15"/>
        <v>0</v>
      </c>
      <c r="D359" s="190"/>
      <c r="E359" s="190"/>
      <c r="F359" s="191"/>
      <c r="G359" s="191"/>
      <c r="H359" s="192"/>
      <c r="I359" s="253"/>
      <c r="J359" s="253"/>
      <c r="K359" s="38"/>
      <c r="L359" s="193"/>
      <c r="M359" s="193"/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94"/>
      <c r="AB359" s="598" t="e">
        <f t="shared" si="16"/>
        <v>#N/A</v>
      </c>
      <c r="AC359" s="205"/>
      <c r="AD359" s="205"/>
    </row>
    <row r="360" spans="1:30" s="598" customFormat="1" ht="15.75" customHeight="1">
      <c r="A360" s="199" t="str">
        <f>IF(B360&lt;&gt;"",IF(AND(B360&gt;=_TM1,B360&lt;=_TM2,OR(TH!L360="1111",TH!M360="1111")),TH!D360,""),"")</f>
        <v/>
      </c>
      <c r="B360" s="36">
        <f t="shared" si="17"/>
        <v>1</v>
      </c>
      <c r="C360" s="190">
        <f t="shared" si="15"/>
        <v>0</v>
      </c>
      <c r="D360" s="190"/>
      <c r="E360" s="190"/>
      <c r="F360" s="191"/>
      <c r="G360" s="491"/>
      <c r="H360" s="192"/>
      <c r="I360" s="253"/>
      <c r="J360" s="253"/>
      <c r="K360" s="38"/>
      <c r="L360" s="193"/>
      <c r="M360" s="193"/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94"/>
      <c r="AB360" s="598" t="e">
        <f t="shared" si="16"/>
        <v>#N/A</v>
      </c>
      <c r="AC360" s="205"/>
      <c r="AD360" s="205"/>
    </row>
    <row r="361" spans="1:30" s="598" customFormat="1" ht="15.75" customHeight="1">
      <c r="A361" s="199" t="str">
        <f>IF(B361&lt;&gt;"",IF(AND(B361&gt;=_TM1,B361&lt;=_TM2,OR(TH!L361="1111",TH!M361="1111")),TH!D361,""),"")</f>
        <v/>
      </c>
      <c r="B361" s="36">
        <f t="shared" si="17"/>
        <v>1</v>
      </c>
      <c r="C361" s="190">
        <f t="shared" si="15"/>
        <v>0</v>
      </c>
      <c r="D361" s="190"/>
      <c r="E361" s="190"/>
      <c r="F361" s="191"/>
      <c r="G361" s="191"/>
      <c r="H361" s="204"/>
      <c r="I361" s="253"/>
      <c r="J361" s="253"/>
      <c r="K361" s="38"/>
      <c r="L361" s="193"/>
      <c r="M361" s="193"/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94"/>
      <c r="AB361" s="598" t="e">
        <f t="shared" si="16"/>
        <v>#N/A</v>
      </c>
      <c r="AC361" s="205"/>
      <c r="AD361" s="205"/>
    </row>
    <row r="362" spans="1:30" s="598" customFormat="1" ht="15.75" customHeight="1">
      <c r="A362" s="199" t="str">
        <f>IF(B362&lt;&gt;"",IF(AND(B362&gt;=_TM1,B362&lt;=_TM2,OR(TH!L362="1111",TH!M362="1111")),TH!D362,""),"")</f>
        <v/>
      </c>
      <c r="B362" s="36">
        <f t="shared" si="17"/>
        <v>1</v>
      </c>
      <c r="C362" s="190">
        <f t="shared" si="15"/>
        <v>0</v>
      </c>
      <c r="D362" s="190"/>
      <c r="E362" s="190"/>
      <c r="F362" s="191"/>
      <c r="G362" s="191"/>
      <c r="H362" s="818"/>
      <c r="I362" s="253"/>
      <c r="J362" s="253"/>
      <c r="K362" s="38"/>
      <c r="L362" s="193"/>
      <c r="M362" s="193"/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94"/>
      <c r="AB362" s="598" t="e">
        <f t="shared" si="16"/>
        <v>#N/A</v>
      </c>
      <c r="AC362" s="205"/>
      <c r="AD362" s="205"/>
    </row>
    <row r="363" spans="1:30" s="598" customFormat="1" ht="15.75" customHeight="1">
      <c r="A363" s="199" t="str">
        <f>IF(B363&lt;&gt;"",IF(AND(B363&gt;=_TM1,B363&lt;=_TM2,OR(TH!L363="1111",TH!M363="1111")),TH!D363,""),"")</f>
        <v/>
      </c>
      <c r="B363" s="36">
        <f t="shared" si="17"/>
        <v>1</v>
      </c>
      <c r="C363" s="190">
        <f t="shared" si="15"/>
        <v>0</v>
      </c>
      <c r="D363" s="190"/>
      <c r="E363" s="190"/>
      <c r="F363" s="191"/>
      <c r="G363" s="191"/>
      <c r="H363" s="192"/>
      <c r="I363" s="253"/>
      <c r="J363" s="253"/>
      <c r="K363" s="38"/>
      <c r="L363" s="193"/>
      <c r="M363" s="193"/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94"/>
      <c r="AB363" s="598" t="e">
        <f t="shared" si="16"/>
        <v>#N/A</v>
      </c>
      <c r="AC363" s="205"/>
      <c r="AD363" s="205"/>
    </row>
    <row r="364" spans="1:30" s="598" customFormat="1" ht="15.75" customHeight="1">
      <c r="A364" s="199" t="str">
        <f>IF(B364&lt;&gt;"",IF(AND(B364&gt;=_TM1,B364&lt;=_TM2,OR(TH!L364="1111",TH!M364="1111")),TH!D364,""),"")</f>
        <v/>
      </c>
      <c r="B364" s="36">
        <f t="shared" si="17"/>
        <v>1</v>
      </c>
      <c r="C364" s="190">
        <f t="shared" si="15"/>
        <v>0</v>
      </c>
      <c r="D364" s="190"/>
      <c r="E364" s="190"/>
      <c r="F364" s="191"/>
      <c r="G364" s="191"/>
      <c r="H364" s="204"/>
      <c r="I364" s="254"/>
      <c r="J364" s="254"/>
      <c r="K364" s="38"/>
      <c r="L364" s="193"/>
      <c r="M364" s="193"/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94"/>
      <c r="AB364" s="598" t="e">
        <f t="shared" si="16"/>
        <v>#N/A</v>
      </c>
      <c r="AC364" s="205"/>
      <c r="AD364" s="205"/>
    </row>
    <row r="365" spans="1:30" s="598" customFormat="1" ht="15.75" customHeight="1">
      <c r="A365" s="199" t="str">
        <f>IF(B365&lt;&gt;"",IF(AND(B365&gt;=_TM1,B365&lt;=_TM2,OR(TH!L365="1111",TH!M365="1111")),TH!D365,""),"")</f>
        <v/>
      </c>
      <c r="B365" s="36">
        <f t="shared" si="17"/>
        <v>1</v>
      </c>
      <c r="C365" s="190">
        <f t="shared" si="15"/>
        <v>0</v>
      </c>
      <c r="D365" s="190"/>
      <c r="E365" s="190"/>
      <c r="F365" s="191"/>
      <c r="G365" s="191"/>
      <c r="H365" s="192"/>
      <c r="I365" s="253"/>
      <c r="J365" s="253"/>
      <c r="K365" s="38"/>
      <c r="L365" s="193"/>
      <c r="M365" s="193"/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94"/>
      <c r="AB365" s="598" t="e">
        <f t="shared" si="16"/>
        <v>#N/A</v>
      </c>
      <c r="AC365" s="205"/>
      <c r="AD365" s="205"/>
    </row>
    <row r="366" spans="1:30" s="598" customFormat="1" ht="15.75" customHeight="1">
      <c r="A366" s="199" t="str">
        <f>IF(B366&lt;&gt;"",IF(AND(B366&gt;=_TM1,B366&lt;=_TM2,OR(TH!L366="1111",TH!M366="1111")),TH!D366,""),"")</f>
        <v/>
      </c>
      <c r="B366" s="36">
        <f t="shared" si="17"/>
        <v>1</v>
      </c>
      <c r="C366" s="190">
        <f t="shared" si="15"/>
        <v>0</v>
      </c>
      <c r="D366" s="190"/>
      <c r="E366" s="190"/>
      <c r="F366" s="191"/>
      <c r="G366" s="191"/>
      <c r="H366" s="204"/>
      <c r="I366" s="254"/>
      <c r="J366" s="254"/>
      <c r="K366" s="38"/>
      <c r="L366" s="193"/>
      <c r="M366" s="193"/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94"/>
      <c r="AB366" s="598" t="e">
        <f t="shared" si="16"/>
        <v>#N/A</v>
      </c>
      <c r="AC366" s="205"/>
      <c r="AD366" s="205"/>
    </row>
    <row r="367" spans="1:30" ht="15.75" customHeight="1">
      <c r="A367" s="199" t="str">
        <f>IF(B367&lt;&gt;"",IF(AND(B367&gt;=_TM1,B367&lt;=_TM2,OR(TH!L367="1111",TH!M367="1111")),TH!D367,""),"")</f>
        <v/>
      </c>
      <c r="B367" s="36">
        <f t="shared" si="17"/>
        <v>1</v>
      </c>
      <c r="C367" s="190">
        <f t="shared" si="15"/>
        <v>0</v>
      </c>
      <c r="D367" s="190"/>
      <c r="E367" s="190"/>
      <c r="F367" s="191"/>
      <c r="G367" s="191"/>
      <c r="H367" s="192"/>
      <c r="I367" s="253"/>
      <c r="J367" s="253"/>
      <c r="K367" s="38"/>
      <c r="L367" s="193"/>
      <c r="M367" s="193"/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94"/>
      <c r="AB367" s="598" t="e">
        <f t="shared" si="16"/>
        <v>#N/A</v>
      </c>
    </row>
    <row r="368" spans="1:30" ht="15.75" customHeight="1">
      <c r="A368" s="199" t="str">
        <f>IF(B368&lt;&gt;"",IF(AND(B368&gt;=_TM1,B368&lt;=_TM2,OR(TH!L368="1111",TH!M368="1111")),TH!D368,""),"")</f>
        <v/>
      </c>
      <c r="B368" s="36">
        <f t="shared" si="17"/>
        <v>1</v>
      </c>
      <c r="C368" s="190">
        <f t="shared" si="15"/>
        <v>0</v>
      </c>
      <c r="D368" s="190"/>
      <c r="E368" s="190"/>
      <c r="F368" s="191"/>
      <c r="G368" s="191"/>
      <c r="H368" s="204"/>
      <c r="I368" s="254"/>
      <c r="J368" s="254"/>
      <c r="K368" s="38"/>
      <c r="L368" s="193"/>
      <c r="M368" s="193"/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94"/>
      <c r="AB368" s="598" t="e">
        <f t="shared" si="16"/>
        <v>#N/A</v>
      </c>
    </row>
    <row r="369" spans="1:30" s="598" customFormat="1" ht="15.75" customHeight="1">
      <c r="A369" s="199" t="str">
        <f>IF(B369&lt;&gt;"",IF(AND(B369&gt;=_TM1,B369&lt;=_TM2,OR(TH!L369="1111",TH!M369="1111")),TH!D369,""),"")</f>
        <v/>
      </c>
      <c r="B369" s="36">
        <f t="shared" si="17"/>
        <v>1</v>
      </c>
      <c r="C369" s="190">
        <f t="shared" si="15"/>
        <v>0</v>
      </c>
      <c r="D369" s="190"/>
      <c r="E369" s="190"/>
      <c r="F369" s="191"/>
      <c r="G369" s="491"/>
      <c r="H369" s="192"/>
      <c r="I369" s="253"/>
      <c r="J369" s="253"/>
      <c r="K369" s="38"/>
      <c r="L369" s="193"/>
      <c r="M369" s="193"/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94"/>
      <c r="AB369" s="598" t="e">
        <f t="shared" si="16"/>
        <v>#N/A</v>
      </c>
      <c r="AC369" s="205"/>
      <c r="AD369" s="205"/>
    </row>
    <row r="370" spans="1:30" s="598" customFormat="1" ht="15.75" customHeight="1">
      <c r="A370" s="199" t="str">
        <f>IF(B370&lt;&gt;"",IF(AND(B370&gt;=_TM1,B370&lt;=_TM2,OR(TH!L370="1111",TH!M370="1111")),TH!D370,""),"")</f>
        <v/>
      </c>
      <c r="B370" s="36">
        <f t="shared" si="17"/>
        <v>1</v>
      </c>
      <c r="C370" s="190">
        <f t="shared" si="15"/>
        <v>0</v>
      </c>
      <c r="D370" s="190"/>
      <c r="E370" s="190"/>
      <c r="F370" s="191"/>
      <c r="G370" s="191"/>
      <c r="H370" s="192"/>
      <c r="I370" s="253"/>
      <c r="J370" s="253"/>
      <c r="K370" s="38"/>
      <c r="L370" s="193"/>
      <c r="M370" s="193"/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94"/>
      <c r="AB370" s="598" t="e">
        <f t="shared" si="16"/>
        <v>#N/A</v>
      </c>
      <c r="AC370" s="205"/>
      <c r="AD370" s="205"/>
    </row>
    <row r="371" spans="1:30" s="598" customFormat="1" ht="15.75" customHeight="1">
      <c r="A371" s="199" t="str">
        <f>IF(B371&lt;&gt;"",IF(AND(B371&gt;=_TM1,B371&lt;=_TM2,OR(TH!L371="1111",TH!M371="1111")),TH!D371,""),"")</f>
        <v/>
      </c>
      <c r="B371" s="36">
        <f t="shared" si="17"/>
        <v>1</v>
      </c>
      <c r="C371" s="190">
        <f t="shared" si="15"/>
        <v>0</v>
      </c>
      <c r="D371" s="190"/>
      <c r="E371" s="190"/>
      <c r="F371" s="191"/>
      <c r="G371" s="491"/>
      <c r="H371" s="192"/>
      <c r="I371" s="253"/>
      <c r="J371" s="253"/>
      <c r="K371" s="38"/>
      <c r="L371" s="193"/>
      <c r="M371" s="193"/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94"/>
      <c r="AB371" s="598" t="e">
        <f t="shared" si="16"/>
        <v>#N/A</v>
      </c>
      <c r="AC371" s="205"/>
      <c r="AD371" s="205"/>
    </row>
    <row r="372" spans="1:30" s="598" customFormat="1" ht="15.75" customHeight="1">
      <c r="A372" s="199" t="str">
        <f>IF(B372&lt;&gt;"",IF(AND(B372&gt;=_TM1,B372&lt;=_TM2,OR(TH!L372="1111",TH!M372="1111")),TH!D372,""),"")</f>
        <v/>
      </c>
      <c r="B372" s="36">
        <f t="shared" si="17"/>
        <v>1</v>
      </c>
      <c r="C372" s="190">
        <f t="shared" si="15"/>
        <v>0</v>
      </c>
      <c r="D372" s="190"/>
      <c r="E372" s="190"/>
      <c r="F372" s="191"/>
      <c r="G372" s="191"/>
      <c r="H372" s="192"/>
      <c r="I372" s="253"/>
      <c r="J372" s="253"/>
      <c r="K372" s="38"/>
      <c r="L372" s="193"/>
      <c r="M372" s="193"/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94"/>
      <c r="AB372" s="598" t="e">
        <f t="shared" si="16"/>
        <v>#N/A</v>
      </c>
      <c r="AC372" s="205"/>
      <c r="AD372" s="205"/>
    </row>
    <row r="373" spans="1:30" s="598" customFormat="1" ht="15.75" customHeight="1">
      <c r="A373" s="199" t="str">
        <f>IF(B373&lt;&gt;"",IF(AND(B373&gt;=_TM1,B373&lt;=_TM2,OR(TH!L373="1111",TH!M373="1111")),TH!D373,""),"")</f>
        <v/>
      </c>
      <c r="B373" s="36">
        <f t="shared" si="17"/>
        <v>1</v>
      </c>
      <c r="C373" s="190">
        <f t="shared" ref="C373:C436" si="18">E373</f>
        <v>0</v>
      </c>
      <c r="D373" s="190"/>
      <c r="E373" s="190"/>
      <c r="F373" s="191"/>
      <c r="G373" s="491"/>
      <c r="H373" s="192"/>
      <c r="I373" s="253"/>
      <c r="J373" s="253"/>
      <c r="K373" s="38"/>
      <c r="L373" s="193"/>
      <c r="M373" s="193"/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94"/>
      <c r="AB373" s="598" t="e">
        <f t="shared" si="16"/>
        <v>#N/A</v>
      </c>
      <c r="AC373" s="205"/>
      <c r="AD373" s="205"/>
    </row>
    <row r="374" spans="1:30" ht="15.75" customHeight="1">
      <c r="A374" s="199" t="str">
        <f>IF(B374&lt;&gt;"",IF(AND(B374&gt;=_TM1,B374&lt;=_TM2,OR(TH!L374="1111",TH!M374="1111")),TH!D374,""),"")</f>
        <v/>
      </c>
      <c r="B374" s="36">
        <f t="shared" si="17"/>
        <v>1</v>
      </c>
      <c r="C374" s="190">
        <f t="shared" si="18"/>
        <v>0</v>
      </c>
      <c r="D374" s="190"/>
      <c r="E374" s="190"/>
      <c r="F374" s="191"/>
      <c r="G374" s="191"/>
      <c r="H374" s="204"/>
      <c r="I374" s="254"/>
      <c r="J374" s="254"/>
      <c r="K374" s="38"/>
      <c r="L374" s="193"/>
      <c r="M374" s="193"/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94"/>
      <c r="AB374" s="598" t="e">
        <f t="shared" si="16"/>
        <v>#N/A</v>
      </c>
    </row>
    <row r="375" spans="1:30" ht="15.75" customHeight="1">
      <c r="A375" s="199" t="str">
        <f>IF(B375&lt;&gt;"",IF(AND(B375&gt;=_TM1,B375&lt;=_TM2,OR(TH!L375="1111",TH!M375="1111")),TH!D375,""),"")</f>
        <v/>
      </c>
      <c r="B375" s="36">
        <f t="shared" si="17"/>
        <v>1</v>
      </c>
      <c r="C375" s="190">
        <f t="shared" si="18"/>
        <v>0</v>
      </c>
      <c r="D375" s="190"/>
      <c r="E375" s="190"/>
      <c r="F375" s="191"/>
      <c r="G375" s="491"/>
      <c r="H375" s="192"/>
      <c r="I375" s="253"/>
      <c r="J375" s="253"/>
      <c r="K375" s="38"/>
      <c r="L375" s="193"/>
      <c r="M375" s="193"/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94"/>
      <c r="AB375" s="598" t="e">
        <f t="shared" si="16"/>
        <v>#N/A</v>
      </c>
    </row>
    <row r="376" spans="1:30" ht="15.75" customHeight="1">
      <c r="A376" s="199" t="str">
        <f>IF(B376&lt;&gt;"",IF(AND(B376&gt;=_TM1,B376&lt;=_TM2,OR(TH!L376="1111",TH!M376="1111")),TH!D376,""),"")</f>
        <v/>
      </c>
      <c r="B376" s="36">
        <f t="shared" si="17"/>
        <v>1</v>
      </c>
      <c r="C376" s="190">
        <f t="shared" si="18"/>
        <v>0</v>
      </c>
      <c r="D376" s="190"/>
      <c r="E376" s="190"/>
      <c r="F376" s="191"/>
      <c r="G376" s="191"/>
      <c r="H376" s="204"/>
      <c r="I376" s="254"/>
      <c r="J376" s="254"/>
      <c r="K376" s="38"/>
      <c r="L376" s="193"/>
      <c r="M376" s="193"/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94"/>
      <c r="AB376" s="598" t="e">
        <f t="shared" si="16"/>
        <v>#N/A</v>
      </c>
    </row>
    <row r="377" spans="1:30" ht="15.75" customHeight="1">
      <c r="A377" s="199" t="str">
        <f>IF(B377&lt;&gt;"",IF(AND(B377&gt;=_TM1,B377&lt;=_TM2,OR(TH!L377="1111",TH!M377="1111")),TH!D377,""),"")</f>
        <v/>
      </c>
      <c r="B377" s="36">
        <f t="shared" si="17"/>
        <v>1</v>
      </c>
      <c r="C377" s="190">
        <f t="shared" si="18"/>
        <v>0</v>
      </c>
      <c r="D377" s="190"/>
      <c r="E377" s="190"/>
      <c r="F377" s="191"/>
      <c r="G377" s="191"/>
      <c r="H377" s="192"/>
      <c r="I377" s="253"/>
      <c r="J377" s="253"/>
      <c r="K377" s="38"/>
      <c r="L377" s="193"/>
      <c r="M377" s="193"/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94"/>
      <c r="AB377" s="598" t="e">
        <f t="shared" si="16"/>
        <v>#N/A</v>
      </c>
    </row>
    <row r="378" spans="1:30" s="598" customFormat="1" ht="15.75" customHeight="1">
      <c r="A378" s="199" t="str">
        <f>IF(B378&lt;&gt;"",IF(AND(B378&gt;=_TM1,B378&lt;=_TM2,OR(TH!L378="1111",TH!M378="1111")),TH!D378,""),"")</f>
        <v/>
      </c>
      <c r="B378" s="36">
        <f t="shared" si="17"/>
        <v>1</v>
      </c>
      <c r="C378" s="190">
        <f t="shared" si="18"/>
        <v>0</v>
      </c>
      <c r="D378" s="190"/>
      <c r="E378" s="190"/>
      <c r="F378" s="191"/>
      <c r="G378" s="191"/>
      <c r="H378" s="204"/>
      <c r="I378" s="254"/>
      <c r="J378" s="254"/>
      <c r="K378" s="38"/>
      <c r="L378" s="193"/>
      <c r="M378" s="193"/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94"/>
      <c r="AB378" s="598" t="e">
        <f t="shared" si="16"/>
        <v>#N/A</v>
      </c>
      <c r="AC378" s="205"/>
      <c r="AD378" s="205"/>
    </row>
    <row r="379" spans="1:30" s="598" customFormat="1" ht="15.75" customHeight="1">
      <c r="A379" s="199" t="str">
        <f>IF(B379&lt;&gt;"",IF(AND(B379&gt;=_TM1,B379&lt;=_TM2,OR(TH!L379="1111",TH!M379="1111")),TH!D379,""),"")</f>
        <v/>
      </c>
      <c r="B379" s="36">
        <f t="shared" si="17"/>
        <v>1</v>
      </c>
      <c r="C379" s="190">
        <f t="shared" si="18"/>
        <v>0</v>
      </c>
      <c r="D379" s="190"/>
      <c r="E379" s="190"/>
      <c r="F379" s="191"/>
      <c r="G379" s="191"/>
      <c r="H379" s="192"/>
      <c r="I379" s="253"/>
      <c r="J379" s="253"/>
      <c r="K379" s="38"/>
      <c r="L379" s="193"/>
      <c r="M379" s="193"/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94"/>
      <c r="AB379" s="598" t="e">
        <f t="shared" si="16"/>
        <v>#N/A</v>
      </c>
      <c r="AC379" s="205"/>
      <c r="AD379" s="205"/>
    </row>
    <row r="380" spans="1:30" s="598" customFormat="1" ht="15.75" customHeight="1">
      <c r="A380" s="199" t="str">
        <f>IF(B380&lt;&gt;"",IF(AND(B380&gt;=_TM1,B380&lt;=_TM2,OR(TH!L380="1111",TH!M380="1111")),TH!D380,""),"")</f>
        <v/>
      </c>
      <c r="B380" s="36">
        <f t="shared" si="17"/>
        <v>1</v>
      </c>
      <c r="C380" s="190">
        <f t="shared" si="18"/>
        <v>0</v>
      </c>
      <c r="D380" s="190"/>
      <c r="E380" s="190"/>
      <c r="F380" s="191"/>
      <c r="G380" s="191"/>
      <c r="H380" s="191"/>
      <c r="I380" s="253"/>
      <c r="J380" s="253"/>
      <c r="K380" s="38"/>
      <c r="L380" s="193"/>
      <c r="M380" s="193"/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94"/>
      <c r="AB380" s="598" t="e">
        <f t="shared" si="16"/>
        <v>#N/A</v>
      </c>
      <c r="AC380" s="205"/>
      <c r="AD380" s="205"/>
    </row>
    <row r="381" spans="1:30" s="598" customFormat="1" ht="15.75" customHeight="1">
      <c r="A381" s="199" t="str">
        <f>IF(B381&lt;&gt;"",IF(AND(B381&gt;=_TM1,B381&lt;=_TM2,OR(TH!L381="1111",TH!M381="1111")),TH!D381,""),"")</f>
        <v/>
      </c>
      <c r="B381" s="36">
        <f t="shared" si="17"/>
        <v>1</v>
      </c>
      <c r="C381" s="190">
        <f t="shared" si="18"/>
        <v>0</v>
      </c>
      <c r="D381" s="190"/>
      <c r="E381" s="190"/>
      <c r="F381" s="191"/>
      <c r="G381" s="191"/>
      <c r="H381" s="204"/>
      <c r="I381" s="253"/>
      <c r="J381" s="253"/>
      <c r="K381" s="38"/>
      <c r="L381" s="193"/>
      <c r="M381" s="193"/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94"/>
      <c r="AB381" s="598" t="e">
        <f t="shared" si="16"/>
        <v>#N/A</v>
      </c>
      <c r="AC381" s="205"/>
      <c r="AD381" s="205"/>
    </row>
    <row r="382" spans="1:30" s="598" customFormat="1" ht="15.75" customHeight="1">
      <c r="A382" s="199" t="str">
        <f>IF(B382&lt;&gt;"",IF(AND(B382&gt;=_TM1,B382&lt;=_TM2,OR(TH!L382="1111",TH!M382="1111")),TH!D382,""),"")</f>
        <v/>
      </c>
      <c r="B382" s="36">
        <f t="shared" si="17"/>
        <v>1</v>
      </c>
      <c r="C382" s="190">
        <f t="shared" si="18"/>
        <v>0</v>
      </c>
      <c r="D382" s="190"/>
      <c r="E382" s="190"/>
      <c r="F382" s="191"/>
      <c r="G382" s="191"/>
      <c r="H382" s="191"/>
      <c r="I382" s="253"/>
      <c r="J382" s="253"/>
      <c r="K382" s="38"/>
      <c r="L382" s="193"/>
      <c r="M382" s="193"/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94"/>
      <c r="AB382" s="598" t="e">
        <f t="shared" si="16"/>
        <v>#N/A</v>
      </c>
      <c r="AC382" s="205"/>
      <c r="AD382" s="205"/>
    </row>
    <row r="383" spans="1:30" s="598" customFormat="1" ht="15.75" customHeight="1">
      <c r="A383" s="199" t="str">
        <f>IF(B383&lt;&gt;"",IF(AND(B383&gt;=_TM1,B383&lt;=_TM2,OR(TH!L383="1111",TH!M383="1111")),TH!D383,""),"")</f>
        <v/>
      </c>
      <c r="B383" s="36">
        <f t="shared" si="17"/>
        <v>1</v>
      </c>
      <c r="C383" s="190">
        <f t="shared" si="18"/>
        <v>0</v>
      </c>
      <c r="D383" s="190"/>
      <c r="E383" s="190"/>
      <c r="F383" s="191"/>
      <c r="G383" s="191"/>
      <c r="H383" s="192"/>
      <c r="I383" s="253"/>
      <c r="J383" s="253"/>
      <c r="K383" s="38"/>
      <c r="L383" s="193"/>
      <c r="M383" s="193"/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94"/>
      <c r="AB383" s="598" t="e">
        <f t="shared" si="16"/>
        <v>#N/A</v>
      </c>
      <c r="AC383" s="205"/>
      <c r="AD383" s="205"/>
    </row>
    <row r="384" spans="1:30" s="598" customFormat="1" ht="15.75" customHeight="1">
      <c r="A384" s="199" t="str">
        <f>IF(B384&lt;&gt;"",IF(AND(B384&gt;=_TM1,B384&lt;=_TM2,OR(TH!L384="1111",TH!M384="1111")),TH!D384,""),"")</f>
        <v/>
      </c>
      <c r="B384" s="36">
        <f t="shared" si="17"/>
        <v>1</v>
      </c>
      <c r="C384" s="190">
        <f t="shared" si="18"/>
        <v>0</v>
      </c>
      <c r="D384" s="190"/>
      <c r="E384" s="190"/>
      <c r="F384" s="191"/>
      <c r="G384" s="191"/>
      <c r="H384" s="191"/>
      <c r="I384" s="254"/>
      <c r="J384" s="254"/>
      <c r="K384" s="38"/>
      <c r="L384" s="193"/>
      <c r="M384" s="193"/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94"/>
      <c r="AB384" s="598" t="e">
        <f t="shared" si="16"/>
        <v>#N/A</v>
      </c>
      <c r="AC384" s="205"/>
      <c r="AD384" s="205"/>
    </row>
    <row r="385" spans="1:30" s="598" customFormat="1" ht="15.75" customHeight="1">
      <c r="A385" s="199" t="str">
        <f>IF(B385&lt;&gt;"",IF(AND(B385&gt;=_TM1,B385&lt;=_TM2,OR(TH!L385="1111",TH!M385="1111")),TH!D385,""),"")</f>
        <v/>
      </c>
      <c r="B385" s="36">
        <f t="shared" si="17"/>
        <v>1</v>
      </c>
      <c r="C385" s="190">
        <f t="shared" si="18"/>
        <v>0</v>
      </c>
      <c r="D385" s="190"/>
      <c r="E385" s="190"/>
      <c r="F385" s="191"/>
      <c r="G385" s="191"/>
      <c r="H385" s="192"/>
      <c r="I385" s="253"/>
      <c r="J385" s="253"/>
      <c r="K385" s="38"/>
      <c r="L385" s="193"/>
      <c r="M385" s="193"/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94"/>
      <c r="AB385" s="598" t="e">
        <f t="shared" si="16"/>
        <v>#N/A</v>
      </c>
      <c r="AC385" s="205"/>
      <c r="AD385" s="205"/>
    </row>
    <row r="386" spans="1:30" s="598" customFormat="1" ht="15.75" customHeight="1">
      <c r="A386" s="199" t="str">
        <f>IF(B386&lt;&gt;"",IF(AND(B386&gt;=_TM1,B386&lt;=_TM2,OR(TH!L386="1111",TH!M386="1111")),TH!D386,""),"")</f>
        <v/>
      </c>
      <c r="B386" s="36">
        <f t="shared" si="17"/>
        <v>1</v>
      </c>
      <c r="C386" s="190">
        <f t="shared" si="18"/>
        <v>0</v>
      </c>
      <c r="D386" s="190"/>
      <c r="E386" s="190"/>
      <c r="F386" s="191"/>
      <c r="G386" s="191"/>
      <c r="H386" s="204"/>
      <c r="I386" s="254"/>
      <c r="J386" s="254"/>
      <c r="K386" s="38"/>
      <c r="L386" s="193"/>
      <c r="M386" s="193"/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94"/>
      <c r="AB386" s="598" t="e">
        <f t="shared" si="16"/>
        <v>#N/A</v>
      </c>
      <c r="AC386" s="205"/>
      <c r="AD386" s="205"/>
    </row>
    <row r="387" spans="1:30" s="598" customFormat="1" ht="15.75" customHeight="1">
      <c r="A387" s="199" t="str">
        <f>IF(B387&lt;&gt;"",IF(AND(B387&gt;=_TM1,B387&lt;=_TM2,OR(TH!L387="1111",TH!M387="1111")),TH!D387,""),"")</f>
        <v/>
      </c>
      <c r="B387" s="36">
        <f t="shared" si="17"/>
        <v>1</v>
      </c>
      <c r="C387" s="190">
        <f t="shared" si="18"/>
        <v>0</v>
      </c>
      <c r="D387" s="190"/>
      <c r="E387" s="190"/>
      <c r="F387" s="191"/>
      <c r="G387" s="191"/>
      <c r="H387" s="204"/>
      <c r="I387" s="253"/>
      <c r="J387" s="253"/>
      <c r="K387" s="38"/>
      <c r="L387" s="193"/>
      <c r="M387" s="193"/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94"/>
      <c r="AB387" s="598" t="e">
        <f t="shared" si="16"/>
        <v>#N/A</v>
      </c>
      <c r="AC387" s="205"/>
      <c r="AD387" s="205"/>
    </row>
    <row r="388" spans="1:30" s="598" customFormat="1" ht="15.75" customHeight="1">
      <c r="A388" s="199" t="str">
        <f>IF(B388&lt;&gt;"",IF(AND(B388&gt;=_TM1,B388&lt;=_TM2,OR(TH!L388="1111",TH!M388="1111")),TH!D388,""),"")</f>
        <v/>
      </c>
      <c r="B388" s="36">
        <f t="shared" si="17"/>
        <v>1</v>
      </c>
      <c r="C388" s="190">
        <f t="shared" si="18"/>
        <v>0</v>
      </c>
      <c r="D388" s="190"/>
      <c r="E388" s="190"/>
      <c r="F388" s="191"/>
      <c r="G388" s="191"/>
      <c r="H388" s="192"/>
      <c r="I388" s="253"/>
      <c r="J388" s="253"/>
      <c r="K388" s="38"/>
      <c r="L388" s="193"/>
      <c r="M388" s="193"/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94"/>
      <c r="AB388" s="598" t="e">
        <f t="shared" si="16"/>
        <v>#N/A</v>
      </c>
      <c r="AC388" s="205"/>
      <c r="AD388" s="205"/>
    </row>
    <row r="389" spans="1:30" s="598" customFormat="1" ht="15.75" customHeight="1">
      <c r="A389" s="199" t="str">
        <f>IF(B389&lt;&gt;"",IF(AND(B389&gt;=_TM1,B389&lt;=_TM2,OR(TH!L389="1111",TH!M389="1111")),TH!D389,""),"")</f>
        <v/>
      </c>
      <c r="B389" s="36">
        <f t="shared" si="17"/>
        <v>1</v>
      </c>
      <c r="C389" s="190">
        <f t="shared" si="18"/>
        <v>0</v>
      </c>
      <c r="D389" s="190"/>
      <c r="E389" s="190"/>
      <c r="F389" s="191"/>
      <c r="G389" s="191"/>
      <c r="H389" s="192"/>
      <c r="I389" s="253"/>
      <c r="J389" s="253"/>
      <c r="K389" s="38"/>
      <c r="L389" s="193"/>
      <c r="M389" s="193"/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94"/>
      <c r="AB389" s="598" t="e">
        <f t="shared" si="16"/>
        <v>#N/A</v>
      </c>
      <c r="AC389" s="205"/>
      <c r="AD389" s="205"/>
    </row>
    <row r="390" spans="1:30" s="598" customFormat="1" ht="15.75" customHeight="1">
      <c r="A390" s="199" t="str">
        <f>IF(B390&lt;&gt;"",IF(AND(B390&gt;=_TM1,B390&lt;=_TM2,OR(TH!L390="1111",TH!M390="1111")),TH!D390,""),"")</f>
        <v/>
      </c>
      <c r="B390" s="36">
        <f t="shared" si="17"/>
        <v>1</v>
      </c>
      <c r="C390" s="190">
        <f t="shared" si="18"/>
        <v>0</v>
      </c>
      <c r="D390" s="190"/>
      <c r="E390" s="190"/>
      <c r="F390" s="191"/>
      <c r="G390" s="191"/>
      <c r="H390" s="192"/>
      <c r="I390" s="253"/>
      <c r="J390" s="253"/>
      <c r="K390" s="38"/>
      <c r="L390" s="193"/>
      <c r="M390" s="193"/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94"/>
      <c r="AB390" s="598" t="e">
        <f t="shared" si="16"/>
        <v>#N/A</v>
      </c>
      <c r="AC390" s="205"/>
      <c r="AD390" s="205"/>
    </row>
    <row r="391" spans="1:30" s="598" customFormat="1" ht="15.75" customHeight="1">
      <c r="A391" s="199" t="str">
        <f>IF(B391&lt;&gt;"",IF(AND(B391&gt;=_TM1,B391&lt;=_TM2,OR(TH!L391="1111",TH!M391="1111")),TH!D391,""),"")</f>
        <v/>
      </c>
      <c r="B391" s="36">
        <f t="shared" si="17"/>
        <v>1</v>
      </c>
      <c r="C391" s="190">
        <f t="shared" si="18"/>
        <v>0</v>
      </c>
      <c r="D391" s="190"/>
      <c r="E391" s="190"/>
      <c r="F391" s="191"/>
      <c r="G391" s="191"/>
      <c r="H391" s="192"/>
      <c r="I391" s="253"/>
      <c r="J391" s="253"/>
      <c r="K391" s="38"/>
      <c r="L391" s="193"/>
      <c r="M391" s="193"/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94"/>
      <c r="AB391" s="598" t="e">
        <f t="shared" si="16"/>
        <v>#N/A</v>
      </c>
      <c r="AC391" s="205"/>
      <c r="AD391" s="205"/>
    </row>
    <row r="392" spans="1:30" s="598" customFormat="1" ht="15.75" customHeight="1">
      <c r="A392" s="199" t="str">
        <f>IF(B392&lt;&gt;"",IF(AND(B392&gt;=_TM1,B392&lt;=_TM2,OR(TH!L392="1111",TH!M392="1111")),TH!D392,""),"")</f>
        <v/>
      </c>
      <c r="B392" s="36">
        <f t="shared" si="17"/>
        <v>1</v>
      </c>
      <c r="C392" s="190">
        <f t="shared" si="18"/>
        <v>0</v>
      </c>
      <c r="D392" s="190"/>
      <c r="E392" s="190"/>
      <c r="F392" s="191"/>
      <c r="G392" s="191"/>
      <c r="H392" s="192"/>
      <c r="I392" s="253"/>
      <c r="J392" s="253"/>
      <c r="K392" s="38"/>
      <c r="L392" s="193"/>
      <c r="M392" s="193"/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94"/>
      <c r="AB392" s="598" t="e">
        <f t="shared" si="16"/>
        <v>#N/A</v>
      </c>
      <c r="AC392" s="205"/>
      <c r="AD392" s="205"/>
    </row>
    <row r="393" spans="1:30" s="598" customFormat="1" ht="15.75" customHeight="1">
      <c r="A393" s="199" t="str">
        <f>IF(B393&lt;&gt;"",IF(AND(B393&gt;=_TM1,B393&lt;=_TM2,OR(TH!L393="1111",TH!M393="1111")),TH!D393,""),"")</f>
        <v/>
      </c>
      <c r="B393" s="36">
        <f t="shared" si="17"/>
        <v>1</v>
      </c>
      <c r="C393" s="190">
        <f t="shared" si="18"/>
        <v>0</v>
      </c>
      <c r="D393" s="190"/>
      <c r="E393" s="190"/>
      <c r="F393" s="191"/>
      <c r="G393" s="191"/>
      <c r="H393" s="192"/>
      <c r="I393" s="253"/>
      <c r="J393" s="253"/>
      <c r="K393" s="38"/>
      <c r="L393" s="193"/>
      <c r="M393" s="193"/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94"/>
      <c r="AB393" s="598" t="e">
        <f t="shared" si="16"/>
        <v>#N/A</v>
      </c>
      <c r="AC393" s="205"/>
      <c r="AD393" s="205"/>
    </row>
    <row r="394" spans="1:30" s="598" customFormat="1" ht="15.75" customHeight="1">
      <c r="A394" s="199" t="str">
        <f>IF(B394&lt;&gt;"",IF(AND(B394&gt;=_TM1,B394&lt;=_TM2,OR(TH!L394="1111",TH!M394="1111")),TH!D394,""),"")</f>
        <v/>
      </c>
      <c r="B394" s="36">
        <f t="shared" si="17"/>
        <v>1</v>
      </c>
      <c r="C394" s="190">
        <f t="shared" si="18"/>
        <v>0</v>
      </c>
      <c r="D394" s="190"/>
      <c r="E394" s="190"/>
      <c r="F394" s="191"/>
      <c r="G394" s="191"/>
      <c r="H394" s="204"/>
      <c r="I394" s="254"/>
      <c r="J394" s="254"/>
      <c r="K394" s="38"/>
      <c r="L394" s="193"/>
      <c r="M394" s="193"/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94"/>
      <c r="AB394" s="598" t="e">
        <f t="shared" si="16"/>
        <v>#N/A</v>
      </c>
      <c r="AC394" s="205"/>
      <c r="AD394" s="205"/>
    </row>
    <row r="395" spans="1:30" s="598" customFormat="1" ht="15.75" customHeight="1">
      <c r="A395" s="199" t="str">
        <f>IF(B395&lt;&gt;"",IF(AND(B395&gt;=_TM1,B395&lt;=_TM2,OR(TH!L395="1111",TH!M395="1111")),TH!D395,""),"")</f>
        <v/>
      </c>
      <c r="B395" s="36">
        <f t="shared" si="17"/>
        <v>1</v>
      </c>
      <c r="C395" s="190">
        <f t="shared" si="18"/>
        <v>0</v>
      </c>
      <c r="D395" s="190"/>
      <c r="E395" s="190"/>
      <c r="F395" s="191"/>
      <c r="G395" s="191"/>
      <c r="H395" s="192"/>
      <c r="I395" s="253"/>
      <c r="J395" s="253"/>
      <c r="K395" s="38"/>
      <c r="L395" s="193"/>
      <c r="M395" s="193"/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94"/>
      <c r="AB395" s="598" t="e">
        <f t="shared" si="16"/>
        <v>#N/A</v>
      </c>
      <c r="AC395" s="205"/>
      <c r="AD395" s="205"/>
    </row>
    <row r="396" spans="1:30" s="598" customFormat="1" ht="15.75" customHeight="1">
      <c r="A396" s="199" t="str">
        <f>IF(B396&lt;&gt;"",IF(AND(B396&gt;=_TM1,B396&lt;=_TM2,OR(TH!L396="1111",TH!M396="1111")),TH!D396,""),"")</f>
        <v/>
      </c>
      <c r="B396" s="36">
        <f t="shared" si="17"/>
        <v>1</v>
      </c>
      <c r="C396" s="190">
        <f t="shared" si="18"/>
        <v>0</v>
      </c>
      <c r="D396" s="190"/>
      <c r="E396" s="190"/>
      <c r="F396" s="191"/>
      <c r="G396" s="191"/>
      <c r="H396" s="192"/>
      <c r="I396" s="253"/>
      <c r="J396" s="253"/>
      <c r="K396" s="38"/>
      <c r="L396" s="193"/>
      <c r="M396" s="193"/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94"/>
      <c r="AB396" s="598" t="e">
        <f t="shared" ref="AB396:AB459" si="19">IF(VLOOKUP(H396,DS_131,1,0)&lt;&gt;"","","x")</f>
        <v>#N/A</v>
      </c>
      <c r="AC396" s="205"/>
      <c r="AD396" s="205"/>
    </row>
    <row r="397" spans="1:30" s="598" customFormat="1" ht="15.75" customHeight="1">
      <c r="A397" s="199" t="str">
        <f>IF(B397&lt;&gt;"",IF(AND(B397&gt;=_TM1,B397&lt;=_TM2,OR(TH!L397="1111",TH!M397="1111")),TH!D397,""),"")</f>
        <v/>
      </c>
      <c r="B397" s="36">
        <f t="shared" si="17"/>
        <v>1</v>
      </c>
      <c r="C397" s="190">
        <f t="shared" si="18"/>
        <v>0</v>
      </c>
      <c r="D397" s="190"/>
      <c r="E397" s="190"/>
      <c r="F397" s="191"/>
      <c r="G397" s="191"/>
      <c r="H397" s="192"/>
      <c r="I397" s="253"/>
      <c r="J397" s="253"/>
      <c r="K397" s="38"/>
      <c r="L397" s="193"/>
      <c r="M397" s="193"/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94"/>
      <c r="AB397" s="598" t="e">
        <f t="shared" si="19"/>
        <v>#N/A</v>
      </c>
      <c r="AC397" s="205"/>
      <c r="AD397" s="205"/>
    </row>
    <row r="398" spans="1:30" s="598" customFormat="1" ht="15.75" customHeight="1">
      <c r="A398" s="199" t="str">
        <f>IF(B398&lt;&gt;"",IF(AND(B398&gt;=_TM1,B398&lt;=_TM2,OR(TH!L398="1111",TH!M398="1111")),TH!D398,""),"")</f>
        <v/>
      </c>
      <c r="B398" s="36">
        <f t="shared" si="17"/>
        <v>1</v>
      </c>
      <c r="C398" s="190">
        <f t="shared" si="18"/>
        <v>0</v>
      </c>
      <c r="D398" s="190"/>
      <c r="E398" s="190"/>
      <c r="F398" s="191"/>
      <c r="G398" s="191"/>
      <c r="H398" s="192"/>
      <c r="I398" s="253"/>
      <c r="J398" s="253"/>
      <c r="K398" s="38"/>
      <c r="L398" s="193"/>
      <c r="M398" s="193"/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/>
      </c>
      <c r="AA398" s="894"/>
      <c r="AB398" s="598" t="e">
        <f t="shared" si="19"/>
        <v>#N/A</v>
      </c>
      <c r="AC398" s="205"/>
      <c r="AD398" s="205"/>
    </row>
    <row r="399" spans="1:30" s="598" customFormat="1" ht="15.75" customHeight="1">
      <c r="A399" s="199" t="str">
        <f>IF(B399&lt;&gt;"",IF(AND(B399&gt;=_TM1,B399&lt;=_TM2,OR(TH!L399="1111",TH!M399="1111")),TH!D399,""),"")</f>
        <v/>
      </c>
      <c r="B399" s="36">
        <f t="shared" si="17"/>
        <v>1</v>
      </c>
      <c r="C399" s="190">
        <f t="shared" si="18"/>
        <v>0</v>
      </c>
      <c r="D399" s="190"/>
      <c r="E399" s="190"/>
      <c r="F399" s="191"/>
      <c r="G399" s="191"/>
      <c r="H399" s="192"/>
      <c r="I399" s="253"/>
      <c r="J399" s="253"/>
      <c r="K399" s="38"/>
      <c r="L399" s="193"/>
      <c r="M399" s="193"/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/>
      </c>
      <c r="AA399" s="894"/>
      <c r="AB399" s="598" t="e">
        <f t="shared" si="19"/>
        <v>#N/A</v>
      </c>
      <c r="AC399" s="205"/>
      <c r="AD399" s="205"/>
    </row>
    <row r="400" spans="1:30" s="598" customFormat="1" ht="15.75" customHeight="1">
      <c r="A400" s="199" t="str">
        <f>IF(B400&lt;&gt;"",IF(AND(B400&gt;=_TM1,B400&lt;=_TM2,OR(TH!L400="1111",TH!M400="1111")),TH!D400,""),"")</f>
        <v/>
      </c>
      <c r="B400" s="36">
        <f t="shared" si="17"/>
        <v>1</v>
      </c>
      <c r="C400" s="190">
        <f t="shared" si="18"/>
        <v>0</v>
      </c>
      <c r="D400" s="190"/>
      <c r="E400" s="190"/>
      <c r="F400" s="191"/>
      <c r="G400" s="191"/>
      <c r="H400" s="204"/>
      <c r="I400" s="254"/>
      <c r="J400" s="254"/>
      <c r="K400" s="38"/>
      <c r="L400" s="193"/>
      <c r="M400" s="193"/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/>
      </c>
      <c r="AA400" s="894"/>
      <c r="AB400" s="598" t="e">
        <f t="shared" si="19"/>
        <v>#N/A</v>
      </c>
      <c r="AC400" s="205"/>
      <c r="AD400" s="205"/>
    </row>
    <row r="401" spans="1:30" s="598" customFormat="1" ht="15.75" customHeight="1">
      <c r="A401" s="199" t="str">
        <f>IF(B401&lt;&gt;"",IF(AND(B401&gt;=_TM1,B401&lt;=_TM2,OR(TH!L401="1111",TH!M401="1111")),TH!D401,""),"")</f>
        <v/>
      </c>
      <c r="B401" s="36">
        <f t="shared" si="17"/>
        <v>1</v>
      </c>
      <c r="C401" s="190">
        <f t="shared" si="18"/>
        <v>0</v>
      </c>
      <c r="D401" s="190"/>
      <c r="E401" s="190"/>
      <c r="F401" s="191"/>
      <c r="G401" s="191"/>
      <c r="H401" s="192"/>
      <c r="I401" s="253"/>
      <c r="J401" s="253"/>
      <c r="K401" s="38"/>
      <c r="L401" s="193"/>
      <c r="M401" s="193"/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94"/>
      <c r="AB401" s="598" t="e">
        <f t="shared" si="19"/>
        <v>#N/A</v>
      </c>
      <c r="AC401" s="205"/>
      <c r="AD401" s="205"/>
    </row>
    <row r="402" spans="1:30" s="598" customFormat="1" ht="15.75" customHeight="1">
      <c r="A402" s="199" t="str">
        <f>IF(B402&lt;&gt;"",IF(AND(B402&gt;=_TM1,B402&lt;=_TM2,OR(TH!L402="1111",TH!M402="1111")),TH!D402,""),"")</f>
        <v/>
      </c>
      <c r="B402" s="36">
        <f t="shared" si="17"/>
        <v>1</v>
      </c>
      <c r="C402" s="190">
        <f t="shared" si="18"/>
        <v>0</v>
      </c>
      <c r="D402" s="190"/>
      <c r="E402" s="190"/>
      <c r="F402" s="191"/>
      <c r="G402" s="191"/>
      <c r="H402" s="192"/>
      <c r="I402" s="253"/>
      <c r="J402" s="253"/>
      <c r="K402" s="38"/>
      <c r="L402" s="193"/>
      <c r="M402" s="193"/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94"/>
      <c r="AB402" s="598" t="e">
        <f t="shared" si="19"/>
        <v>#N/A</v>
      </c>
      <c r="AC402" s="205"/>
      <c r="AD402" s="205"/>
    </row>
    <row r="403" spans="1:30" s="598" customFormat="1" ht="15.75" customHeight="1">
      <c r="A403" s="199" t="str">
        <f>IF(B403&lt;&gt;"",IF(AND(B403&gt;=_TM1,B403&lt;=_TM2,OR(TH!L403="1111",TH!M403="1111")),TH!D403,""),"")</f>
        <v/>
      </c>
      <c r="B403" s="36">
        <f t="shared" si="17"/>
        <v>1</v>
      </c>
      <c r="C403" s="190">
        <f t="shared" si="18"/>
        <v>0</v>
      </c>
      <c r="D403" s="190"/>
      <c r="E403" s="798"/>
      <c r="F403" s="191"/>
      <c r="G403" s="191"/>
      <c r="H403" s="192"/>
      <c r="I403" s="256"/>
      <c r="J403" s="256"/>
      <c r="K403" s="38"/>
      <c r="L403" s="193"/>
      <c r="M403" s="193"/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94"/>
      <c r="AB403" s="598" t="e">
        <f t="shared" si="19"/>
        <v>#N/A</v>
      </c>
      <c r="AC403" s="205"/>
      <c r="AD403" s="205"/>
    </row>
    <row r="404" spans="1:30" s="598" customFormat="1" ht="15.75" customHeight="1">
      <c r="A404" s="199" t="str">
        <f>IF(B404&lt;&gt;"",IF(AND(B404&gt;=_TM1,B404&lt;=_TM2,OR(TH!L404="1111",TH!M404="1111")),TH!D404,""),"")</f>
        <v/>
      </c>
      <c r="B404" s="36">
        <f t="shared" si="17"/>
        <v>1</v>
      </c>
      <c r="C404" s="190">
        <f t="shared" si="18"/>
        <v>0</v>
      </c>
      <c r="D404" s="190"/>
      <c r="E404" s="190"/>
      <c r="F404" s="191"/>
      <c r="G404" s="191"/>
      <c r="H404" s="192"/>
      <c r="I404" s="253"/>
      <c r="J404" s="253"/>
      <c r="K404" s="38"/>
      <c r="L404" s="193"/>
      <c r="M404" s="193"/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/>
      </c>
      <c r="AA404" s="894"/>
      <c r="AB404" s="598" t="e">
        <f t="shared" si="19"/>
        <v>#N/A</v>
      </c>
      <c r="AC404" s="205"/>
      <c r="AD404" s="205"/>
    </row>
    <row r="405" spans="1:30" s="598" customFormat="1" ht="15.75" customHeight="1">
      <c r="A405" s="199" t="str">
        <f>IF(B405&lt;&gt;"",IF(AND(B405&gt;=_TM1,B405&lt;=_TM2,OR(TH!L405="1111",TH!M405="1111")),TH!D405,""),"")</f>
        <v/>
      </c>
      <c r="B405" s="36">
        <f t="shared" si="17"/>
        <v>1</v>
      </c>
      <c r="C405" s="190">
        <f t="shared" si="18"/>
        <v>0</v>
      </c>
      <c r="D405" s="190"/>
      <c r="E405" s="190"/>
      <c r="F405" s="191"/>
      <c r="G405" s="191"/>
      <c r="H405" s="192"/>
      <c r="I405" s="253"/>
      <c r="J405" s="253"/>
      <c r="K405" s="38"/>
      <c r="L405" s="193"/>
      <c r="M405" s="193"/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/>
      </c>
      <c r="AA405" s="894"/>
      <c r="AB405" s="598" t="e">
        <f t="shared" si="19"/>
        <v>#N/A</v>
      </c>
      <c r="AC405" s="205"/>
      <c r="AD405" s="205"/>
    </row>
    <row r="406" spans="1:30" s="598" customFormat="1" ht="15.75" customHeight="1">
      <c r="A406" s="199" t="str">
        <f>IF(B406&lt;&gt;"",IF(AND(B406&gt;=_TM1,B406&lt;=_TM2,OR(TH!L406="1111",TH!M406="1111")),TH!D406,""),"")</f>
        <v/>
      </c>
      <c r="B406" s="36">
        <f t="shared" si="17"/>
        <v>1</v>
      </c>
      <c r="C406" s="190">
        <f t="shared" si="18"/>
        <v>0</v>
      </c>
      <c r="D406" s="190"/>
      <c r="E406" s="190"/>
      <c r="F406" s="191"/>
      <c r="G406" s="191"/>
      <c r="H406" s="191"/>
      <c r="I406" s="254"/>
      <c r="J406" s="254"/>
      <c r="K406" s="38"/>
      <c r="L406" s="193"/>
      <c r="M406" s="193"/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/>
      </c>
      <c r="AA406" s="894"/>
      <c r="AB406" s="598" t="e">
        <f t="shared" si="19"/>
        <v>#N/A</v>
      </c>
      <c r="AC406" s="205"/>
      <c r="AD406" s="205"/>
    </row>
    <row r="407" spans="1:30" s="598" customFormat="1" ht="15.75" customHeight="1">
      <c r="A407" s="199" t="str">
        <f>IF(B407&lt;&gt;"",IF(AND(B407&gt;=_TM1,B407&lt;=_TM2,OR(TH!L407="1111",TH!M407="1111")),TH!D407,""),"")</f>
        <v/>
      </c>
      <c r="B407" s="36">
        <f t="shared" si="17"/>
        <v>1</v>
      </c>
      <c r="C407" s="190">
        <f t="shared" si="18"/>
        <v>0</v>
      </c>
      <c r="D407" s="190"/>
      <c r="E407" s="190"/>
      <c r="F407" s="191"/>
      <c r="G407" s="191"/>
      <c r="H407" s="204"/>
      <c r="I407" s="254"/>
      <c r="J407" s="254"/>
      <c r="K407" s="38"/>
      <c r="L407" s="193"/>
      <c r="M407" s="193"/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/>
      </c>
      <c r="AA407" s="894"/>
      <c r="AB407" s="598" t="e">
        <f t="shared" si="19"/>
        <v>#N/A</v>
      </c>
      <c r="AC407" s="205"/>
      <c r="AD407" s="205"/>
    </row>
    <row r="408" spans="1:30" s="598" customFormat="1" ht="15.75" customHeight="1">
      <c r="A408" s="199" t="str">
        <f>IF(B408&lt;&gt;"",IF(AND(B408&gt;=_TM1,B408&lt;=_TM2,OR(TH!L408="1111",TH!M408="1111")),TH!D408,""),"")</f>
        <v/>
      </c>
      <c r="B408" s="36">
        <f t="shared" si="17"/>
        <v>1</v>
      </c>
      <c r="C408" s="190">
        <f t="shared" si="18"/>
        <v>0</v>
      </c>
      <c r="D408" s="190"/>
      <c r="E408" s="190"/>
      <c r="F408" s="191"/>
      <c r="G408" s="191"/>
      <c r="H408" s="192"/>
      <c r="I408" s="253"/>
      <c r="J408" s="253"/>
      <c r="K408" s="38"/>
      <c r="L408" s="193"/>
      <c r="M408" s="193"/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/>
      </c>
      <c r="AA408" s="894"/>
      <c r="AB408" s="598" t="e">
        <f t="shared" si="19"/>
        <v>#N/A</v>
      </c>
      <c r="AC408" s="205"/>
      <c r="AD408" s="205"/>
    </row>
    <row r="409" spans="1:30" s="598" customFormat="1" ht="15.75" customHeight="1">
      <c r="A409" s="199" t="str">
        <f>IF(B409&lt;&gt;"",IF(AND(B409&gt;=_TM1,B409&lt;=_TM2,OR(TH!L409="1111",TH!M409="1111")),TH!D409,""),"")</f>
        <v/>
      </c>
      <c r="B409" s="36">
        <f t="shared" ref="B409:B472" si="20">IF(C409&lt;&gt;"",MONTH(C409),"")</f>
        <v>1</v>
      </c>
      <c r="C409" s="190">
        <f t="shared" si="18"/>
        <v>0</v>
      </c>
      <c r="D409" s="190"/>
      <c r="E409" s="190"/>
      <c r="F409" s="191"/>
      <c r="G409" s="191"/>
      <c r="H409" s="192"/>
      <c r="I409" s="253"/>
      <c r="J409" s="253"/>
      <c r="K409" s="38"/>
      <c r="L409" s="193"/>
      <c r="M409" s="193"/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/>
      </c>
      <c r="AA409" s="894"/>
      <c r="AB409" s="598" t="e">
        <f t="shared" si="19"/>
        <v>#N/A</v>
      </c>
      <c r="AC409" s="205"/>
      <c r="AD409" s="205"/>
    </row>
    <row r="410" spans="1:30" s="598" customFormat="1" ht="15.75" customHeight="1">
      <c r="A410" s="199" t="str">
        <f>IF(B410&lt;&gt;"",IF(AND(B410&gt;=_TM1,B410&lt;=_TM2,OR(TH!L410="1111",TH!M410="1111")),TH!D410,""),"")</f>
        <v/>
      </c>
      <c r="B410" s="36">
        <f t="shared" si="20"/>
        <v>1</v>
      </c>
      <c r="C410" s="190">
        <f t="shared" si="18"/>
        <v>0</v>
      </c>
      <c r="D410" s="190"/>
      <c r="E410" s="190"/>
      <c r="F410" s="191"/>
      <c r="G410" s="191"/>
      <c r="H410" s="192"/>
      <c r="I410" s="253"/>
      <c r="J410" s="253"/>
      <c r="K410" s="38"/>
      <c r="L410" s="193"/>
      <c r="M410" s="193"/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/>
      </c>
      <c r="AA410" s="894"/>
      <c r="AB410" s="598" t="e">
        <f t="shared" si="19"/>
        <v>#N/A</v>
      </c>
      <c r="AC410" s="205"/>
      <c r="AD410" s="205"/>
    </row>
    <row r="411" spans="1:30" ht="15.75" customHeight="1">
      <c r="A411" s="199" t="str">
        <f>IF(B411&lt;&gt;"",IF(AND(B411&gt;=_TM1,B411&lt;=_TM2,OR(TH!L411="1111",TH!M411="1111")),TH!D411,""),"")</f>
        <v/>
      </c>
      <c r="B411" s="36">
        <f t="shared" si="20"/>
        <v>1</v>
      </c>
      <c r="C411" s="190">
        <f t="shared" si="18"/>
        <v>0</v>
      </c>
      <c r="D411" s="190"/>
      <c r="E411" s="798"/>
      <c r="F411" s="191"/>
      <c r="G411" s="191"/>
      <c r="H411" s="818"/>
      <c r="I411" s="256"/>
      <c r="J411" s="256"/>
      <c r="K411" s="38"/>
      <c r="L411" s="193"/>
      <c r="M411" s="193"/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/>
      </c>
      <c r="AA411" s="894"/>
      <c r="AB411" s="598" t="e">
        <f t="shared" si="19"/>
        <v>#N/A</v>
      </c>
    </row>
    <row r="412" spans="1:30" ht="15.75" customHeight="1">
      <c r="A412" s="199" t="str">
        <f>IF(B412&lt;&gt;"",IF(AND(B412&gt;=_TM1,B412&lt;=_TM2,OR(TH!L412="1111",TH!M412="1111")),TH!D412,""),"")</f>
        <v/>
      </c>
      <c r="B412" s="36">
        <f t="shared" si="20"/>
        <v>1</v>
      </c>
      <c r="C412" s="190">
        <f t="shared" si="18"/>
        <v>0</v>
      </c>
      <c r="D412" s="190"/>
      <c r="E412" s="190"/>
      <c r="F412" s="191"/>
      <c r="G412" s="191"/>
      <c r="H412" s="192"/>
      <c r="I412" s="253"/>
      <c r="J412" s="253"/>
      <c r="K412" s="38"/>
      <c r="L412" s="193"/>
      <c r="M412" s="193"/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/>
      </c>
      <c r="AA412" s="894"/>
      <c r="AB412" s="598" t="e">
        <f t="shared" si="19"/>
        <v>#N/A</v>
      </c>
    </row>
    <row r="413" spans="1:30" s="598" customFormat="1" ht="15.75" customHeight="1">
      <c r="A413" s="199" t="str">
        <f>IF(B413&lt;&gt;"",IF(AND(B413&gt;=_TM1,B413&lt;=_TM2,OR(TH!L413="1111",TH!M413="1111")),TH!D413,""),"")</f>
        <v/>
      </c>
      <c r="B413" s="36">
        <f t="shared" si="20"/>
        <v>1</v>
      </c>
      <c r="C413" s="190">
        <f t="shared" si="18"/>
        <v>0</v>
      </c>
      <c r="D413" s="190"/>
      <c r="E413" s="190"/>
      <c r="F413" s="191"/>
      <c r="G413" s="191"/>
      <c r="H413" s="192"/>
      <c r="I413" s="253"/>
      <c r="J413" s="253"/>
      <c r="K413" s="38"/>
      <c r="L413" s="193"/>
      <c r="M413" s="193"/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/>
      </c>
      <c r="AA413" s="894"/>
      <c r="AB413" s="598" t="e">
        <f t="shared" si="19"/>
        <v>#N/A</v>
      </c>
      <c r="AC413" s="205"/>
      <c r="AD413" s="205"/>
    </row>
    <row r="414" spans="1:30" s="598" customFormat="1" ht="15.75" customHeight="1">
      <c r="A414" s="199" t="str">
        <f>IF(B414&lt;&gt;"",IF(AND(B414&gt;=_TM1,B414&lt;=_TM2,OR(TH!L414="1111",TH!M414="1111")),TH!D414,""),"")</f>
        <v/>
      </c>
      <c r="B414" s="36">
        <f t="shared" si="20"/>
        <v>1</v>
      </c>
      <c r="C414" s="190">
        <f t="shared" si="18"/>
        <v>0</v>
      </c>
      <c r="D414" s="190"/>
      <c r="E414" s="190"/>
      <c r="F414" s="191"/>
      <c r="G414" s="191"/>
      <c r="H414" s="192"/>
      <c r="I414" s="253"/>
      <c r="J414" s="253"/>
      <c r="K414" s="38"/>
      <c r="L414" s="193"/>
      <c r="M414" s="193"/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/>
      </c>
      <c r="AA414" s="894"/>
      <c r="AB414" s="598" t="e">
        <f t="shared" si="19"/>
        <v>#N/A</v>
      </c>
      <c r="AC414" s="205"/>
      <c r="AD414" s="205"/>
    </row>
    <row r="415" spans="1:30" s="598" customFormat="1" ht="15.75" customHeight="1">
      <c r="A415" s="199" t="str">
        <f>IF(B415&lt;&gt;"",IF(AND(B415&gt;=_TM1,B415&lt;=_TM2,OR(TH!L415="1111",TH!M415="1111")),TH!D415,""),"")</f>
        <v/>
      </c>
      <c r="B415" s="36">
        <f t="shared" si="20"/>
        <v>1</v>
      </c>
      <c r="C415" s="190">
        <f t="shared" si="18"/>
        <v>0</v>
      </c>
      <c r="D415" s="190"/>
      <c r="E415" s="190"/>
      <c r="F415" s="191"/>
      <c r="G415" s="191"/>
      <c r="H415" s="192"/>
      <c r="I415" s="253"/>
      <c r="J415" s="253"/>
      <c r="K415" s="38"/>
      <c r="L415" s="193"/>
      <c r="M415" s="193"/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/>
      </c>
      <c r="AA415" s="894"/>
      <c r="AB415" s="598" t="e">
        <f t="shared" si="19"/>
        <v>#N/A</v>
      </c>
      <c r="AC415" s="205"/>
      <c r="AD415" s="205"/>
    </row>
    <row r="416" spans="1:30" s="598" customFormat="1" ht="15.75" customHeight="1">
      <c r="A416" s="199" t="str">
        <f>IF(B416&lt;&gt;"",IF(AND(B416&gt;=_TM1,B416&lt;=_TM2,OR(TH!L416="1111",TH!M416="1111")),TH!D416,""),"")</f>
        <v/>
      </c>
      <c r="B416" s="36">
        <f t="shared" si="20"/>
        <v>1</v>
      </c>
      <c r="C416" s="190">
        <f t="shared" si="18"/>
        <v>0</v>
      </c>
      <c r="D416" s="190"/>
      <c r="E416" s="190"/>
      <c r="F416" s="191"/>
      <c r="G416" s="191"/>
      <c r="H416" s="192"/>
      <c r="I416" s="253"/>
      <c r="J416" s="253"/>
      <c r="K416" s="38"/>
      <c r="L416" s="193"/>
      <c r="M416" s="193"/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/>
      </c>
      <c r="AA416" s="894"/>
      <c r="AB416" s="598" t="e">
        <f t="shared" si="19"/>
        <v>#N/A</v>
      </c>
      <c r="AC416" s="205"/>
      <c r="AD416" s="205"/>
    </row>
    <row r="417" spans="1:30" s="598" customFormat="1" ht="15.75" customHeight="1">
      <c r="A417" s="199" t="str">
        <f>IF(B417&lt;&gt;"",IF(AND(B417&gt;=_TM1,B417&lt;=_TM2,OR(TH!L417="1111",TH!M417="1111")),TH!D417,""),"")</f>
        <v/>
      </c>
      <c r="B417" s="36">
        <f t="shared" si="20"/>
        <v>1</v>
      </c>
      <c r="C417" s="190">
        <f t="shared" si="18"/>
        <v>0</v>
      </c>
      <c r="D417" s="190"/>
      <c r="E417" s="190"/>
      <c r="F417" s="191"/>
      <c r="G417" s="191"/>
      <c r="H417" s="192"/>
      <c r="I417" s="253"/>
      <c r="J417" s="253"/>
      <c r="K417" s="38"/>
      <c r="L417" s="193"/>
      <c r="M417" s="193"/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/>
      </c>
      <c r="AA417" s="894"/>
      <c r="AB417" s="598" t="e">
        <f t="shared" si="19"/>
        <v>#N/A</v>
      </c>
      <c r="AC417" s="205"/>
      <c r="AD417" s="205"/>
    </row>
    <row r="418" spans="1:30" ht="15.75" customHeight="1">
      <c r="A418" s="199" t="str">
        <f>IF(B418&lt;&gt;"",IF(AND(B418&gt;=_TM1,B418&lt;=_TM2,OR(TH!L418="1111",TH!M418="1111")),TH!D418,""),"")</f>
        <v/>
      </c>
      <c r="B418" s="36">
        <f t="shared" si="20"/>
        <v>1</v>
      </c>
      <c r="C418" s="190">
        <f t="shared" si="18"/>
        <v>0</v>
      </c>
      <c r="D418" s="190"/>
      <c r="E418" s="190"/>
      <c r="F418" s="191"/>
      <c r="G418" s="191"/>
      <c r="H418" s="191"/>
      <c r="I418" s="253"/>
      <c r="J418" s="253"/>
      <c r="K418" s="38"/>
      <c r="L418" s="193"/>
      <c r="M418" s="193"/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/>
      </c>
      <c r="AA418" s="894"/>
      <c r="AB418" s="598" t="e">
        <f t="shared" si="19"/>
        <v>#N/A</v>
      </c>
    </row>
    <row r="419" spans="1:30" ht="15.75" customHeight="1">
      <c r="A419" s="199" t="str">
        <f>IF(B419&lt;&gt;"",IF(AND(B419&gt;=_TM1,B419&lt;=_TM2,OR(TH!L419="1111",TH!M419="1111")),TH!D419,""),"")</f>
        <v/>
      </c>
      <c r="B419" s="36">
        <f t="shared" si="20"/>
        <v>1</v>
      </c>
      <c r="C419" s="190">
        <f t="shared" si="18"/>
        <v>0</v>
      </c>
      <c r="D419" s="190"/>
      <c r="E419" s="190"/>
      <c r="F419" s="191"/>
      <c r="G419" s="191"/>
      <c r="H419" s="192"/>
      <c r="I419" s="253"/>
      <c r="J419" s="253"/>
      <c r="K419" s="38"/>
      <c r="L419" s="193"/>
      <c r="M419" s="193"/>
      <c r="N419" s="39" t="str">
        <f>IF(AND('331-CT'!$E$7=TH!H419,OR(L419="331",M419="331")),"331",IF(AND(OR(L419="131",M419="131"),H419='131-CT'!$E$7),"131",""))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/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IF(OR(TH!L419=TH!$V$7,M419=TH!$V$7),"x","")</f>
        <v/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IF(AND(OR(LEFT(TH!L419,2)="15",LEFT(TH!M419,2)="15"),'152-CT'!$J$8=TH!F419),"x","")</f>
        <v/>
      </c>
      <c r="Y419" s="39" t="str">
        <f>IF(AND(OR(LEFT(TH!L419,2)="15",LEFT(TH!M419,2)="15"),TK!$E$7=TH!F419),"x","")</f>
        <v/>
      </c>
      <c r="Z419" s="39" t="str">
        <f>IF(AND(B419&lt;=NKC!$N$8,B419&gt;=NKC!$M$8),"x","")</f>
        <v/>
      </c>
      <c r="AA419" s="894"/>
      <c r="AB419" s="598" t="e">
        <f t="shared" si="19"/>
        <v>#N/A</v>
      </c>
    </row>
    <row r="420" spans="1:30" ht="15.75" customHeight="1">
      <c r="A420" s="199" t="str">
        <f>IF(B420&lt;&gt;"",IF(AND(B420&gt;=_TM1,B420&lt;=_TM2,OR(TH!L420="1111",TH!M420="1111")),TH!D420,""),"")</f>
        <v/>
      </c>
      <c r="B420" s="36">
        <f t="shared" si="20"/>
        <v>1</v>
      </c>
      <c r="C420" s="190">
        <f t="shared" si="18"/>
        <v>0</v>
      </c>
      <c r="D420" s="190"/>
      <c r="E420" s="190"/>
      <c r="F420" s="191"/>
      <c r="G420" s="191"/>
      <c r="H420" s="192"/>
      <c r="I420" s="253"/>
      <c r="J420" s="253"/>
      <c r="K420" s="38"/>
      <c r="L420" s="193"/>
      <c r="M420" s="193"/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/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/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/>
      </c>
      <c r="AA420" s="894"/>
      <c r="AB420" s="598" t="e">
        <f t="shared" si="19"/>
        <v>#N/A</v>
      </c>
    </row>
    <row r="421" spans="1:30" ht="15.75" customHeight="1">
      <c r="A421" s="199" t="str">
        <f>IF(B421&lt;&gt;"",IF(AND(B421&gt;=_TM1,B421&lt;=_TM2,OR(TH!L421="1111",TH!M421="1111")),TH!D421,""),"")</f>
        <v/>
      </c>
      <c r="B421" s="36">
        <f t="shared" si="20"/>
        <v>1</v>
      </c>
      <c r="C421" s="190">
        <f t="shared" si="18"/>
        <v>0</v>
      </c>
      <c r="D421" s="190"/>
      <c r="E421" s="190"/>
      <c r="F421" s="191"/>
      <c r="G421" s="191"/>
      <c r="H421" s="192"/>
      <c r="I421" s="253"/>
      <c r="J421" s="253"/>
      <c r="K421" s="38"/>
      <c r="L421" s="193"/>
      <c r="M421" s="193"/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/>
      </c>
      <c r="AA421" s="894"/>
      <c r="AB421" s="598" t="e">
        <f t="shared" si="19"/>
        <v>#N/A</v>
      </c>
    </row>
    <row r="422" spans="1:30" s="598" customFormat="1" ht="15.75" customHeight="1">
      <c r="A422" s="199" t="str">
        <f>IF(B422&lt;&gt;"",IF(AND(B422&gt;=_TM1,B422&lt;=_TM2,OR(TH!L422="1111",TH!M422="1111")),TH!D422,""),"")</f>
        <v/>
      </c>
      <c r="B422" s="36">
        <f t="shared" si="20"/>
        <v>1</v>
      </c>
      <c r="C422" s="190">
        <f t="shared" si="18"/>
        <v>0</v>
      </c>
      <c r="D422" s="190"/>
      <c r="E422" s="190"/>
      <c r="F422" s="191"/>
      <c r="G422" s="191"/>
      <c r="H422" s="192"/>
      <c r="I422" s="253"/>
      <c r="J422" s="253"/>
      <c r="K422" s="38"/>
      <c r="L422" s="193"/>
      <c r="M422" s="193"/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/>
      </c>
      <c r="AA422" s="894"/>
      <c r="AB422" s="598" t="e">
        <f t="shared" si="19"/>
        <v>#N/A</v>
      </c>
      <c r="AC422" s="205"/>
      <c r="AD422" s="205"/>
    </row>
    <row r="423" spans="1:30" s="598" customFormat="1" ht="15.75" customHeight="1">
      <c r="A423" s="199" t="str">
        <f>IF(B423&lt;&gt;"",IF(AND(B423&gt;=_TM1,B423&lt;=_TM2,OR(TH!L423="1111",TH!M423="1111")),TH!D423,""),"")</f>
        <v/>
      </c>
      <c r="B423" s="36">
        <f t="shared" si="20"/>
        <v>1</v>
      </c>
      <c r="C423" s="190">
        <f t="shared" si="18"/>
        <v>0</v>
      </c>
      <c r="D423" s="190"/>
      <c r="E423" s="190"/>
      <c r="F423" s="191"/>
      <c r="G423" s="191"/>
      <c r="H423" s="192"/>
      <c r="I423" s="253"/>
      <c r="J423" s="253"/>
      <c r="K423" s="38"/>
      <c r="L423" s="193"/>
      <c r="M423" s="193"/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/>
      </c>
      <c r="AA423" s="894"/>
      <c r="AB423" s="598" t="e">
        <f t="shared" si="19"/>
        <v>#N/A</v>
      </c>
      <c r="AC423" s="205"/>
      <c r="AD423" s="205"/>
    </row>
    <row r="424" spans="1:30" s="598" customFormat="1" ht="15.75" customHeight="1">
      <c r="A424" s="199" t="str">
        <f>IF(B424&lt;&gt;"",IF(AND(B424&gt;=_TM1,B424&lt;=_TM2,OR(TH!L424="1111",TH!M424="1111")),TH!D424,""),"")</f>
        <v/>
      </c>
      <c r="B424" s="36">
        <f t="shared" si="20"/>
        <v>1</v>
      </c>
      <c r="C424" s="190">
        <f t="shared" si="18"/>
        <v>0</v>
      </c>
      <c r="D424" s="190"/>
      <c r="E424" s="190"/>
      <c r="F424" s="191"/>
      <c r="G424" s="191"/>
      <c r="H424" s="204"/>
      <c r="I424" s="254"/>
      <c r="J424" s="254"/>
      <c r="K424" s="38"/>
      <c r="L424" s="193"/>
      <c r="M424" s="193"/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/>
      </c>
      <c r="AA424" s="894"/>
      <c r="AB424" s="598" t="e">
        <f t="shared" si="19"/>
        <v>#N/A</v>
      </c>
      <c r="AC424" s="205"/>
      <c r="AD424" s="205"/>
    </row>
    <row r="425" spans="1:30" s="598" customFormat="1" ht="15.75" customHeight="1">
      <c r="A425" s="199" t="str">
        <f>IF(B425&lt;&gt;"",IF(AND(B425&gt;=_TM1,B425&lt;=_TM2,OR(TH!L425="1111",TH!M425="1111")),TH!D425,""),"")</f>
        <v/>
      </c>
      <c r="B425" s="36">
        <f t="shared" si="20"/>
        <v>1</v>
      </c>
      <c r="C425" s="190">
        <f t="shared" si="18"/>
        <v>0</v>
      </c>
      <c r="D425" s="190"/>
      <c r="E425" s="190"/>
      <c r="F425" s="191"/>
      <c r="G425" s="191"/>
      <c r="H425" s="192"/>
      <c r="I425" s="253"/>
      <c r="J425" s="253"/>
      <c r="K425" s="38"/>
      <c r="L425" s="193"/>
      <c r="M425" s="193"/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/>
      </c>
      <c r="AA425" s="894"/>
      <c r="AB425" s="598" t="e">
        <f t="shared" si="19"/>
        <v>#N/A</v>
      </c>
      <c r="AC425" s="205"/>
      <c r="AD425" s="205"/>
    </row>
    <row r="426" spans="1:30" s="598" customFormat="1" ht="15.75" customHeight="1">
      <c r="A426" s="199" t="str">
        <f>IF(B426&lt;&gt;"",IF(AND(B426&gt;=_TM1,B426&lt;=_TM2,OR(TH!L426="1111",TH!M426="1111")),TH!D426,""),"")</f>
        <v/>
      </c>
      <c r="B426" s="36">
        <f t="shared" si="20"/>
        <v>1</v>
      </c>
      <c r="C426" s="190">
        <f t="shared" si="18"/>
        <v>0</v>
      </c>
      <c r="D426" s="190"/>
      <c r="E426" s="190"/>
      <c r="F426" s="191"/>
      <c r="G426" s="191"/>
      <c r="H426" s="192"/>
      <c r="I426" s="253"/>
      <c r="J426" s="253"/>
      <c r="K426" s="38"/>
      <c r="L426" s="193"/>
      <c r="M426" s="193"/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/>
      </c>
      <c r="AA426" s="894"/>
      <c r="AB426" s="598" t="e">
        <f t="shared" si="19"/>
        <v>#N/A</v>
      </c>
      <c r="AC426" s="205"/>
      <c r="AD426" s="205"/>
    </row>
    <row r="427" spans="1:30" s="598" customFormat="1" ht="15.75" customHeight="1">
      <c r="A427" s="199" t="str">
        <f>IF(B427&lt;&gt;"",IF(AND(B427&gt;=_TM1,B427&lt;=_TM2,OR(TH!L427="1111",TH!M427="1111")),TH!D427,""),"")</f>
        <v/>
      </c>
      <c r="B427" s="36">
        <f t="shared" si="20"/>
        <v>1</v>
      </c>
      <c r="C427" s="190">
        <f t="shared" si="18"/>
        <v>0</v>
      </c>
      <c r="D427" s="190"/>
      <c r="E427" s="190"/>
      <c r="F427" s="191"/>
      <c r="G427" s="191"/>
      <c r="H427" s="192"/>
      <c r="I427" s="253"/>
      <c r="J427" s="253"/>
      <c r="K427" s="38"/>
      <c r="L427" s="193"/>
      <c r="M427" s="193"/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/>
      </c>
      <c r="AA427" s="894"/>
      <c r="AB427" s="598" t="e">
        <f t="shared" si="19"/>
        <v>#N/A</v>
      </c>
      <c r="AC427" s="205"/>
      <c r="AD427" s="205"/>
    </row>
    <row r="428" spans="1:30" s="598" customFormat="1" ht="15.75" customHeight="1">
      <c r="A428" s="199" t="str">
        <f>IF(B428&lt;&gt;"",IF(AND(B428&gt;=_TM1,B428&lt;=_TM2,OR(TH!L428="1111",TH!M428="1111")),TH!D428,""),"")</f>
        <v/>
      </c>
      <c r="B428" s="36">
        <f t="shared" si="20"/>
        <v>1</v>
      </c>
      <c r="C428" s="190">
        <f t="shared" si="18"/>
        <v>0</v>
      </c>
      <c r="D428" s="190"/>
      <c r="E428" s="190"/>
      <c r="F428" s="191"/>
      <c r="G428" s="191"/>
      <c r="H428" s="192"/>
      <c r="I428" s="253"/>
      <c r="J428" s="253"/>
      <c r="K428" s="38"/>
      <c r="L428" s="193"/>
      <c r="M428" s="193"/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/>
      </c>
      <c r="AA428" s="894"/>
      <c r="AB428" s="598" t="e">
        <f t="shared" si="19"/>
        <v>#N/A</v>
      </c>
      <c r="AC428" s="205"/>
      <c r="AD428" s="205"/>
    </row>
    <row r="429" spans="1:30" s="598" customFormat="1" ht="15.75" customHeight="1">
      <c r="A429" s="199" t="str">
        <f>IF(B429&lt;&gt;"",IF(AND(B429&gt;=_TM1,B429&lt;=_TM2,OR(TH!L429="1111",TH!M429="1111")),TH!D429,""),"")</f>
        <v/>
      </c>
      <c r="B429" s="36">
        <f t="shared" si="20"/>
        <v>1</v>
      </c>
      <c r="C429" s="190">
        <f t="shared" si="18"/>
        <v>0</v>
      </c>
      <c r="D429" s="190"/>
      <c r="E429" s="190"/>
      <c r="F429" s="191"/>
      <c r="G429" s="191"/>
      <c r="H429" s="192"/>
      <c r="I429" s="253"/>
      <c r="J429" s="253"/>
      <c r="K429" s="38"/>
      <c r="L429" s="193"/>
      <c r="M429" s="193"/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/>
      </c>
      <c r="AA429" s="894"/>
      <c r="AB429" s="598" t="e">
        <f t="shared" si="19"/>
        <v>#N/A</v>
      </c>
      <c r="AC429" s="205"/>
      <c r="AD429" s="205"/>
    </row>
    <row r="430" spans="1:30" s="598" customFormat="1" ht="15.75" customHeight="1">
      <c r="A430" s="199" t="str">
        <f>IF(B430&lt;&gt;"",IF(AND(B430&gt;=_TM1,B430&lt;=_TM2,OR(TH!L430="1111",TH!M430="1111")),TH!D430,""),"")</f>
        <v/>
      </c>
      <c r="B430" s="36">
        <f t="shared" si="20"/>
        <v>1</v>
      </c>
      <c r="C430" s="190">
        <f t="shared" si="18"/>
        <v>0</v>
      </c>
      <c r="D430" s="190"/>
      <c r="E430" s="190"/>
      <c r="F430" s="191"/>
      <c r="G430" s="191"/>
      <c r="H430" s="192"/>
      <c r="I430" s="253"/>
      <c r="J430" s="253"/>
      <c r="K430" s="38"/>
      <c r="L430" s="193"/>
      <c r="M430" s="193"/>
      <c r="N430" s="39" t="str">
        <f>IF(AND('331-CT'!$E$7=TH!H430,OR(L430="331",M430="331")),"331",IF(AND(OR(L430="131",M430="131"),H430='131-CT'!$E$7),"131",""))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/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IF(OR(TH!L430=TH!$V$7,M430=TH!$V$7),"x","")</f>
        <v/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IF(AND(OR(LEFT(TH!L430,2)="15",LEFT(TH!M430,2)="15"),'152-CT'!$J$8=TH!F430),"x","")</f>
        <v/>
      </c>
      <c r="Y430" s="39" t="str">
        <f>IF(AND(OR(LEFT(TH!L430,2)="15",LEFT(TH!M430,2)="15"),TK!$E$7=TH!F430),"x","")</f>
        <v/>
      </c>
      <c r="Z430" s="39" t="str">
        <f>IF(AND(B430&lt;=NKC!$N$8,B430&gt;=NKC!$M$8),"x","")</f>
        <v/>
      </c>
      <c r="AA430" s="894"/>
      <c r="AB430" s="598" t="e">
        <f t="shared" si="19"/>
        <v>#N/A</v>
      </c>
      <c r="AC430" s="205"/>
      <c r="AD430" s="205"/>
    </row>
    <row r="431" spans="1:30" s="598" customFormat="1" ht="15.75" customHeight="1">
      <c r="A431" s="199" t="str">
        <f>IF(B431&lt;&gt;"",IF(AND(B431&gt;=_TM1,B431&lt;=_TM2,OR(TH!L431="1111",TH!M431="1111")),TH!D431,""),"")</f>
        <v/>
      </c>
      <c r="B431" s="36">
        <f t="shared" si="20"/>
        <v>1</v>
      </c>
      <c r="C431" s="190">
        <f t="shared" si="18"/>
        <v>0</v>
      </c>
      <c r="D431" s="190"/>
      <c r="E431" s="190"/>
      <c r="F431" s="191"/>
      <c r="G431" s="191"/>
      <c r="H431" s="192"/>
      <c r="I431" s="253"/>
      <c r="J431" s="253"/>
      <c r="K431" s="38"/>
      <c r="L431" s="193"/>
      <c r="M431" s="193"/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/>
      </c>
      <c r="AA431" s="894"/>
      <c r="AB431" s="598" t="e">
        <f t="shared" si="19"/>
        <v>#N/A</v>
      </c>
      <c r="AC431" s="205"/>
      <c r="AD431" s="205"/>
    </row>
    <row r="432" spans="1:30" s="598" customFormat="1" ht="15.75" customHeight="1">
      <c r="A432" s="199" t="str">
        <f>IF(B432&lt;&gt;"",IF(AND(B432&gt;=_TM1,B432&lt;=_TM2,OR(TH!L432="1111",TH!M432="1111")),TH!D432,""),"")</f>
        <v/>
      </c>
      <c r="B432" s="36">
        <f t="shared" si="20"/>
        <v>1</v>
      </c>
      <c r="C432" s="190">
        <f t="shared" si="18"/>
        <v>0</v>
      </c>
      <c r="D432" s="190"/>
      <c r="E432" s="190"/>
      <c r="F432" s="191"/>
      <c r="G432" s="191"/>
      <c r="H432" s="192"/>
      <c r="I432" s="253"/>
      <c r="J432" s="253"/>
      <c r="K432" s="38"/>
      <c r="L432" s="193"/>
      <c r="M432" s="193"/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/>
      </c>
      <c r="AA432" s="894"/>
      <c r="AB432" s="598" t="e">
        <f t="shared" si="19"/>
        <v>#N/A</v>
      </c>
      <c r="AC432" s="205"/>
      <c r="AD432" s="205"/>
    </row>
    <row r="433" spans="1:30" s="598" customFormat="1" ht="15.75" customHeight="1">
      <c r="A433" s="199" t="str">
        <f>IF(B433&lt;&gt;"",IF(AND(B433&gt;=_TM1,B433&lt;=_TM2,OR(TH!L433="1111",TH!M433="1111")),TH!D433,""),"")</f>
        <v/>
      </c>
      <c r="B433" s="36">
        <f t="shared" si="20"/>
        <v>1</v>
      </c>
      <c r="C433" s="190">
        <f t="shared" si="18"/>
        <v>0</v>
      </c>
      <c r="D433" s="190"/>
      <c r="E433" s="798"/>
      <c r="F433" s="191"/>
      <c r="G433" s="191"/>
      <c r="H433" s="192"/>
      <c r="I433" s="253"/>
      <c r="J433" s="253"/>
      <c r="K433" s="38"/>
      <c r="L433" s="193"/>
      <c r="M433" s="193"/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/>
      </c>
      <c r="AA433" s="894"/>
      <c r="AB433" s="598" t="e">
        <f t="shared" si="19"/>
        <v>#N/A</v>
      </c>
      <c r="AC433" s="205"/>
      <c r="AD433" s="205"/>
    </row>
    <row r="434" spans="1:30" s="598" customFormat="1" ht="15.75" customHeight="1">
      <c r="A434" s="199" t="str">
        <f>IF(B434&lt;&gt;"",IF(AND(B434&gt;=_TM1,B434&lt;=_TM2,OR(TH!L434="1111",TH!M434="1111")),TH!D434,""),"")</f>
        <v/>
      </c>
      <c r="B434" s="36">
        <f t="shared" si="20"/>
        <v>1</v>
      </c>
      <c r="C434" s="190">
        <f t="shared" si="18"/>
        <v>0</v>
      </c>
      <c r="D434" s="190"/>
      <c r="E434" s="190"/>
      <c r="F434" s="191"/>
      <c r="G434" s="191"/>
      <c r="H434" s="204"/>
      <c r="I434" s="253"/>
      <c r="J434" s="253"/>
      <c r="K434" s="38"/>
      <c r="L434" s="193"/>
      <c r="M434" s="193"/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/>
      </c>
      <c r="AA434" s="894"/>
      <c r="AB434" s="598" t="e">
        <f t="shared" si="19"/>
        <v>#N/A</v>
      </c>
      <c r="AC434" s="205"/>
      <c r="AD434" s="205"/>
    </row>
    <row r="435" spans="1:30" s="598" customFormat="1" ht="15.75" customHeight="1">
      <c r="A435" s="199" t="str">
        <f>IF(B435&lt;&gt;"",IF(AND(B435&gt;=_TM1,B435&lt;=_TM2,OR(TH!L435="1111",TH!M435="1111")),TH!D435,""),"")</f>
        <v/>
      </c>
      <c r="B435" s="36">
        <f t="shared" si="20"/>
        <v>1</v>
      </c>
      <c r="C435" s="190">
        <f t="shared" si="18"/>
        <v>0</v>
      </c>
      <c r="D435" s="190"/>
      <c r="E435" s="190"/>
      <c r="F435" s="191"/>
      <c r="G435" s="191"/>
      <c r="H435" s="204"/>
      <c r="I435" s="254"/>
      <c r="J435" s="254"/>
      <c r="K435" s="38"/>
      <c r="L435" s="193"/>
      <c r="M435" s="193"/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/>
      </c>
      <c r="AA435" s="894"/>
      <c r="AB435" s="598" t="e">
        <f t="shared" si="19"/>
        <v>#N/A</v>
      </c>
      <c r="AC435" s="205"/>
      <c r="AD435" s="205"/>
    </row>
    <row r="436" spans="1:30" s="598" customFormat="1" ht="15.75" customHeight="1">
      <c r="A436" s="199" t="str">
        <f>IF(B436&lt;&gt;"",IF(AND(B436&gt;=_TM1,B436&lt;=_TM2,OR(TH!L436="1111",TH!M436="1111")),TH!D436,""),"")</f>
        <v/>
      </c>
      <c r="B436" s="36">
        <f t="shared" si="20"/>
        <v>1</v>
      </c>
      <c r="C436" s="190">
        <f t="shared" si="18"/>
        <v>0</v>
      </c>
      <c r="D436" s="190"/>
      <c r="E436" s="190"/>
      <c r="F436" s="893"/>
      <c r="G436" s="191"/>
      <c r="H436" s="204"/>
      <c r="I436" s="254"/>
      <c r="J436" s="254"/>
      <c r="K436" s="38"/>
      <c r="L436" s="193"/>
      <c r="M436" s="193"/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/>
      </c>
      <c r="AA436" s="894"/>
      <c r="AB436" s="598" t="e">
        <f t="shared" si="19"/>
        <v>#N/A</v>
      </c>
      <c r="AC436" s="205"/>
      <c r="AD436" s="205"/>
    </row>
    <row r="437" spans="1:30" s="598" customFormat="1" ht="15.75" customHeight="1">
      <c r="A437" s="199" t="str">
        <f>IF(B437&lt;&gt;"",IF(AND(B437&gt;=_TM1,B437&lt;=_TM2,OR(TH!L437="1111",TH!M437="1111")),TH!D437,""),"")</f>
        <v/>
      </c>
      <c r="B437" s="36">
        <f t="shared" si="20"/>
        <v>1</v>
      </c>
      <c r="C437" s="190">
        <f t="shared" ref="C437:C500" si="21">E437</f>
        <v>0</v>
      </c>
      <c r="D437" s="190"/>
      <c r="E437" s="190"/>
      <c r="F437" s="191"/>
      <c r="G437" s="191"/>
      <c r="H437" s="204"/>
      <c r="I437" s="254"/>
      <c r="J437" s="254"/>
      <c r="K437" s="38"/>
      <c r="L437" s="193"/>
      <c r="M437" s="193"/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/>
      </c>
      <c r="AA437" s="894"/>
      <c r="AB437" s="598" t="e">
        <f t="shared" si="19"/>
        <v>#N/A</v>
      </c>
      <c r="AC437" s="205"/>
      <c r="AD437" s="205"/>
    </row>
    <row r="438" spans="1:30" s="598" customFormat="1" ht="15.75" customHeight="1">
      <c r="A438" s="199" t="str">
        <f>IF(B438&lt;&gt;"",IF(AND(B438&gt;=_TM1,B438&lt;=_TM2,OR(TH!L438="1111",TH!M438="1111")),TH!D438,""),"")</f>
        <v/>
      </c>
      <c r="B438" s="36">
        <f t="shared" si="20"/>
        <v>1</v>
      </c>
      <c r="C438" s="190">
        <f t="shared" si="21"/>
        <v>0</v>
      </c>
      <c r="D438" s="190"/>
      <c r="E438" s="190"/>
      <c r="F438" s="893"/>
      <c r="G438" s="191"/>
      <c r="H438" s="204"/>
      <c r="I438" s="253"/>
      <c r="J438" s="253"/>
      <c r="K438" s="38"/>
      <c r="L438" s="193"/>
      <c r="M438" s="193"/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/>
      </c>
      <c r="AA438" s="894"/>
      <c r="AB438" s="598" t="e">
        <f t="shared" si="19"/>
        <v>#N/A</v>
      </c>
      <c r="AC438" s="205"/>
      <c r="AD438" s="205"/>
    </row>
    <row r="439" spans="1:30" s="598" customFormat="1" ht="15.75" customHeight="1">
      <c r="A439" s="199" t="str">
        <f>IF(B439&lt;&gt;"",IF(AND(B439&gt;=_TM1,B439&lt;=_TM2,OR(TH!L439="1111",TH!M439="1111")),TH!D439,""),"")</f>
        <v/>
      </c>
      <c r="B439" s="36">
        <f t="shared" si="20"/>
        <v>1</v>
      </c>
      <c r="C439" s="190">
        <f t="shared" si="21"/>
        <v>0</v>
      </c>
      <c r="D439" s="190"/>
      <c r="E439" s="190"/>
      <c r="F439" s="191"/>
      <c r="G439" s="191"/>
      <c r="H439" s="192"/>
      <c r="I439" s="253"/>
      <c r="J439" s="253"/>
      <c r="K439" s="38"/>
      <c r="L439" s="193"/>
      <c r="M439" s="193"/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/>
      </c>
      <c r="AA439" s="894"/>
      <c r="AB439" s="598" t="e">
        <f t="shared" si="19"/>
        <v>#N/A</v>
      </c>
      <c r="AC439" s="205"/>
      <c r="AD439" s="205"/>
    </row>
    <row r="440" spans="1:30" s="598" customFormat="1" ht="15.75" customHeight="1">
      <c r="A440" s="199" t="str">
        <f>IF(B440&lt;&gt;"",IF(AND(B440&gt;=_TM1,B440&lt;=_TM2,OR(TH!L440="1111",TH!M440="1111")),TH!D440,""),"")</f>
        <v/>
      </c>
      <c r="B440" s="36">
        <f t="shared" si="20"/>
        <v>1</v>
      </c>
      <c r="C440" s="190">
        <f t="shared" si="21"/>
        <v>0</v>
      </c>
      <c r="D440" s="190"/>
      <c r="E440" s="190"/>
      <c r="F440" s="191"/>
      <c r="G440" s="191"/>
      <c r="H440" s="192"/>
      <c r="I440" s="253"/>
      <c r="J440" s="253"/>
      <c r="K440" s="38"/>
      <c r="L440" s="193"/>
      <c r="M440" s="193"/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/>
      </c>
      <c r="AA440" s="894"/>
      <c r="AB440" s="598" t="e">
        <f t="shared" si="19"/>
        <v>#N/A</v>
      </c>
      <c r="AC440" s="205"/>
      <c r="AD440" s="205"/>
    </row>
    <row r="441" spans="1:30" s="598" customFormat="1" ht="15.75" customHeight="1">
      <c r="A441" s="199" t="str">
        <f>IF(B441&lt;&gt;"",IF(AND(B441&gt;=_TM1,B441&lt;=_TM2,OR(TH!L441="1111",TH!M441="1111")),TH!D441,""),"")</f>
        <v/>
      </c>
      <c r="B441" s="36">
        <f t="shared" si="20"/>
        <v>1</v>
      </c>
      <c r="C441" s="190">
        <f t="shared" si="21"/>
        <v>0</v>
      </c>
      <c r="D441" s="190"/>
      <c r="E441" s="190"/>
      <c r="F441" s="191"/>
      <c r="G441" s="191"/>
      <c r="H441" s="192"/>
      <c r="I441" s="253"/>
      <c r="J441" s="253"/>
      <c r="K441" s="38"/>
      <c r="L441" s="193"/>
      <c r="M441" s="193"/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/>
      </c>
      <c r="AA441" s="894"/>
      <c r="AB441" s="598" t="e">
        <f t="shared" si="19"/>
        <v>#N/A</v>
      </c>
      <c r="AC441" s="205"/>
      <c r="AD441" s="205"/>
    </row>
    <row r="442" spans="1:30" s="598" customFormat="1" ht="15.75" customHeight="1">
      <c r="A442" s="199" t="str">
        <f>IF(B442&lt;&gt;"",IF(AND(B442&gt;=_TM1,B442&lt;=_TM2,OR(TH!L442="1111",TH!M442="1111")),TH!D442,""),"")</f>
        <v/>
      </c>
      <c r="B442" s="36">
        <f t="shared" si="20"/>
        <v>1</v>
      </c>
      <c r="C442" s="190">
        <f t="shared" si="21"/>
        <v>0</v>
      </c>
      <c r="D442" s="190"/>
      <c r="E442" s="190"/>
      <c r="F442" s="191"/>
      <c r="G442" s="191"/>
      <c r="H442" s="192"/>
      <c r="I442" s="253"/>
      <c r="J442" s="253"/>
      <c r="K442" s="38"/>
      <c r="L442" s="193"/>
      <c r="M442" s="193"/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/>
      </c>
      <c r="AA442" s="894"/>
      <c r="AB442" s="598" t="e">
        <f t="shared" si="19"/>
        <v>#N/A</v>
      </c>
      <c r="AC442" s="205"/>
      <c r="AD442" s="205"/>
    </row>
    <row r="443" spans="1:30" s="598" customFormat="1" ht="15.75" customHeight="1">
      <c r="A443" s="199" t="str">
        <f>IF(B443&lt;&gt;"",IF(AND(B443&gt;=_TM1,B443&lt;=_TM2,OR(TH!L443="1111",TH!M443="1111")),TH!D443,""),"")</f>
        <v/>
      </c>
      <c r="B443" s="36">
        <f t="shared" si="20"/>
        <v>1</v>
      </c>
      <c r="C443" s="190">
        <f t="shared" si="21"/>
        <v>0</v>
      </c>
      <c r="D443" s="190"/>
      <c r="E443" s="190"/>
      <c r="F443" s="191"/>
      <c r="G443" s="191"/>
      <c r="H443" s="192"/>
      <c r="I443" s="253"/>
      <c r="J443" s="253"/>
      <c r="K443" s="38"/>
      <c r="L443" s="193"/>
      <c r="M443" s="193"/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/>
      </c>
      <c r="AA443" s="894"/>
      <c r="AB443" s="598" t="e">
        <f t="shared" si="19"/>
        <v>#N/A</v>
      </c>
      <c r="AC443" s="205"/>
      <c r="AD443" s="205"/>
    </row>
    <row r="444" spans="1:30" s="598" customFormat="1" ht="15.75" customHeight="1">
      <c r="A444" s="199" t="str">
        <f>IF(B444&lt;&gt;"",IF(AND(B444&gt;=_TM1,B444&lt;=_TM2,OR(TH!L444="1111",TH!M444="1111")),TH!D444,""),"")</f>
        <v/>
      </c>
      <c r="B444" s="36">
        <f t="shared" si="20"/>
        <v>1</v>
      </c>
      <c r="C444" s="190">
        <f t="shared" si="21"/>
        <v>0</v>
      </c>
      <c r="D444" s="190"/>
      <c r="E444" s="190"/>
      <c r="F444" s="191"/>
      <c r="G444" s="491"/>
      <c r="H444" s="7"/>
      <c r="I444" s="253"/>
      <c r="J444" s="253"/>
      <c r="K444" s="38"/>
      <c r="L444" s="193"/>
      <c r="M444" s="193"/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94"/>
      <c r="AB444" s="598" t="e">
        <f t="shared" si="19"/>
        <v>#N/A</v>
      </c>
      <c r="AC444" s="205"/>
      <c r="AD444" s="205"/>
    </row>
    <row r="445" spans="1:30" s="598" customFormat="1" ht="15.75" customHeight="1">
      <c r="A445" s="199" t="str">
        <f>IF(B445&lt;&gt;"",IF(AND(B445&gt;=_TM1,B445&lt;=_TM2,OR(TH!L445="1111",TH!M445="1111")),TH!D445,""),"")</f>
        <v/>
      </c>
      <c r="B445" s="36">
        <f t="shared" si="20"/>
        <v>1</v>
      </c>
      <c r="C445" s="190">
        <f t="shared" si="21"/>
        <v>0</v>
      </c>
      <c r="D445" s="190"/>
      <c r="E445" s="190"/>
      <c r="F445" s="191"/>
      <c r="G445" s="491"/>
      <c r="H445" s="7"/>
      <c r="I445" s="254"/>
      <c r="J445" s="254"/>
      <c r="K445" s="38"/>
      <c r="L445" s="193"/>
      <c r="M445" s="193"/>
      <c r="N445" s="39" t="str">
        <f>IF(AND('331-CT'!$E$7=TH!H445,OR(L445="331",M445="331")),"331",IF(AND(OR(L445="131",M445="131"),H445='131-CT'!$E$7),"131",""))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/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IF(OR(TH!L445=TH!$V$7,M445=TH!$V$7),"x","")</f>
        <v/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IF(AND(OR(LEFT(TH!L445,2)="15",LEFT(TH!M445,2)="15"),'152-CT'!$J$8=TH!F445),"x","")</f>
        <v/>
      </c>
      <c r="Y445" s="39" t="str">
        <f>IF(AND(OR(LEFT(TH!L445,2)="15",LEFT(TH!M445,2)="15"),TK!$E$7=TH!F445),"x","")</f>
        <v/>
      </c>
      <c r="Z445" s="39" t="str">
        <f>IF(AND(B445&lt;=NKC!$N$8,B445&gt;=NKC!$M$8),"x","")</f>
        <v/>
      </c>
      <c r="AA445" s="894"/>
      <c r="AB445" s="598" t="e">
        <f t="shared" si="19"/>
        <v>#N/A</v>
      </c>
      <c r="AC445" s="205"/>
      <c r="AD445" s="205"/>
    </row>
    <row r="446" spans="1:30" s="598" customFormat="1" ht="15.75" customHeight="1">
      <c r="A446" s="199" t="str">
        <f>IF(B446&lt;&gt;"",IF(AND(B446&gt;=_TM1,B446&lt;=_TM2,OR(TH!L446="1111",TH!M446="1111")),TH!D446,""),"")</f>
        <v/>
      </c>
      <c r="B446" s="36">
        <f t="shared" si="20"/>
        <v>1</v>
      </c>
      <c r="C446" s="190">
        <f t="shared" si="21"/>
        <v>0</v>
      </c>
      <c r="D446" s="190"/>
      <c r="E446" s="190"/>
      <c r="F446" s="191"/>
      <c r="G446" s="491"/>
      <c r="H446" s="7"/>
      <c r="I446" s="253"/>
      <c r="J446" s="253"/>
      <c r="K446" s="38"/>
      <c r="L446" s="193"/>
      <c r="M446" s="193"/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/>
      </c>
      <c r="AA446" s="894"/>
      <c r="AB446" s="598" t="e">
        <f t="shared" si="19"/>
        <v>#N/A</v>
      </c>
      <c r="AC446" s="205"/>
      <c r="AD446" s="205"/>
    </row>
    <row r="447" spans="1:30" s="598" customFormat="1" ht="15.75" customHeight="1">
      <c r="A447" s="199" t="str">
        <f>IF(B447&lt;&gt;"",IF(AND(B447&gt;=_TM1,B447&lt;=_TM2,OR(TH!L447="1111",TH!M447="1111")),TH!D447,""),"")</f>
        <v/>
      </c>
      <c r="B447" s="36">
        <f t="shared" si="20"/>
        <v>1</v>
      </c>
      <c r="C447" s="190">
        <f t="shared" si="21"/>
        <v>0</v>
      </c>
      <c r="D447" s="190"/>
      <c r="E447" s="190"/>
      <c r="F447" s="191"/>
      <c r="G447" s="491"/>
      <c r="H447" s="7"/>
      <c r="I447" s="253"/>
      <c r="J447" s="253"/>
      <c r="K447" s="38"/>
      <c r="L447" s="193"/>
      <c r="M447" s="193"/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94"/>
      <c r="AB447" s="598" t="e">
        <f t="shared" si="19"/>
        <v>#N/A</v>
      </c>
      <c r="AC447" s="205"/>
      <c r="AD447" s="205"/>
    </row>
    <row r="448" spans="1:30" s="598" customFormat="1" ht="15.75" customHeight="1">
      <c r="A448" s="199" t="str">
        <f>IF(B448&lt;&gt;"",IF(AND(B448&gt;=_TM1,B448&lt;=_TM2,OR(TH!L448="1111",TH!M448="1111")),TH!D448,""),"")</f>
        <v/>
      </c>
      <c r="B448" s="36">
        <f t="shared" si="20"/>
        <v>1</v>
      </c>
      <c r="C448" s="190">
        <f t="shared" si="21"/>
        <v>0</v>
      </c>
      <c r="D448" s="190"/>
      <c r="E448" s="190"/>
      <c r="F448" s="191"/>
      <c r="G448" s="491"/>
      <c r="H448" s="7"/>
      <c r="I448" s="253"/>
      <c r="J448" s="253"/>
      <c r="K448" s="38"/>
      <c r="L448" s="193"/>
      <c r="M448" s="193"/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94"/>
      <c r="AB448" s="598" t="e">
        <f t="shared" si="19"/>
        <v>#N/A</v>
      </c>
      <c r="AC448" s="205"/>
      <c r="AD448" s="205"/>
    </row>
    <row r="449" spans="1:30" s="598" customFormat="1" ht="15.75" customHeight="1">
      <c r="A449" s="199" t="str">
        <f>IF(B449&lt;&gt;"",IF(AND(B449&gt;=_TM1,B449&lt;=_TM2,OR(TH!L449="1111",TH!M449="1111")),TH!D449,""),"")</f>
        <v/>
      </c>
      <c r="B449" s="36">
        <f t="shared" si="20"/>
        <v>1</v>
      </c>
      <c r="C449" s="190">
        <f t="shared" si="21"/>
        <v>0</v>
      </c>
      <c r="D449" s="190"/>
      <c r="E449" s="190"/>
      <c r="F449" s="191"/>
      <c r="G449" s="491"/>
      <c r="H449" s="7"/>
      <c r="I449" s="253"/>
      <c r="J449" s="253"/>
      <c r="K449" s="606"/>
      <c r="L449" s="193"/>
      <c r="M449" s="193"/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94"/>
      <c r="AB449" s="598" t="e">
        <f t="shared" si="19"/>
        <v>#N/A</v>
      </c>
      <c r="AC449" s="205"/>
      <c r="AD449" s="205"/>
    </row>
    <row r="450" spans="1:30" s="598" customFormat="1" ht="15.75" customHeight="1">
      <c r="A450" s="199" t="str">
        <f>IF(B450&lt;&gt;"",IF(AND(B450&gt;=_TM1,B450&lt;=_TM2,OR(TH!L450="1111",TH!M450="1111")),TH!D450,""),"")</f>
        <v/>
      </c>
      <c r="B450" s="36">
        <f t="shared" si="20"/>
        <v>1</v>
      </c>
      <c r="C450" s="190">
        <f t="shared" si="21"/>
        <v>0</v>
      </c>
      <c r="D450" s="190"/>
      <c r="E450" s="190"/>
      <c r="F450" s="191"/>
      <c r="G450" s="491"/>
      <c r="H450" s="7"/>
      <c r="I450" s="253"/>
      <c r="J450" s="253"/>
      <c r="K450" s="38"/>
      <c r="L450" s="193"/>
      <c r="M450" s="193"/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94"/>
      <c r="AB450" s="598" t="e">
        <f t="shared" si="19"/>
        <v>#N/A</v>
      </c>
      <c r="AC450" s="205"/>
      <c r="AD450" s="205"/>
    </row>
    <row r="451" spans="1:30" s="598" customFormat="1" ht="15.75" customHeight="1">
      <c r="A451" s="199" t="str">
        <f>IF(B451&lt;&gt;"",IF(AND(B451&gt;=_TM1,B451&lt;=_TM2,OR(TH!L451="1111",TH!M451="1111")),TH!D451,""),"")</f>
        <v/>
      </c>
      <c r="B451" s="36">
        <f t="shared" si="20"/>
        <v>1</v>
      </c>
      <c r="C451" s="190">
        <f t="shared" si="21"/>
        <v>0</v>
      </c>
      <c r="D451" s="190"/>
      <c r="E451" s="190"/>
      <c r="F451" s="191"/>
      <c r="G451" s="491"/>
      <c r="H451" s="7"/>
      <c r="I451" s="253"/>
      <c r="J451" s="253"/>
      <c r="K451" s="38"/>
      <c r="L451" s="193"/>
      <c r="M451" s="193"/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94"/>
      <c r="AB451" s="598" t="e">
        <f t="shared" si="19"/>
        <v>#N/A</v>
      </c>
      <c r="AC451" s="205"/>
      <c r="AD451" s="205"/>
    </row>
    <row r="452" spans="1:30" s="598" customFormat="1" ht="15.75" customHeight="1">
      <c r="A452" s="199" t="str">
        <f>IF(B452&lt;&gt;"",IF(AND(B452&gt;=_TM1,B452&lt;=_TM2,OR(TH!L452="1111",TH!M452="1111")),TH!D452,""),"")</f>
        <v/>
      </c>
      <c r="B452" s="36">
        <f t="shared" si="20"/>
        <v>1</v>
      </c>
      <c r="C452" s="190">
        <f t="shared" si="21"/>
        <v>0</v>
      </c>
      <c r="D452" s="190"/>
      <c r="E452" s="190"/>
      <c r="F452" s="191"/>
      <c r="G452" s="491"/>
      <c r="H452" s="7"/>
      <c r="I452" s="253"/>
      <c r="J452" s="253"/>
      <c r="K452" s="38"/>
      <c r="L452" s="193"/>
      <c r="M452" s="193"/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94"/>
      <c r="AB452" s="598" t="e">
        <f t="shared" si="19"/>
        <v>#N/A</v>
      </c>
      <c r="AC452" s="205"/>
      <c r="AD452" s="205"/>
    </row>
    <row r="453" spans="1:30" s="598" customFormat="1" ht="15.75" customHeight="1">
      <c r="A453" s="199" t="str">
        <f>IF(B453&lt;&gt;"",IF(AND(B453&gt;=_TM1,B453&lt;=_TM2,OR(TH!L453="1111",TH!M453="1111")),TH!D453,""),"")</f>
        <v/>
      </c>
      <c r="B453" s="36">
        <f t="shared" si="20"/>
        <v>1</v>
      </c>
      <c r="C453" s="190">
        <f t="shared" si="21"/>
        <v>0</v>
      </c>
      <c r="D453" s="190"/>
      <c r="E453" s="190"/>
      <c r="F453" s="191"/>
      <c r="G453" s="491"/>
      <c r="H453" s="7"/>
      <c r="I453" s="253"/>
      <c r="J453" s="253"/>
      <c r="K453" s="38"/>
      <c r="L453" s="193"/>
      <c r="M453" s="193"/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94"/>
      <c r="AB453" s="598" t="e">
        <f t="shared" si="19"/>
        <v>#N/A</v>
      </c>
      <c r="AC453" s="205"/>
      <c r="AD453" s="205"/>
    </row>
    <row r="454" spans="1:30" s="598" customFormat="1" ht="15.75" customHeight="1">
      <c r="A454" s="199" t="str">
        <f>IF(B454&lt;&gt;"",IF(AND(B454&gt;=_TM1,B454&lt;=_TM2,OR(TH!L454="1111",TH!M454="1111")),TH!D454,""),"")</f>
        <v/>
      </c>
      <c r="B454" s="36">
        <f t="shared" si="20"/>
        <v>1</v>
      </c>
      <c r="C454" s="190">
        <f t="shared" si="21"/>
        <v>0</v>
      </c>
      <c r="D454" s="190"/>
      <c r="E454" s="190"/>
      <c r="F454" s="191"/>
      <c r="G454" s="491"/>
      <c r="H454" s="7"/>
      <c r="I454" s="254"/>
      <c r="J454" s="254"/>
      <c r="K454" s="606"/>
      <c r="L454" s="193"/>
      <c r="M454" s="193"/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94"/>
      <c r="AB454" s="598" t="e">
        <f t="shared" si="19"/>
        <v>#N/A</v>
      </c>
      <c r="AC454" s="205"/>
      <c r="AD454" s="205"/>
    </row>
    <row r="455" spans="1:30" ht="15.75" customHeight="1">
      <c r="A455" s="199" t="str">
        <f>IF(B455&lt;&gt;"",IF(AND(B455&gt;=_TM1,B455&lt;=_TM2,OR(TH!L455="1111",TH!M455="1111")),TH!D455,""),"")</f>
        <v/>
      </c>
      <c r="B455" s="36">
        <f t="shared" si="20"/>
        <v>1</v>
      </c>
      <c r="C455" s="190">
        <f t="shared" si="21"/>
        <v>0</v>
      </c>
      <c r="D455" s="190"/>
      <c r="E455" s="190"/>
      <c r="F455" s="191"/>
      <c r="G455" s="491"/>
      <c r="H455" s="7"/>
      <c r="I455" s="254"/>
      <c r="J455" s="254"/>
      <c r="K455" s="38"/>
      <c r="L455" s="193"/>
      <c r="M455" s="193"/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94"/>
      <c r="AB455" s="598" t="e">
        <f t="shared" si="19"/>
        <v>#N/A</v>
      </c>
    </row>
    <row r="456" spans="1:30" ht="15.75" customHeight="1">
      <c r="A456" s="199" t="str">
        <f>IF(B456&lt;&gt;"",IF(AND(B456&gt;=_TM1,B456&lt;=_TM2,OR(TH!L456="1111",TH!M456="1111")),TH!D456,""),"")</f>
        <v/>
      </c>
      <c r="B456" s="36">
        <f t="shared" si="20"/>
        <v>1</v>
      </c>
      <c r="C456" s="190">
        <f t="shared" si="21"/>
        <v>0</v>
      </c>
      <c r="D456" s="190"/>
      <c r="E456" s="190"/>
      <c r="F456" s="191"/>
      <c r="G456" s="491"/>
      <c r="H456" s="7"/>
      <c r="I456" s="253"/>
      <c r="J456" s="253"/>
      <c r="K456" s="38"/>
      <c r="L456" s="193"/>
      <c r="M456" s="193"/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94"/>
      <c r="AB456" s="598" t="e">
        <f t="shared" si="19"/>
        <v>#N/A</v>
      </c>
    </row>
    <row r="457" spans="1:30" s="598" customFormat="1" ht="15.75" customHeight="1">
      <c r="A457" s="199" t="str">
        <f>IF(B457&lt;&gt;"",IF(AND(B457&gt;=_TM1,B457&lt;=_TM2,OR(TH!L457="1111",TH!M457="1111")),TH!D457,""),"")</f>
        <v/>
      </c>
      <c r="B457" s="36">
        <f t="shared" si="20"/>
        <v>1</v>
      </c>
      <c r="C457" s="190">
        <f t="shared" si="21"/>
        <v>0</v>
      </c>
      <c r="D457" s="190"/>
      <c r="E457" s="190"/>
      <c r="F457" s="191"/>
      <c r="G457" s="491"/>
      <c r="H457" s="7"/>
      <c r="I457" s="253"/>
      <c r="J457" s="253"/>
      <c r="K457" s="38"/>
      <c r="L457" s="193"/>
      <c r="M457" s="193"/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94"/>
      <c r="AB457" s="598" t="e">
        <f t="shared" si="19"/>
        <v>#N/A</v>
      </c>
      <c r="AC457" s="205"/>
      <c r="AD457" s="205"/>
    </row>
    <row r="458" spans="1:30" s="598" customFormat="1" ht="15.75" customHeight="1">
      <c r="A458" s="199" t="str">
        <f>IF(B458&lt;&gt;"",IF(AND(B458&gt;=_TM1,B458&lt;=_TM2,OR(TH!L458="1111",TH!M458="1111")),TH!D458,""),"")</f>
        <v/>
      </c>
      <c r="B458" s="36">
        <f t="shared" si="20"/>
        <v>1</v>
      </c>
      <c r="C458" s="190">
        <f t="shared" si="21"/>
        <v>0</v>
      </c>
      <c r="D458" s="190"/>
      <c r="E458" s="190"/>
      <c r="F458" s="191"/>
      <c r="G458" s="491"/>
      <c r="H458" s="7"/>
      <c r="I458" s="253"/>
      <c r="J458" s="253"/>
      <c r="K458" s="38"/>
      <c r="L458" s="193"/>
      <c r="M458" s="193"/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94"/>
      <c r="AB458" s="598" t="e">
        <f t="shared" si="19"/>
        <v>#N/A</v>
      </c>
      <c r="AC458" s="205"/>
      <c r="AD458" s="205"/>
    </row>
    <row r="459" spans="1:30" s="598" customFormat="1" ht="15.75" customHeight="1">
      <c r="A459" s="199" t="str">
        <f>IF(B459&lt;&gt;"",IF(AND(B459&gt;=_TM1,B459&lt;=_TM2,OR(TH!L459="1111",TH!M459="1111")),TH!D459,""),"")</f>
        <v/>
      </c>
      <c r="B459" s="36">
        <f t="shared" si="20"/>
        <v>1</v>
      </c>
      <c r="C459" s="190">
        <f t="shared" si="21"/>
        <v>0</v>
      </c>
      <c r="D459" s="190"/>
      <c r="E459" s="190"/>
      <c r="F459" s="191"/>
      <c r="G459" s="491"/>
      <c r="H459" s="7"/>
      <c r="I459" s="253"/>
      <c r="J459" s="253"/>
      <c r="K459" s="38"/>
      <c r="L459" s="193"/>
      <c r="M459" s="193"/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94"/>
      <c r="AB459" s="598" t="e">
        <f t="shared" si="19"/>
        <v>#N/A</v>
      </c>
      <c r="AC459" s="205"/>
      <c r="AD459" s="205"/>
    </row>
    <row r="460" spans="1:30" s="598" customFormat="1" ht="15.75" customHeight="1">
      <c r="A460" s="199" t="str">
        <f>IF(B460&lt;&gt;"",IF(AND(B460&gt;=_TM1,B460&lt;=_TM2,OR(TH!L460="1111",TH!M460="1111")),TH!D460,""),"")</f>
        <v/>
      </c>
      <c r="B460" s="36">
        <f t="shared" si="20"/>
        <v>1</v>
      </c>
      <c r="C460" s="190">
        <f t="shared" si="21"/>
        <v>0</v>
      </c>
      <c r="D460" s="190"/>
      <c r="E460" s="190"/>
      <c r="F460" s="191"/>
      <c r="G460" s="491"/>
      <c r="H460" s="7"/>
      <c r="I460" s="253"/>
      <c r="J460" s="253"/>
      <c r="K460" s="38"/>
      <c r="L460" s="193"/>
      <c r="M460" s="193"/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94"/>
      <c r="AB460" s="598" t="e">
        <f t="shared" ref="AB460:AB523" si="22">IF(VLOOKUP(H460,DS_131,1,0)&lt;&gt;"","","x")</f>
        <v>#N/A</v>
      </c>
      <c r="AC460" s="205"/>
      <c r="AD460" s="205"/>
    </row>
    <row r="461" spans="1:30" s="598" customFormat="1" ht="15.75" customHeight="1">
      <c r="A461" s="199" t="str">
        <f>IF(B461&lt;&gt;"",IF(AND(B461&gt;=_TM1,B461&lt;=_TM2,OR(TH!L461="1111",TH!M461="1111")),TH!D461,""),"")</f>
        <v/>
      </c>
      <c r="B461" s="36">
        <f t="shared" si="20"/>
        <v>1</v>
      </c>
      <c r="C461" s="190">
        <f t="shared" si="21"/>
        <v>0</v>
      </c>
      <c r="D461" s="190"/>
      <c r="E461" s="190"/>
      <c r="F461" s="191"/>
      <c r="G461" s="491"/>
      <c r="H461" s="7"/>
      <c r="I461" s="253"/>
      <c r="J461" s="253"/>
      <c r="K461" s="38"/>
      <c r="L461" s="193"/>
      <c r="M461" s="193"/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94"/>
      <c r="AB461" s="598" t="e">
        <f t="shared" si="22"/>
        <v>#N/A</v>
      </c>
      <c r="AC461" s="205"/>
      <c r="AD461" s="205"/>
    </row>
    <row r="462" spans="1:30" ht="15.75" customHeight="1">
      <c r="A462" s="199" t="str">
        <f>IF(B462&lt;&gt;"",IF(AND(B462&gt;=_TM1,B462&lt;=_TM2,OR(TH!L462="1111",TH!M462="1111")),TH!D462,""),"")</f>
        <v/>
      </c>
      <c r="B462" s="36">
        <f t="shared" si="20"/>
        <v>1</v>
      </c>
      <c r="C462" s="190">
        <f t="shared" si="21"/>
        <v>0</v>
      </c>
      <c r="D462" s="190"/>
      <c r="E462" s="190"/>
      <c r="F462" s="191"/>
      <c r="G462" s="491"/>
      <c r="H462" s="7"/>
      <c r="I462" s="253"/>
      <c r="J462" s="253"/>
      <c r="K462" s="606"/>
      <c r="L462" s="193"/>
      <c r="M462" s="193"/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94"/>
      <c r="AB462" s="598" t="e">
        <f t="shared" si="22"/>
        <v>#N/A</v>
      </c>
    </row>
    <row r="463" spans="1:30" ht="15.75" customHeight="1">
      <c r="A463" s="199" t="str">
        <f>IF(B463&lt;&gt;"",IF(AND(B463&gt;=_TM1,B463&lt;=_TM2,OR(TH!L463="1111",TH!M463="1111")),TH!D463,""),"")</f>
        <v/>
      </c>
      <c r="B463" s="36">
        <f t="shared" si="20"/>
        <v>1</v>
      </c>
      <c r="C463" s="190">
        <f t="shared" si="21"/>
        <v>0</v>
      </c>
      <c r="D463" s="190"/>
      <c r="E463" s="190"/>
      <c r="F463" s="191"/>
      <c r="G463" s="491"/>
      <c r="H463" s="7"/>
      <c r="I463" s="253"/>
      <c r="J463" s="253"/>
      <c r="K463" s="38"/>
      <c r="L463" s="193"/>
      <c r="M463" s="193"/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94"/>
      <c r="AB463" s="598" t="e">
        <f t="shared" si="22"/>
        <v>#N/A</v>
      </c>
    </row>
    <row r="464" spans="1:30" ht="15.75" customHeight="1">
      <c r="A464" s="199" t="str">
        <f>IF(B464&lt;&gt;"",IF(AND(B464&gt;=_TM1,B464&lt;=_TM2,OR(TH!L464="1111",TH!M464="1111")),TH!D464,""),"")</f>
        <v/>
      </c>
      <c r="B464" s="36">
        <f t="shared" si="20"/>
        <v>1</v>
      </c>
      <c r="C464" s="190">
        <f t="shared" si="21"/>
        <v>0</v>
      </c>
      <c r="D464" s="190"/>
      <c r="E464" s="190"/>
      <c r="F464" s="191"/>
      <c r="G464" s="491"/>
      <c r="H464" s="7"/>
      <c r="I464" s="253"/>
      <c r="J464" s="253"/>
      <c r="K464" s="38"/>
      <c r="L464" s="193"/>
      <c r="M464" s="193"/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94"/>
      <c r="AB464" s="598" t="e">
        <f t="shared" si="22"/>
        <v>#N/A</v>
      </c>
    </row>
    <row r="465" spans="1:30" ht="15.75" customHeight="1">
      <c r="A465" s="199" t="str">
        <f>IF(B465&lt;&gt;"",IF(AND(B465&gt;=_TM1,B465&lt;=_TM2,OR(TH!L465="1111",TH!M465="1111")),TH!D465,""),"")</f>
        <v/>
      </c>
      <c r="B465" s="36">
        <f t="shared" si="20"/>
        <v>1</v>
      </c>
      <c r="C465" s="190">
        <f t="shared" si="21"/>
        <v>0</v>
      </c>
      <c r="D465" s="190"/>
      <c r="E465" s="190"/>
      <c r="F465" s="191"/>
      <c r="G465" s="491"/>
      <c r="H465" s="7"/>
      <c r="I465" s="253"/>
      <c r="J465" s="253"/>
      <c r="K465" s="38"/>
      <c r="L465" s="193"/>
      <c r="M465" s="193"/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94"/>
      <c r="AB465" s="598" t="e">
        <f t="shared" si="22"/>
        <v>#N/A</v>
      </c>
    </row>
    <row r="466" spans="1:30" s="598" customFormat="1" ht="15.75" customHeight="1">
      <c r="A466" s="199" t="str">
        <f>IF(B466&lt;&gt;"",IF(AND(B466&gt;=_TM1,B466&lt;=_TM2,OR(TH!L466="1111",TH!M466="1111")),TH!D466,""),"")</f>
        <v/>
      </c>
      <c r="B466" s="36">
        <f t="shared" si="20"/>
        <v>1</v>
      </c>
      <c r="C466" s="190">
        <f t="shared" si="21"/>
        <v>0</v>
      </c>
      <c r="D466" s="190"/>
      <c r="E466" s="190"/>
      <c r="F466" s="191"/>
      <c r="G466" s="491"/>
      <c r="H466" s="7"/>
      <c r="I466" s="253"/>
      <c r="J466" s="253"/>
      <c r="K466" s="38"/>
      <c r="L466" s="193"/>
      <c r="M466" s="193"/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94"/>
      <c r="AB466" s="598" t="e">
        <f t="shared" si="22"/>
        <v>#N/A</v>
      </c>
      <c r="AC466" s="205"/>
      <c r="AD466" s="205"/>
    </row>
    <row r="467" spans="1:30" s="598" customFormat="1" ht="15.75" customHeight="1">
      <c r="A467" s="199" t="str">
        <f>IF(B467&lt;&gt;"",IF(AND(B467&gt;=_TM1,B467&lt;=_TM2,OR(TH!L467="1111",TH!M467="1111")),TH!D467,""),"")</f>
        <v/>
      </c>
      <c r="B467" s="36">
        <f t="shared" si="20"/>
        <v>1</v>
      </c>
      <c r="C467" s="190">
        <f t="shared" si="21"/>
        <v>0</v>
      </c>
      <c r="D467" s="190"/>
      <c r="E467" s="190"/>
      <c r="F467" s="191"/>
      <c r="G467" s="491"/>
      <c r="H467" s="7"/>
      <c r="I467" s="253"/>
      <c r="J467" s="253"/>
      <c r="K467" s="38"/>
      <c r="L467" s="193"/>
      <c r="M467" s="193"/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94"/>
      <c r="AB467" s="598" t="e">
        <f t="shared" si="22"/>
        <v>#N/A</v>
      </c>
      <c r="AC467" s="205"/>
      <c r="AD467" s="205"/>
    </row>
    <row r="468" spans="1:30" s="598" customFormat="1" ht="15.75" customHeight="1">
      <c r="A468" s="199" t="str">
        <f>IF(B468&lt;&gt;"",IF(AND(B468&gt;=_TM1,B468&lt;=_TM2,OR(TH!L468="1111",TH!M468="1111")),TH!D468,""),"")</f>
        <v/>
      </c>
      <c r="B468" s="36">
        <f t="shared" si="20"/>
        <v>1</v>
      </c>
      <c r="C468" s="190">
        <f t="shared" si="21"/>
        <v>0</v>
      </c>
      <c r="D468" s="190"/>
      <c r="E468" s="190"/>
      <c r="F468" s="191"/>
      <c r="G468" s="491"/>
      <c r="H468" s="7"/>
      <c r="I468" s="253"/>
      <c r="J468" s="253"/>
      <c r="K468" s="38"/>
      <c r="L468" s="193"/>
      <c r="M468" s="193"/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94"/>
      <c r="AB468" s="598" t="e">
        <f t="shared" si="22"/>
        <v>#N/A</v>
      </c>
      <c r="AC468" s="205"/>
      <c r="AD468" s="205"/>
    </row>
    <row r="469" spans="1:30" s="598" customFormat="1" ht="15.75" customHeight="1">
      <c r="A469" s="199" t="str">
        <f>IF(B469&lt;&gt;"",IF(AND(B469&gt;=_TM1,B469&lt;=_TM2,OR(TH!L469="1111",TH!M469="1111")),TH!D469,""),"")</f>
        <v/>
      </c>
      <c r="B469" s="36">
        <f t="shared" si="20"/>
        <v>1</v>
      </c>
      <c r="C469" s="190">
        <f t="shared" si="21"/>
        <v>0</v>
      </c>
      <c r="D469" s="190"/>
      <c r="E469" s="190"/>
      <c r="F469" s="191"/>
      <c r="G469" s="491"/>
      <c r="H469" s="7"/>
      <c r="I469" s="253"/>
      <c r="J469" s="253"/>
      <c r="K469" s="38"/>
      <c r="L469" s="193"/>
      <c r="M469" s="193"/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94"/>
      <c r="AB469" s="598" t="e">
        <f t="shared" si="22"/>
        <v>#N/A</v>
      </c>
      <c r="AC469" s="205"/>
      <c r="AD469" s="205"/>
    </row>
    <row r="470" spans="1:30" s="598" customFormat="1" ht="15.75" customHeight="1">
      <c r="A470" s="199" t="str">
        <f>IF(B470&lt;&gt;"",IF(AND(B470&gt;=_TM1,B470&lt;=_TM2,OR(TH!L470="1111",TH!M470="1111")),TH!D470,""),"")</f>
        <v/>
      </c>
      <c r="B470" s="36">
        <f t="shared" si="20"/>
        <v>1</v>
      </c>
      <c r="C470" s="190">
        <f t="shared" si="21"/>
        <v>0</v>
      </c>
      <c r="D470" s="190"/>
      <c r="E470" s="190"/>
      <c r="F470" s="191"/>
      <c r="G470" s="491"/>
      <c r="H470" s="7"/>
      <c r="I470" s="253"/>
      <c r="J470" s="253"/>
      <c r="K470" s="606"/>
      <c r="L470" s="193"/>
      <c r="M470" s="193"/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94"/>
      <c r="AB470" s="598" t="e">
        <f t="shared" si="22"/>
        <v>#N/A</v>
      </c>
      <c r="AC470" s="205"/>
      <c r="AD470" s="205"/>
    </row>
    <row r="471" spans="1:30" s="598" customFormat="1" ht="15.75" customHeight="1">
      <c r="A471" s="199" t="str">
        <f>IF(B471&lt;&gt;"",IF(AND(B471&gt;=_TM1,B471&lt;=_TM2,OR(TH!L471="1111",TH!M471="1111")),TH!D471,""),"")</f>
        <v/>
      </c>
      <c r="B471" s="36">
        <f t="shared" si="20"/>
        <v>1</v>
      </c>
      <c r="C471" s="190">
        <f t="shared" si="21"/>
        <v>0</v>
      </c>
      <c r="D471" s="190"/>
      <c r="E471" s="190"/>
      <c r="F471" s="191"/>
      <c r="G471" s="491"/>
      <c r="H471" s="7"/>
      <c r="I471" s="253"/>
      <c r="J471" s="253"/>
      <c r="K471" s="38"/>
      <c r="L471" s="193"/>
      <c r="M471" s="193"/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94"/>
      <c r="AB471" s="598" t="e">
        <f t="shared" si="22"/>
        <v>#N/A</v>
      </c>
      <c r="AC471" s="205"/>
      <c r="AD471" s="205"/>
    </row>
    <row r="472" spans="1:30" s="598" customFormat="1" ht="15.75" customHeight="1">
      <c r="A472" s="199" t="str">
        <f>IF(B472&lt;&gt;"",IF(AND(B472&gt;=_TM1,B472&lt;=_TM2,OR(TH!L472="1111",TH!M472="1111")),TH!D472,""),"")</f>
        <v/>
      </c>
      <c r="B472" s="36">
        <f t="shared" si="20"/>
        <v>1</v>
      </c>
      <c r="C472" s="190">
        <f t="shared" si="21"/>
        <v>0</v>
      </c>
      <c r="D472" s="190"/>
      <c r="E472" s="190"/>
      <c r="F472" s="191"/>
      <c r="G472" s="491"/>
      <c r="H472" s="7"/>
      <c r="I472" s="253"/>
      <c r="J472" s="253"/>
      <c r="K472" s="38"/>
      <c r="L472" s="193"/>
      <c r="M472" s="193"/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94"/>
      <c r="AB472" s="598" t="e">
        <f t="shared" si="22"/>
        <v>#N/A</v>
      </c>
      <c r="AC472" s="205"/>
      <c r="AD472" s="205"/>
    </row>
    <row r="473" spans="1:30" s="598" customFormat="1" ht="15.75" customHeight="1">
      <c r="A473" s="199" t="str">
        <f>IF(B473&lt;&gt;"",IF(AND(B473&gt;=_TM1,B473&lt;=_TM2,OR(TH!L473="1111",TH!M473="1111")),TH!D473,""),"")</f>
        <v/>
      </c>
      <c r="B473" s="36">
        <f t="shared" ref="B473:B536" si="23">IF(C473&lt;&gt;"",MONTH(C473),"")</f>
        <v>1</v>
      </c>
      <c r="C473" s="190">
        <f t="shared" si="21"/>
        <v>0</v>
      </c>
      <c r="D473" s="190"/>
      <c r="E473" s="190"/>
      <c r="F473" s="191"/>
      <c r="G473" s="491"/>
      <c r="H473" s="7"/>
      <c r="I473" s="253"/>
      <c r="J473" s="253"/>
      <c r="K473" s="38"/>
      <c r="L473" s="193"/>
      <c r="M473" s="193"/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94"/>
      <c r="AB473" s="598" t="e">
        <f t="shared" si="22"/>
        <v>#N/A</v>
      </c>
      <c r="AC473" s="205"/>
      <c r="AD473" s="205"/>
    </row>
    <row r="474" spans="1:30" s="598" customFormat="1" ht="15.75" customHeight="1">
      <c r="A474" s="199" t="str">
        <f>IF(B474&lt;&gt;"",IF(AND(B474&gt;=_TM1,B474&lt;=_TM2,OR(TH!L474="1111",TH!M474="1111")),TH!D474,""),"")</f>
        <v/>
      </c>
      <c r="B474" s="36">
        <f t="shared" si="23"/>
        <v>1</v>
      </c>
      <c r="C474" s="190">
        <f t="shared" si="21"/>
        <v>0</v>
      </c>
      <c r="D474" s="190"/>
      <c r="E474" s="190"/>
      <c r="F474" s="191"/>
      <c r="G474" s="491"/>
      <c r="H474" s="7"/>
      <c r="I474" s="253"/>
      <c r="J474" s="253"/>
      <c r="K474" s="38"/>
      <c r="L474" s="193"/>
      <c r="M474" s="193"/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94"/>
      <c r="AB474" s="598" t="e">
        <f t="shared" si="22"/>
        <v>#N/A</v>
      </c>
      <c r="AC474" s="205"/>
      <c r="AD474" s="205"/>
    </row>
    <row r="475" spans="1:30" s="598" customFormat="1" ht="15.75" customHeight="1">
      <c r="A475" s="199" t="str">
        <f>IF(B475&lt;&gt;"",IF(AND(B475&gt;=_TM1,B475&lt;=_TM2,OR(TH!L475="1111",TH!M475="1111")),TH!D475,""),"")</f>
        <v/>
      </c>
      <c r="B475" s="36">
        <f t="shared" si="23"/>
        <v>1</v>
      </c>
      <c r="C475" s="190">
        <f t="shared" si="21"/>
        <v>0</v>
      </c>
      <c r="D475" s="190"/>
      <c r="E475" s="190"/>
      <c r="F475" s="191"/>
      <c r="G475" s="491"/>
      <c r="H475" s="7"/>
      <c r="I475" s="253"/>
      <c r="J475" s="253"/>
      <c r="K475" s="606"/>
      <c r="L475" s="193"/>
      <c r="M475" s="193"/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94"/>
      <c r="AB475" s="598" t="e">
        <f t="shared" si="22"/>
        <v>#N/A</v>
      </c>
      <c r="AC475" s="205"/>
      <c r="AD475" s="205"/>
    </row>
    <row r="476" spans="1:30" s="598" customFormat="1" ht="15.75" customHeight="1">
      <c r="A476" s="199" t="str">
        <f>IF(B476&lt;&gt;"",IF(AND(B476&gt;=_TM1,B476&lt;=_TM2,OR(TH!L476="1111",TH!M476="1111")),TH!D476,""),"")</f>
        <v/>
      </c>
      <c r="B476" s="36">
        <f t="shared" si="23"/>
        <v>1</v>
      </c>
      <c r="C476" s="190">
        <f t="shared" si="21"/>
        <v>0</v>
      </c>
      <c r="D476" s="190"/>
      <c r="E476" s="190"/>
      <c r="F476" s="191"/>
      <c r="G476" s="491"/>
      <c r="H476" s="7"/>
      <c r="I476" s="253"/>
      <c r="J476" s="253"/>
      <c r="K476" s="38"/>
      <c r="L476" s="193"/>
      <c r="M476" s="193"/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94"/>
      <c r="AB476" s="598" t="e">
        <f t="shared" si="22"/>
        <v>#N/A</v>
      </c>
      <c r="AC476" s="205"/>
      <c r="AD476" s="205"/>
    </row>
    <row r="477" spans="1:30" s="598" customFormat="1" ht="15.75" customHeight="1">
      <c r="A477" s="199" t="str">
        <f>IF(B477&lt;&gt;"",IF(AND(B477&gt;=_TM1,B477&lt;=_TM2,OR(TH!L477="1111",TH!M477="1111")),TH!D477,""),"")</f>
        <v/>
      </c>
      <c r="B477" s="36">
        <f t="shared" si="23"/>
        <v>1</v>
      </c>
      <c r="C477" s="190">
        <f t="shared" si="21"/>
        <v>0</v>
      </c>
      <c r="D477" s="190"/>
      <c r="E477" s="190"/>
      <c r="F477" s="191"/>
      <c r="G477" s="491"/>
      <c r="H477" s="7"/>
      <c r="I477" s="253"/>
      <c r="J477" s="253"/>
      <c r="K477" s="606"/>
      <c r="L477" s="193"/>
      <c r="M477" s="193"/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94"/>
      <c r="AB477" s="598" t="e">
        <f t="shared" si="22"/>
        <v>#N/A</v>
      </c>
      <c r="AC477" s="205"/>
      <c r="AD477" s="205"/>
    </row>
    <row r="478" spans="1:30" s="598" customFormat="1" ht="15.75" customHeight="1">
      <c r="A478" s="199" t="str">
        <f>IF(B478&lt;&gt;"",IF(AND(B478&gt;=_TM1,B478&lt;=_TM2,OR(TH!L478="1111",TH!M478="1111")),TH!D478,""),"")</f>
        <v/>
      </c>
      <c r="B478" s="36">
        <f t="shared" si="23"/>
        <v>1</v>
      </c>
      <c r="C478" s="190">
        <f t="shared" si="21"/>
        <v>0</v>
      </c>
      <c r="D478" s="190"/>
      <c r="E478" s="190"/>
      <c r="F478" s="191"/>
      <c r="G478" s="491"/>
      <c r="H478" s="7"/>
      <c r="I478" s="253"/>
      <c r="J478" s="253"/>
      <c r="K478" s="38"/>
      <c r="L478" s="193"/>
      <c r="M478" s="193"/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94"/>
      <c r="AB478" s="598" t="e">
        <f t="shared" si="22"/>
        <v>#N/A</v>
      </c>
      <c r="AC478" s="205"/>
      <c r="AD478" s="205"/>
    </row>
    <row r="479" spans="1:30" s="598" customFormat="1" ht="15.75" customHeight="1">
      <c r="A479" s="199" t="str">
        <f>IF(B479&lt;&gt;"",IF(AND(B479&gt;=_TM1,B479&lt;=_TM2,OR(TH!L479="1111",TH!M479="1111")),TH!D479,""),"")</f>
        <v/>
      </c>
      <c r="B479" s="36">
        <f t="shared" si="23"/>
        <v>1</v>
      </c>
      <c r="C479" s="190">
        <f t="shared" si="21"/>
        <v>0</v>
      </c>
      <c r="D479" s="190"/>
      <c r="E479" s="190"/>
      <c r="F479" s="191"/>
      <c r="G479" s="491"/>
      <c r="H479" s="7"/>
      <c r="I479" s="253"/>
      <c r="J479" s="253"/>
      <c r="K479" s="606"/>
      <c r="L479" s="193"/>
      <c r="M479" s="193"/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94"/>
      <c r="AB479" s="598" t="e">
        <f t="shared" si="22"/>
        <v>#N/A</v>
      </c>
      <c r="AC479" s="205"/>
      <c r="AD479" s="205"/>
    </row>
    <row r="480" spans="1:30" s="598" customFormat="1" ht="15.75" customHeight="1">
      <c r="A480" s="199" t="str">
        <f>IF(B480&lt;&gt;"",IF(AND(B480&gt;=_TM1,B480&lt;=_TM2,OR(TH!L480="1111",TH!M480="1111")),TH!D480,""),"")</f>
        <v/>
      </c>
      <c r="B480" s="36">
        <f t="shared" si="23"/>
        <v>1</v>
      </c>
      <c r="C480" s="190">
        <f t="shared" si="21"/>
        <v>0</v>
      </c>
      <c r="D480" s="190"/>
      <c r="E480" s="190"/>
      <c r="F480" s="191"/>
      <c r="G480" s="491"/>
      <c r="H480" s="7"/>
      <c r="I480" s="253"/>
      <c r="J480" s="253"/>
      <c r="K480" s="38"/>
      <c r="L480" s="193"/>
      <c r="M480" s="193"/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94"/>
      <c r="AB480" s="598" t="e">
        <f t="shared" si="22"/>
        <v>#N/A</v>
      </c>
      <c r="AC480" s="205"/>
      <c r="AD480" s="205"/>
    </row>
    <row r="481" spans="1:30" s="598" customFormat="1" ht="15.75" customHeight="1">
      <c r="A481" s="199" t="str">
        <f>IF(B481&lt;&gt;"",IF(AND(B481&gt;=_TM1,B481&lt;=_TM2,OR(TH!L481="1111",TH!M481="1111")),TH!D481,""),"")</f>
        <v/>
      </c>
      <c r="B481" s="36">
        <f t="shared" si="23"/>
        <v>1</v>
      </c>
      <c r="C481" s="190">
        <f t="shared" si="21"/>
        <v>0</v>
      </c>
      <c r="D481" s="190"/>
      <c r="E481" s="190"/>
      <c r="F481" s="191"/>
      <c r="G481" s="491"/>
      <c r="H481" s="7"/>
      <c r="I481" s="253"/>
      <c r="J481" s="253"/>
      <c r="K481" s="38"/>
      <c r="L481" s="193"/>
      <c r="M481" s="193"/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94"/>
      <c r="AB481" s="598" t="e">
        <f t="shared" si="22"/>
        <v>#N/A</v>
      </c>
      <c r="AC481" s="205"/>
      <c r="AD481" s="205"/>
    </row>
    <row r="482" spans="1:30" s="598" customFormat="1" ht="15.75" customHeight="1">
      <c r="A482" s="199" t="str">
        <f>IF(B482&lt;&gt;"",IF(AND(B482&gt;=_TM1,B482&lt;=_TM2,OR(TH!L482="1111",TH!M482="1111")),TH!D482,""),"")</f>
        <v/>
      </c>
      <c r="B482" s="36">
        <f t="shared" si="23"/>
        <v>1</v>
      </c>
      <c r="C482" s="190">
        <f t="shared" si="21"/>
        <v>0</v>
      </c>
      <c r="D482" s="190"/>
      <c r="E482" s="190"/>
      <c r="F482" s="191"/>
      <c r="G482" s="491"/>
      <c r="H482" s="7"/>
      <c r="I482" s="253"/>
      <c r="J482" s="253"/>
      <c r="K482" s="606"/>
      <c r="L482" s="193"/>
      <c r="M482" s="193"/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94"/>
      <c r="AB482" s="598" t="e">
        <f t="shared" si="22"/>
        <v>#N/A</v>
      </c>
      <c r="AC482" s="205"/>
      <c r="AD482" s="205"/>
    </row>
    <row r="483" spans="1:30" s="598" customFormat="1" ht="15.75" customHeight="1">
      <c r="A483" s="199" t="str">
        <f>IF(B483&lt;&gt;"",IF(AND(B483&gt;=_TM1,B483&lt;=_TM2,OR(TH!L483="1111",TH!M483="1111")),TH!D483,""),"")</f>
        <v/>
      </c>
      <c r="B483" s="36">
        <f t="shared" si="23"/>
        <v>1</v>
      </c>
      <c r="C483" s="190">
        <f t="shared" si="21"/>
        <v>0</v>
      </c>
      <c r="D483" s="190"/>
      <c r="E483" s="190"/>
      <c r="F483" s="191"/>
      <c r="G483" s="491"/>
      <c r="H483" s="7"/>
      <c r="I483" s="253"/>
      <c r="J483" s="253"/>
      <c r="K483" s="38"/>
      <c r="L483" s="193"/>
      <c r="M483" s="193"/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94"/>
      <c r="AB483" s="598" t="e">
        <f t="shared" si="22"/>
        <v>#N/A</v>
      </c>
      <c r="AC483" s="205"/>
      <c r="AD483" s="205"/>
    </row>
    <row r="484" spans="1:30" s="598" customFormat="1" ht="15.75" customHeight="1">
      <c r="A484" s="199" t="str">
        <f>IF(B484&lt;&gt;"",IF(AND(B484&gt;=_TM1,B484&lt;=_TM2,OR(TH!L484="1111",TH!M484="1111")),TH!D484,""),"")</f>
        <v/>
      </c>
      <c r="B484" s="36">
        <f t="shared" si="23"/>
        <v>1</v>
      </c>
      <c r="C484" s="190">
        <f t="shared" si="21"/>
        <v>0</v>
      </c>
      <c r="D484" s="190"/>
      <c r="E484" s="190"/>
      <c r="F484" s="191"/>
      <c r="G484" s="491"/>
      <c r="H484" s="7"/>
      <c r="I484" s="253"/>
      <c r="J484" s="253"/>
      <c r="K484" s="606"/>
      <c r="L484" s="193"/>
      <c r="M484" s="193"/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94"/>
      <c r="AB484" s="598" t="e">
        <f t="shared" si="22"/>
        <v>#N/A</v>
      </c>
      <c r="AC484" s="205"/>
      <c r="AD484" s="205"/>
    </row>
    <row r="485" spans="1:30" s="598" customFormat="1" ht="15.75" customHeight="1">
      <c r="A485" s="199" t="str">
        <f>IF(B485&lt;&gt;"",IF(AND(B485&gt;=_TM1,B485&lt;=_TM2,OR(TH!L485="1111",TH!M485="1111")),TH!D485,""),"")</f>
        <v/>
      </c>
      <c r="B485" s="36">
        <f t="shared" si="23"/>
        <v>1</v>
      </c>
      <c r="C485" s="190">
        <f t="shared" si="21"/>
        <v>0</v>
      </c>
      <c r="D485" s="190"/>
      <c r="E485" s="190"/>
      <c r="F485" s="191"/>
      <c r="G485" s="491"/>
      <c r="H485" s="7"/>
      <c r="I485" s="253"/>
      <c r="J485" s="253"/>
      <c r="K485" s="38"/>
      <c r="L485" s="193"/>
      <c r="M485" s="193"/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94"/>
      <c r="AB485" s="598" t="e">
        <f t="shared" si="22"/>
        <v>#N/A</v>
      </c>
      <c r="AC485" s="205"/>
      <c r="AD485" s="205"/>
    </row>
    <row r="486" spans="1:30" s="598" customFormat="1" ht="15.75" customHeight="1">
      <c r="A486" s="199" t="str">
        <f>IF(B486&lt;&gt;"",IF(AND(B486&gt;=_TM1,B486&lt;=_TM2,OR(TH!L486="1111",TH!M486="1111")),TH!D486,""),"")</f>
        <v/>
      </c>
      <c r="B486" s="36">
        <f t="shared" si="23"/>
        <v>1</v>
      </c>
      <c r="C486" s="190">
        <f t="shared" si="21"/>
        <v>0</v>
      </c>
      <c r="D486" s="190"/>
      <c r="E486" s="190"/>
      <c r="F486" s="191"/>
      <c r="G486" s="491"/>
      <c r="H486" s="7"/>
      <c r="I486" s="253"/>
      <c r="J486" s="253"/>
      <c r="K486" s="38"/>
      <c r="L486" s="193"/>
      <c r="M486" s="193"/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94"/>
      <c r="AB486" s="598" t="e">
        <f t="shared" si="22"/>
        <v>#N/A</v>
      </c>
      <c r="AC486" s="205"/>
      <c r="AD486" s="205"/>
    </row>
    <row r="487" spans="1:30" s="598" customFormat="1" ht="15.75" customHeight="1">
      <c r="A487" s="199" t="str">
        <f>IF(B487&lt;&gt;"",IF(AND(B487&gt;=_TM1,B487&lt;=_TM2,OR(TH!L487="1111",TH!M487="1111")),TH!D487,""),"")</f>
        <v/>
      </c>
      <c r="B487" s="36">
        <f t="shared" si="23"/>
        <v>1</v>
      </c>
      <c r="C487" s="190">
        <f t="shared" si="21"/>
        <v>0</v>
      </c>
      <c r="D487" s="190"/>
      <c r="E487" s="190"/>
      <c r="F487" s="191"/>
      <c r="G487" s="491"/>
      <c r="H487" s="7"/>
      <c r="I487" s="253"/>
      <c r="J487" s="253"/>
      <c r="K487" s="38"/>
      <c r="L487" s="193"/>
      <c r="M487" s="193"/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94"/>
      <c r="AB487" s="598" t="e">
        <f t="shared" si="22"/>
        <v>#N/A</v>
      </c>
      <c r="AC487" s="205"/>
      <c r="AD487" s="205"/>
    </row>
    <row r="488" spans="1:30" s="598" customFormat="1" ht="15.75" customHeight="1">
      <c r="A488" s="199" t="str">
        <f>IF(B488&lt;&gt;"",IF(AND(B488&gt;=_TM1,B488&lt;=_TM2,OR(TH!L488="1111",TH!M488="1111")),TH!D488,""),"")</f>
        <v/>
      </c>
      <c r="B488" s="36">
        <f t="shared" si="23"/>
        <v>1</v>
      </c>
      <c r="C488" s="190">
        <f t="shared" si="21"/>
        <v>0</v>
      </c>
      <c r="D488" s="190"/>
      <c r="E488" s="190"/>
      <c r="F488" s="191"/>
      <c r="G488" s="491"/>
      <c r="H488" s="7"/>
      <c r="I488" s="253"/>
      <c r="J488" s="253"/>
      <c r="K488" s="38"/>
      <c r="L488" s="193"/>
      <c r="M488" s="193"/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94"/>
      <c r="AB488" s="598" t="e">
        <f t="shared" si="22"/>
        <v>#N/A</v>
      </c>
      <c r="AC488" s="205"/>
      <c r="AD488" s="205"/>
    </row>
    <row r="489" spans="1:30" s="598" customFormat="1" ht="15.75" customHeight="1">
      <c r="A489" s="199" t="str">
        <f>IF(B489&lt;&gt;"",IF(AND(B489&gt;=_TM1,B489&lt;=_TM2,OR(TH!L489="1111",TH!M489="1111")),TH!D489,""),"")</f>
        <v/>
      </c>
      <c r="B489" s="36">
        <f t="shared" si="23"/>
        <v>1</v>
      </c>
      <c r="C489" s="190">
        <f t="shared" si="21"/>
        <v>0</v>
      </c>
      <c r="D489" s="190"/>
      <c r="E489" s="190"/>
      <c r="F489" s="191"/>
      <c r="G489" s="491"/>
      <c r="H489" s="7"/>
      <c r="I489" s="253"/>
      <c r="J489" s="253"/>
      <c r="K489" s="606"/>
      <c r="L489" s="193"/>
      <c r="M489" s="193"/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94"/>
      <c r="AB489" s="598" t="e">
        <f t="shared" si="22"/>
        <v>#N/A</v>
      </c>
      <c r="AC489" s="205"/>
      <c r="AD489" s="205"/>
    </row>
    <row r="490" spans="1:30" s="598" customFormat="1" ht="15.75" customHeight="1">
      <c r="A490" s="199" t="str">
        <f>IF(B490&lt;&gt;"",IF(AND(B490&gt;=_TM1,B490&lt;=_TM2,OR(TH!L490="1111",TH!M490="1111")),TH!D490,""),"")</f>
        <v/>
      </c>
      <c r="B490" s="36">
        <f t="shared" si="23"/>
        <v>1</v>
      </c>
      <c r="C490" s="190">
        <f t="shared" si="21"/>
        <v>0</v>
      </c>
      <c r="D490" s="190"/>
      <c r="E490" s="190"/>
      <c r="F490" s="191"/>
      <c r="G490" s="491"/>
      <c r="H490" s="7"/>
      <c r="I490" s="253"/>
      <c r="J490" s="253"/>
      <c r="K490" s="38"/>
      <c r="L490" s="193"/>
      <c r="M490" s="193"/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94"/>
      <c r="AB490" s="598" t="e">
        <f t="shared" si="22"/>
        <v>#N/A</v>
      </c>
      <c r="AC490" s="205"/>
      <c r="AD490" s="205"/>
    </row>
    <row r="491" spans="1:30" s="598" customFormat="1" ht="15.75" customHeight="1">
      <c r="A491" s="199" t="str">
        <f>IF(B491&lt;&gt;"",IF(AND(B491&gt;=_TM1,B491&lt;=_TM2,OR(TH!L491="1111",TH!M491="1111")),TH!D491,""),"")</f>
        <v/>
      </c>
      <c r="B491" s="36">
        <f t="shared" si="23"/>
        <v>1</v>
      </c>
      <c r="C491" s="190">
        <f t="shared" si="21"/>
        <v>0</v>
      </c>
      <c r="D491" s="190"/>
      <c r="E491" s="190"/>
      <c r="F491" s="191"/>
      <c r="G491" s="491"/>
      <c r="H491" s="7"/>
      <c r="I491" s="253"/>
      <c r="J491" s="253"/>
      <c r="K491" s="606"/>
      <c r="L491" s="193"/>
      <c r="M491" s="193"/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94"/>
      <c r="AB491" s="598" t="e">
        <f t="shared" si="22"/>
        <v>#N/A</v>
      </c>
      <c r="AC491" s="205"/>
      <c r="AD491" s="205"/>
    </row>
    <row r="492" spans="1:30" s="598" customFormat="1" ht="15.75" customHeight="1">
      <c r="A492" s="199" t="str">
        <f>IF(B492&lt;&gt;"",IF(AND(B492&gt;=_TM1,B492&lt;=_TM2,OR(TH!L492="1111",TH!M492="1111")),TH!D492,""),"")</f>
        <v/>
      </c>
      <c r="B492" s="36">
        <f t="shared" si="23"/>
        <v>1</v>
      </c>
      <c r="C492" s="190">
        <f t="shared" si="21"/>
        <v>0</v>
      </c>
      <c r="D492" s="190"/>
      <c r="E492" s="190"/>
      <c r="F492" s="191"/>
      <c r="G492" s="491"/>
      <c r="H492" s="7"/>
      <c r="I492" s="253"/>
      <c r="J492" s="253"/>
      <c r="K492" s="38"/>
      <c r="L492" s="193"/>
      <c r="M492" s="193"/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94"/>
      <c r="AB492" s="598" t="e">
        <f t="shared" si="22"/>
        <v>#N/A</v>
      </c>
      <c r="AC492" s="205"/>
      <c r="AD492" s="205"/>
    </row>
    <row r="493" spans="1:30" s="598" customFormat="1" ht="15.75" customHeight="1">
      <c r="A493" s="199" t="str">
        <f>IF(B493&lt;&gt;"",IF(AND(B493&gt;=_TM1,B493&lt;=_TM2,OR(TH!L493="1111",TH!M493="1111")),TH!D493,""),"")</f>
        <v/>
      </c>
      <c r="B493" s="36">
        <f t="shared" si="23"/>
        <v>1</v>
      </c>
      <c r="C493" s="190">
        <f t="shared" si="21"/>
        <v>0</v>
      </c>
      <c r="D493" s="190"/>
      <c r="E493" s="190"/>
      <c r="F493" s="191"/>
      <c r="G493" s="491"/>
      <c r="H493" s="7"/>
      <c r="I493" s="253"/>
      <c r="J493" s="253"/>
      <c r="K493" s="38"/>
      <c r="L493" s="193"/>
      <c r="M493" s="193"/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94"/>
      <c r="AB493" s="598" t="e">
        <f t="shared" si="22"/>
        <v>#N/A</v>
      </c>
      <c r="AC493" s="205"/>
      <c r="AD493" s="205"/>
    </row>
    <row r="494" spans="1:30" s="598" customFormat="1" ht="15.75" customHeight="1">
      <c r="A494" s="199" t="str">
        <f>IF(B494&lt;&gt;"",IF(AND(B494&gt;=_TM1,B494&lt;=_TM2,OR(TH!L494="1111",TH!M494="1111")),TH!D494,""),"")</f>
        <v/>
      </c>
      <c r="B494" s="36">
        <f t="shared" si="23"/>
        <v>1</v>
      </c>
      <c r="C494" s="190">
        <f t="shared" si="21"/>
        <v>0</v>
      </c>
      <c r="D494" s="190"/>
      <c r="E494" s="190"/>
      <c r="F494" s="191"/>
      <c r="G494" s="491"/>
      <c r="H494" s="7"/>
      <c r="I494" s="253"/>
      <c r="J494" s="253"/>
      <c r="K494" s="38"/>
      <c r="L494" s="193"/>
      <c r="M494" s="193"/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94"/>
      <c r="AB494" s="598" t="e">
        <f t="shared" si="22"/>
        <v>#N/A</v>
      </c>
      <c r="AC494" s="205"/>
      <c r="AD494" s="205"/>
    </row>
    <row r="495" spans="1:30" s="598" customFormat="1" ht="15.75" customHeight="1">
      <c r="A495" s="199" t="str">
        <f>IF(B495&lt;&gt;"",IF(AND(B495&gt;=_TM1,B495&lt;=_TM2,OR(TH!L495="1111",TH!M495="1111")),TH!D495,""),"")</f>
        <v/>
      </c>
      <c r="B495" s="36">
        <f t="shared" si="23"/>
        <v>1</v>
      </c>
      <c r="C495" s="190">
        <f t="shared" si="21"/>
        <v>0</v>
      </c>
      <c r="D495" s="190"/>
      <c r="E495" s="190"/>
      <c r="F495" s="191"/>
      <c r="G495" s="491"/>
      <c r="H495" s="7"/>
      <c r="I495" s="253"/>
      <c r="J495" s="253"/>
      <c r="K495" s="38"/>
      <c r="L495" s="193"/>
      <c r="M495" s="193"/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94"/>
      <c r="AB495" s="598" t="e">
        <f t="shared" si="22"/>
        <v>#N/A</v>
      </c>
      <c r="AC495" s="205"/>
      <c r="AD495" s="205"/>
    </row>
    <row r="496" spans="1:30" s="598" customFormat="1" ht="15.75" customHeight="1">
      <c r="A496" s="199" t="str">
        <f>IF(B496&lt;&gt;"",IF(AND(B496&gt;=_TM1,B496&lt;=_TM2,OR(TH!L496="1111",TH!M496="1111")),TH!D496,""),"")</f>
        <v/>
      </c>
      <c r="B496" s="36">
        <f t="shared" si="23"/>
        <v>1</v>
      </c>
      <c r="C496" s="190">
        <f t="shared" si="21"/>
        <v>0</v>
      </c>
      <c r="D496" s="183"/>
      <c r="E496" s="190"/>
      <c r="F496" s="293"/>
      <c r="G496" s="491"/>
      <c r="H496" s="7"/>
      <c r="I496" s="253"/>
      <c r="J496" s="253"/>
      <c r="K496" s="38"/>
      <c r="L496" s="193"/>
      <c r="M496" s="193"/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94"/>
      <c r="AB496" s="598" t="e">
        <f t="shared" si="22"/>
        <v>#N/A</v>
      </c>
      <c r="AC496" s="205"/>
      <c r="AD496" s="205"/>
    </row>
    <row r="497" spans="1:30" s="598" customFormat="1" ht="15.75" customHeight="1">
      <c r="A497" s="199" t="str">
        <f>IF(B497&lt;&gt;"",IF(AND(B497&gt;=_TM1,B497&lt;=_TM2,OR(TH!L497="1111",TH!M497="1111")),TH!D497,""),"")</f>
        <v/>
      </c>
      <c r="B497" s="36">
        <f t="shared" si="23"/>
        <v>1</v>
      </c>
      <c r="C497" s="190">
        <f t="shared" si="21"/>
        <v>0</v>
      </c>
      <c r="D497" s="183"/>
      <c r="E497" s="190"/>
      <c r="F497" s="293"/>
      <c r="G497" s="491"/>
      <c r="H497" s="7"/>
      <c r="I497" s="821"/>
      <c r="J497" s="253"/>
      <c r="K497" s="38"/>
      <c r="L497" s="193"/>
      <c r="M497" s="193"/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94"/>
      <c r="AB497" s="598" t="e">
        <f t="shared" si="22"/>
        <v>#N/A</v>
      </c>
      <c r="AC497" s="205"/>
      <c r="AD497" s="205"/>
    </row>
    <row r="498" spans="1:30" s="598" customFormat="1" ht="15.75" customHeight="1">
      <c r="A498" s="199" t="str">
        <f>IF(B498&lt;&gt;"",IF(AND(B498&gt;=_TM1,B498&lt;=_TM2,OR(TH!L498="1111",TH!M498="1111")),TH!D498,""),"")</f>
        <v/>
      </c>
      <c r="B498" s="36">
        <f t="shared" si="23"/>
        <v>1</v>
      </c>
      <c r="C498" s="190">
        <f t="shared" si="21"/>
        <v>0</v>
      </c>
      <c r="D498" s="183"/>
      <c r="E498" s="190"/>
      <c r="F498" s="188"/>
      <c r="G498" s="491"/>
      <c r="H498" s="7"/>
      <c r="I498" s="256"/>
      <c r="J498" s="256"/>
      <c r="K498" s="38"/>
      <c r="L498" s="193"/>
      <c r="M498" s="193"/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94"/>
      <c r="AB498" s="598" t="e">
        <f t="shared" si="22"/>
        <v>#N/A</v>
      </c>
      <c r="AC498" s="205"/>
      <c r="AD498" s="205"/>
    </row>
    <row r="499" spans="1:30" ht="15.75" customHeight="1">
      <c r="A499" s="199" t="str">
        <f>IF(B499&lt;&gt;"",IF(AND(B499&gt;=_TM1,B499&lt;=_TM2,OR(TH!L499="1111",TH!M499="1111")),TH!D499,""),"")</f>
        <v/>
      </c>
      <c r="B499" s="36">
        <f t="shared" si="23"/>
        <v>1</v>
      </c>
      <c r="C499" s="190">
        <f t="shared" si="21"/>
        <v>0</v>
      </c>
      <c r="D499" s="183"/>
      <c r="E499" s="190"/>
      <c r="F499" s="188"/>
      <c r="G499" s="491"/>
      <c r="H499" s="7"/>
      <c r="I499" s="256"/>
      <c r="J499" s="256"/>
      <c r="K499" s="606"/>
      <c r="L499" s="193"/>
      <c r="M499" s="193"/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94"/>
      <c r="AB499" s="598" t="e">
        <f t="shared" si="22"/>
        <v>#N/A</v>
      </c>
    </row>
    <row r="500" spans="1:30" ht="15.75" customHeight="1">
      <c r="A500" s="199" t="str">
        <f>IF(B500&lt;&gt;"",IF(AND(B500&gt;=_TM1,B500&lt;=_TM2,OR(TH!L500="1111",TH!M500="1111")),TH!D500,""),"")</f>
        <v/>
      </c>
      <c r="B500" s="36">
        <f t="shared" si="23"/>
        <v>1</v>
      </c>
      <c r="C500" s="190">
        <f t="shared" si="21"/>
        <v>0</v>
      </c>
      <c r="D500" s="183"/>
      <c r="E500" s="190"/>
      <c r="F500" s="188"/>
      <c r="G500" s="491"/>
      <c r="H500" s="7"/>
      <c r="I500" s="253"/>
      <c r="J500" s="253"/>
      <c r="K500" s="38"/>
      <c r="L500" s="193"/>
      <c r="M500" s="193"/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94"/>
      <c r="AB500" s="598" t="e">
        <f t="shared" si="22"/>
        <v>#N/A</v>
      </c>
    </row>
    <row r="501" spans="1:30" ht="15.75" customHeight="1">
      <c r="A501" s="199" t="str">
        <f>IF(B501&lt;&gt;"",IF(AND(B501&gt;=_TM1,B501&lt;=_TM2,OR(TH!L501="1111",TH!M501="1111")),TH!D501,""),"")</f>
        <v/>
      </c>
      <c r="B501" s="36">
        <f t="shared" si="23"/>
        <v>1</v>
      </c>
      <c r="C501" s="190">
        <f t="shared" ref="C501:C564" si="24">E501</f>
        <v>0</v>
      </c>
      <c r="D501" s="183"/>
      <c r="E501" s="190"/>
      <c r="F501" s="40"/>
      <c r="G501" s="491"/>
      <c r="H501" s="7"/>
      <c r="I501" s="254"/>
      <c r="J501" s="254"/>
      <c r="K501" s="606"/>
      <c r="L501" s="193"/>
      <c r="M501" s="193"/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94"/>
      <c r="AB501" s="598" t="e">
        <f t="shared" si="22"/>
        <v>#N/A</v>
      </c>
    </row>
    <row r="502" spans="1:30" ht="15.75" customHeight="1">
      <c r="A502" s="199" t="str">
        <f>IF(B502&lt;&gt;"",IF(AND(B502&gt;=_TM1,B502&lt;=_TM2,OR(TH!L502="1111",TH!M502="1111")),TH!D502,""),"")</f>
        <v/>
      </c>
      <c r="B502" s="36">
        <f t="shared" si="23"/>
        <v>1</v>
      </c>
      <c r="C502" s="190">
        <f t="shared" si="24"/>
        <v>0</v>
      </c>
      <c r="D502" s="183"/>
      <c r="E502" s="190"/>
      <c r="F502" s="40"/>
      <c r="G502" s="491"/>
      <c r="H502" s="7"/>
      <c r="I502" s="253"/>
      <c r="J502" s="253"/>
      <c r="K502" s="38"/>
      <c r="L502" s="193"/>
      <c r="M502" s="193"/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94"/>
      <c r="AB502" s="598" t="e">
        <f t="shared" si="22"/>
        <v>#N/A</v>
      </c>
    </row>
    <row r="503" spans="1:30" ht="15.75" customHeight="1">
      <c r="A503" s="199" t="str">
        <f>IF(B503&lt;&gt;"",IF(AND(B503&gt;=_TM1,B503&lt;=_TM2,OR(TH!L503="1111",TH!M503="1111")),TH!D503,""),"")</f>
        <v/>
      </c>
      <c r="B503" s="36">
        <f t="shared" si="23"/>
        <v>1</v>
      </c>
      <c r="C503" s="190">
        <f t="shared" si="24"/>
        <v>0</v>
      </c>
      <c r="D503" s="183"/>
      <c r="E503" s="190"/>
      <c r="F503" s="40"/>
      <c r="G503" s="491"/>
      <c r="H503" s="7"/>
      <c r="I503" s="253"/>
      <c r="J503" s="253"/>
      <c r="K503" s="606"/>
      <c r="L503" s="193"/>
      <c r="M503" s="193"/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94"/>
      <c r="AB503" s="598" t="e">
        <f t="shared" si="22"/>
        <v>#N/A</v>
      </c>
    </row>
    <row r="504" spans="1:30" ht="15.75" customHeight="1">
      <c r="A504" s="199" t="str">
        <f>IF(B504&lt;&gt;"",IF(AND(B504&gt;=_TM1,B504&lt;=_TM2,OR(TH!L504="1111",TH!M504="1111")),TH!D504,""),"")</f>
        <v/>
      </c>
      <c r="B504" s="36">
        <f t="shared" si="23"/>
        <v>1</v>
      </c>
      <c r="C504" s="190">
        <f t="shared" si="24"/>
        <v>0</v>
      </c>
      <c r="D504" s="183"/>
      <c r="E504" s="190"/>
      <c r="F504" s="188"/>
      <c r="G504" s="491"/>
      <c r="H504" s="7"/>
      <c r="I504" s="253"/>
      <c r="J504" s="253"/>
      <c r="K504" s="38"/>
      <c r="L504" s="193"/>
      <c r="M504" s="193"/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94"/>
      <c r="AB504" s="598" t="e">
        <f t="shared" si="22"/>
        <v>#N/A</v>
      </c>
    </row>
    <row r="505" spans="1:30" ht="15.75" customHeight="1">
      <c r="A505" s="199" t="str">
        <f>IF(B505&lt;&gt;"",IF(AND(B505&gt;=_TM1,B505&lt;=_TM2,OR(TH!L505="1111",TH!M505="1111")),TH!D505,""),"")</f>
        <v/>
      </c>
      <c r="B505" s="36">
        <f t="shared" si="23"/>
        <v>1</v>
      </c>
      <c r="C505" s="190">
        <f t="shared" si="24"/>
        <v>0</v>
      </c>
      <c r="D505" s="183"/>
      <c r="E505" s="37"/>
      <c r="F505" s="188"/>
      <c r="G505" s="608"/>
      <c r="H505" s="7"/>
      <c r="I505" s="253"/>
      <c r="J505" s="253"/>
      <c r="K505" s="38"/>
      <c r="L505" s="193"/>
      <c r="M505" s="193"/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94"/>
      <c r="AB505" s="598" t="e">
        <f t="shared" si="22"/>
        <v>#N/A</v>
      </c>
      <c r="AC505" s="598"/>
      <c r="AD505" s="598"/>
    </row>
    <row r="506" spans="1:30" ht="15.75" customHeight="1">
      <c r="A506" s="199" t="str">
        <f>IF(B506&lt;&gt;"",IF(AND(B506&gt;=_TM1,B506&lt;=_TM2,OR(TH!L506="1111",TH!M506="1111")),TH!D506,""),"")</f>
        <v/>
      </c>
      <c r="B506" s="36">
        <f t="shared" si="23"/>
        <v>1</v>
      </c>
      <c r="C506" s="190">
        <f t="shared" si="24"/>
        <v>0</v>
      </c>
      <c r="D506" s="183"/>
      <c r="E506" s="37"/>
      <c r="F506" s="188"/>
      <c r="G506" s="608"/>
      <c r="H506" s="7"/>
      <c r="I506" s="253"/>
      <c r="J506" s="253"/>
      <c r="K506" s="606"/>
      <c r="L506" s="193"/>
      <c r="M506" s="193"/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94"/>
      <c r="AB506" s="598" t="e">
        <f t="shared" si="22"/>
        <v>#N/A</v>
      </c>
      <c r="AC506" s="598"/>
      <c r="AD506" s="598"/>
    </row>
    <row r="507" spans="1:30" ht="15.75" customHeight="1">
      <c r="A507" s="199" t="str">
        <f>IF(B507&lt;&gt;"",IF(AND(B507&gt;=_TM1,B507&lt;=_TM2,OR(TH!L507="1111",TH!M507="1111")),TH!D507,""),"")</f>
        <v/>
      </c>
      <c r="B507" s="36">
        <f t="shared" si="23"/>
        <v>1</v>
      </c>
      <c r="C507" s="190">
        <f t="shared" si="24"/>
        <v>0</v>
      </c>
      <c r="D507" s="183"/>
      <c r="E507" s="37"/>
      <c r="F507" s="188"/>
      <c r="G507" s="608"/>
      <c r="H507" s="7"/>
      <c r="I507" s="253"/>
      <c r="J507" s="253"/>
      <c r="K507" s="38"/>
      <c r="L507" s="193"/>
      <c r="M507" s="193"/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94"/>
      <c r="AB507" s="598" t="e">
        <f t="shared" si="22"/>
        <v>#N/A</v>
      </c>
      <c r="AC507" s="598"/>
      <c r="AD507" s="598"/>
    </row>
    <row r="508" spans="1:30" ht="15.75" customHeight="1">
      <c r="A508" s="199" t="str">
        <f>IF(B508&lt;&gt;"",IF(AND(B508&gt;=_TM1,B508&lt;=_TM2,OR(TH!L508="1111",TH!M508="1111")),TH!D508,""),"")</f>
        <v/>
      </c>
      <c r="B508" s="36">
        <f t="shared" si="23"/>
        <v>1</v>
      </c>
      <c r="C508" s="190">
        <f t="shared" si="24"/>
        <v>0</v>
      </c>
      <c r="D508" s="190"/>
      <c r="E508" s="190"/>
      <c r="F508" s="191"/>
      <c r="G508" s="491"/>
      <c r="H508" s="204"/>
      <c r="I508" s="253"/>
      <c r="J508" s="253"/>
      <c r="K508" s="606"/>
      <c r="L508" s="193"/>
      <c r="M508" s="193"/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94"/>
      <c r="AB508" s="598" t="e">
        <f t="shared" si="22"/>
        <v>#N/A</v>
      </c>
    </row>
    <row r="509" spans="1:30" ht="15.75" customHeight="1">
      <c r="A509" s="199" t="str">
        <f>IF(B509&lt;&gt;"",IF(AND(B509&gt;=_TM1,B509&lt;=_TM2,OR(TH!L509="1111",TH!M509="1111")),TH!D509,""),"")</f>
        <v/>
      </c>
      <c r="B509" s="36">
        <f t="shared" si="23"/>
        <v>1</v>
      </c>
      <c r="C509" s="190">
        <f t="shared" si="24"/>
        <v>0</v>
      </c>
      <c r="D509" s="190"/>
      <c r="E509" s="190"/>
      <c r="F509" s="191"/>
      <c r="G509" s="491"/>
      <c r="H509" s="7"/>
      <c r="I509" s="253"/>
      <c r="J509" s="253"/>
      <c r="K509" s="38"/>
      <c r="L509" s="193"/>
      <c r="M509" s="193"/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94"/>
      <c r="AB509" s="598" t="e">
        <f t="shared" si="22"/>
        <v>#N/A</v>
      </c>
    </row>
    <row r="510" spans="1:30" ht="15.75" customHeight="1">
      <c r="A510" s="199" t="str">
        <f>IF(B510&lt;&gt;"",IF(AND(B510&gt;=_TM1,B510&lt;=_TM2,OR(TH!L510="1111",TH!M510="1111")),TH!D510,""),"")</f>
        <v/>
      </c>
      <c r="B510" s="36">
        <f t="shared" si="23"/>
        <v>1</v>
      </c>
      <c r="C510" s="190">
        <f t="shared" si="24"/>
        <v>0</v>
      </c>
      <c r="D510" s="190"/>
      <c r="E510" s="190"/>
      <c r="F510" s="191"/>
      <c r="G510" s="491"/>
      <c r="H510" s="204"/>
      <c r="I510" s="253"/>
      <c r="J510" s="253"/>
      <c r="K510" s="606"/>
      <c r="L510" s="193"/>
      <c r="M510" s="193"/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94"/>
      <c r="AB510" s="598" t="e">
        <f t="shared" si="22"/>
        <v>#N/A</v>
      </c>
    </row>
    <row r="511" spans="1:30" ht="15.75" customHeight="1">
      <c r="A511" s="199" t="str">
        <f>IF(B511&lt;&gt;"",IF(AND(B511&gt;=_TM1,B511&lt;=_TM2,OR(TH!L511="1111",TH!M511="1111")),TH!D511,""),"")</f>
        <v/>
      </c>
      <c r="B511" s="36">
        <f t="shared" si="23"/>
        <v>1</v>
      </c>
      <c r="C511" s="190">
        <f t="shared" si="24"/>
        <v>0</v>
      </c>
      <c r="D511" s="190"/>
      <c r="E511" s="190"/>
      <c r="F511" s="191"/>
      <c r="G511" s="491"/>
      <c r="H511" s="204"/>
      <c r="I511" s="253"/>
      <c r="J511" s="253"/>
      <c r="K511" s="38"/>
      <c r="L511" s="193"/>
      <c r="M511" s="193"/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94"/>
      <c r="AB511" s="598" t="e">
        <f t="shared" si="22"/>
        <v>#N/A</v>
      </c>
    </row>
    <row r="512" spans="1:30" ht="15.75" customHeight="1">
      <c r="A512" s="199" t="str">
        <f>IF(B512&lt;&gt;"",IF(AND(B512&gt;=_TM1,B512&lt;=_TM2,OR(TH!L512="1111",TH!M512="1111")),TH!D512,""),"")</f>
        <v/>
      </c>
      <c r="B512" s="36">
        <f t="shared" si="23"/>
        <v>1</v>
      </c>
      <c r="C512" s="190">
        <f t="shared" si="24"/>
        <v>0</v>
      </c>
      <c r="D512" s="190"/>
      <c r="E512" s="190"/>
      <c r="F512" s="191"/>
      <c r="G512" s="491"/>
      <c r="H512" s="204"/>
      <c r="I512" s="253"/>
      <c r="J512" s="253"/>
      <c r="K512" s="38"/>
      <c r="L512" s="193"/>
      <c r="M512" s="193"/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94"/>
      <c r="AB512" s="598" t="e">
        <f t="shared" si="22"/>
        <v>#N/A</v>
      </c>
    </row>
    <row r="513" spans="1:28" ht="15.75" customHeight="1">
      <c r="A513" s="199" t="str">
        <f>IF(B513&lt;&gt;"",IF(AND(B513&gt;=_TM1,B513&lt;=_TM2,OR(TH!L513="1111",TH!M513="1111")),TH!D513,""),"")</f>
        <v/>
      </c>
      <c r="B513" s="36">
        <f t="shared" si="23"/>
        <v>1</v>
      </c>
      <c r="C513" s="190">
        <f t="shared" si="24"/>
        <v>0</v>
      </c>
      <c r="D513" s="190"/>
      <c r="E513" s="190"/>
      <c r="F513" s="191"/>
      <c r="G513" s="491"/>
      <c r="H513" s="7"/>
      <c r="I513" s="253"/>
      <c r="J513" s="253"/>
      <c r="K513" s="606"/>
      <c r="L513" s="193"/>
      <c r="M513" s="193"/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94"/>
      <c r="AB513" s="598" t="e">
        <f t="shared" si="22"/>
        <v>#N/A</v>
      </c>
    </row>
    <row r="514" spans="1:28" ht="15.75" customHeight="1">
      <c r="A514" s="199" t="str">
        <f>IF(B514&lt;&gt;"",IF(AND(B514&gt;=_TM1,B514&lt;=_TM2,OR(TH!L514="1111",TH!M514="1111")),TH!D514,""),"")</f>
        <v/>
      </c>
      <c r="B514" s="36">
        <f t="shared" si="23"/>
        <v>1</v>
      </c>
      <c r="C514" s="190">
        <f t="shared" si="24"/>
        <v>0</v>
      </c>
      <c r="D514" s="190"/>
      <c r="E514" s="190"/>
      <c r="F514" s="191"/>
      <c r="G514" s="491"/>
      <c r="H514" s="7"/>
      <c r="I514" s="254"/>
      <c r="J514" s="254"/>
      <c r="K514" s="38"/>
      <c r="L514" s="193"/>
      <c r="M514" s="193"/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94"/>
      <c r="AB514" s="598" t="e">
        <f t="shared" si="22"/>
        <v>#N/A</v>
      </c>
    </row>
    <row r="515" spans="1:28" ht="15.75" customHeight="1">
      <c r="A515" s="199" t="str">
        <f>IF(B515&lt;&gt;"",IF(AND(B515&gt;=_TM1,B515&lt;=_TM2,OR(TH!L515="1111",TH!M515="1111")),TH!D515,""),"")</f>
        <v/>
      </c>
      <c r="B515" s="36">
        <f t="shared" si="23"/>
        <v>1</v>
      </c>
      <c r="C515" s="190">
        <f t="shared" si="24"/>
        <v>0</v>
      </c>
      <c r="D515" s="190"/>
      <c r="E515" s="190"/>
      <c r="F515" s="191"/>
      <c r="G515" s="491"/>
      <c r="H515" s="204"/>
      <c r="I515" s="253"/>
      <c r="J515" s="253"/>
      <c r="K515" s="606"/>
      <c r="L515" s="193"/>
      <c r="M515" s="193"/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94"/>
      <c r="AB515" s="598" t="e">
        <f t="shared" si="22"/>
        <v>#N/A</v>
      </c>
    </row>
    <row r="516" spans="1:28" ht="15.75" customHeight="1">
      <c r="A516" s="199" t="str">
        <f>IF(B516&lt;&gt;"",IF(AND(B516&gt;=_TM1,B516&lt;=_TM2,OR(TH!L516="1111",TH!M516="1111")),TH!D516,""),"")</f>
        <v/>
      </c>
      <c r="B516" s="36">
        <f t="shared" si="23"/>
        <v>1</v>
      </c>
      <c r="C516" s="190">
        <f t="shared" si="24"/>
        <v>0</v>
      </c>
      <c r="D516" s="190"/>
      <c r="E516" s="190"/>
      <c r="F516" s="191"/>
      <c r="G516" s="491"/>
      <c r="H516" s="204"/>
      <c r="I516" s="253"/>
      <c r="J516" s="253"/>
      <c r="K516" s="38"/>
      <c r="L516" s="193"/>
      <c r="M516" s="193"/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94"/>
      <c r="AB516" s="598" t="e">
        <f t="shared" si="22"/>
        <v>#N/A</v>
      </c>
    </row>
    <row r="517" spans="1:28" ht="15.75" customHeight="1">
      <c r="A517" s="199" t="str">
        <f>IF(B517&lt;&gt;"",IF(AND(B517&gt;=_TM1,B517&lt;=_TM2,OR(TH!L517="1111",TH!M517="1111")),TH!D517,""),"")</f>
        <v/>
      </c>
      <c r="B517" s="36">
        <f t="shared" si="23"/>
        <v>1</v>
      </c>
      <c r="C517" s="190">
        <f t="shared" si="24"/>
        <v>0</v>
      </c>
      <c r="D517" s="190"/>
      <c r="E517" s="190"/>
      <c r="F517" s="191"/>
      <c r="G517" s="491"/>
      <c r="H517" s="7"/>
      <c r="I517" s="253"/>
      <c r="J517" s="253"/>
      <c r="K517" s="606"/>
      <c r="L517" s="193"/>
      <c r="M517" s="193"/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94"/>
      <c r="AB517" s="598" t="e">
        <f t="shared" si="22"/>
        <v>#N/A</v>
      </c>
    </row>
    <row r="518" spans="1:28" ht="15.75" customHeight="1">
      <c r="A518" s="199" t="str">
        <f>IF(B518&lt;&gt;"",IF(AND(B518&gt;=_TM1,B518&lt;=_TM2,OR(TH!L518="1111",TH!M518="1111")),TH!D518,""),"")</f>
        <v/>
      </c>
      <c r="B518" s="36">
        <f t="shared" si="23"/>
        <v>1</v>
      </c>
      <c r="C518" s="190">
        <f t="shared" si="24"/>
        <v>0</v>
      </c>
      <c r="D518" s="190"/>
      <c r="E518" s="190"/>
      <c r="F518" s="191"/>
      <c r="G518" s="491"/>
      <c r="H518" s="192"/>
      <c r="I518" s="253"/>
      <c r="J518" s="253"/>
      <c r="K518" s="38"/>
      <c r="L518" s="193"/>
      <c r="M518" s="193"/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94"/>
      <c r="AB518" s="598" t="e">
        <f t="shared" si="22"/>
        <v>#N/A</v>
      </c>
    </row>
    <row r="519" spans="1:28" ht="15.75" customHeight="1">
      <c r="A519" s="199" t="str">
        <f>IF(B519&lt;&gt;"",IF(AND(B519&gt;=_TM1,B519&lt;=_TM2,OR(TH!L519="1111",TH!M519="1111")),TH!D519,""),"")</f>
        <v/>
      </c>
      <c r="B519" s="36">
        <f t="shared" si="23"/>
        <v>1</v>
      </c>
      <c r="C519" s="190">
        <f t="shared" si="24"/>
        <v>0</v>
      </c>
      <c r="D519" s="190"/>
      <c r="E519" s="190"/>
      <c r="F519" s="191"/>
      <c r="G519" s="491"/>
      <c r="H519" s="192"/>
      <c r="I519" s="253"/>
      <c r="J519" s="253"/>
      <c r="K519" s="38"/>
      <c r="L519" s="193"/>
      <c r="M519" s="193"/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94"/>
      <c r="AB519" s="598" t="e">
        <f t="shared" si="22"/>
        <v>#N/A</v>
      </c>
    </row>
    <row r="520" spans="1:28" ht="15.75" customHeight="1">
      <c r="A520" s="199" t="str">
        <f>IF(B520&lt;&gt;"",IF(AND(B520&gt;=_TM1,B520&lt;=_TM2,OR(TH!L520="1111",TH!M520="1111")),TH!D520,""),"")</f>
        <v/>
      </c>
      <c r="B520" s="36">
        <f t="shared" si="23"/>
        <v>1</v>
      </c>
      <c r="C520" s="190">
        <f t="shared" si="24"/>
        <v>0</v>
      </c>
      <c r="D520" s="190"/>
      <c r="E520" s="190"/>
      <c r="F520" s="191"/>
      <c r="G520" s="491"/>
      <c r="H520" s="192"/>
      <c r="I520" s="253"/>
      <c r="J520" s="253"/>
      <c r="K520" s="606"/>
      <c r="L520" s="193"/>
      <c r="M520" s="193"/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94"/>
      <c r="AB520" s="598" t="e">
        <f t="shared" si="22"/>
        <v>#N/A</v>
      </c>
    </row>
    <row r="521" spans="1:28" ht="15.75" customHeight="1">
      <c r="A521" s="199" t="str">
        <f>IF(B521&lt;&gt;"",IF(AND(B521&gt;=_TM1,B521&lt;=_TM2,OR(TH!L521="1111",TH!M521="1111")),TH!D521,""),"")</f>
        <v/>
      </c>
      <c r="B521" s="36">
        <f t="shared" si="23"/>
        <v>1</v>
      </c>
      <c r="C521" s="190">
        <f t="shared" si="24"/>
        <v>0</v>
      </c>
      <c r="D521" s="190"/>
      <c r="E521" s="190"/>
      <c r="F521" s="191"/>
      <c r="G521" s="491"/>
      <c r="H521" s="192"/>
      <c r="I521" s="253"/>
      <c r="J521" s="253"/>
      <c r="K521" s="38"/>
      <c r="L521" s="193"/>
      <c r="M521" s="193"/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94"/>
      <c r="AB521" s="598" t="e">
        <f t="shared" si="22"/>
        <v>#N/A</v>
      </c>
    </row>
    <row r="522" spans="1:28" ht="15.75" customHeight="1">
      <c r="A522" s="199" t="str">
        <f>IF(B522&lt;&gt;"",IF(AND(B522&gt;=_TM1,B522&lt;=_TM2,OR(TH!L522="1111",TH!M522="1111")),TH!D522,""),"")</f>
        <v/>
      </c>
      <c r="B522" s="36">
        <f t="shared" si="23"/>
        <v>1</v>
      </c>
      <c r="C522" s="190">
        <f t="shared" si="24"/>
        <v>0</v>
      </c>
      <c r="D522" s="190"/>
      <c r="E522" s="190"/>
      <c r="F522" s="191"/>
      <c r="G522" s="491"/>
      <c r="H522" s="192"/>
      <c r="I522" s="253"/>
      <c r="J522" s="253"/>
      <c r="K522" s="38"/>
      <c r="L522" s="193"/>
      <c r="M522" s="193"/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94"/>
      <c r="AB522" s="598" t="e">
        <f t="shared" si="22"/>
        <v>#N/A</v>
      </c>
    </row>
    <row r="523" spans="1:28" ht="15.75" customHeight="1">
      <c r="A523" s="199" t="str">
        <f>IF(B523&lt;&gt;"",IF(AND(B523&gt;=_TM1,B523&lt;=_TM2,OR(TH!L523="1111",TH!M523="1111")),TH!D523,""),"")</f>
        <v/>
      </c>
      <c r="B523" s="36">
        <f t="shared" si="23"/>
        <v>1</v>
      </c>
      <c r="C523" s="190">
        <f t="shared" si="24"/>
        <v>0</v>
      </c>
      <c r="D523" s="190"/>
      <c r="E523" s="190"/>
      <c r="F523" s="191"/>
      <c r="G523" s="491"/>
      <c r="H523" s="192"/>
      <c r="I523" s="253"/>
      <c r="J523" s="253"/>
      <c r="K523" s="606"/>
      <c r="L523" s="193"/>
      <c r="M523" s="193"/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94"/>
      <c r="AB523" s="598" t="e">
        <f t="shared" si="22"/>
        <v>#N/A</v>
      </c>
    </row>
    <row r="524" spans="1:28" ht="15.75" customHeight="1">
      <c r="A524" s="199" t="str">
        <f>IF(B524&lt;&gt;"",IF(AND(B524&gt;=_TM1,B524&lt;=_TM2,OR(TH!L524="1111",TH!M524="1111")),TH!D524,""),"")</f>
        <v/>
      </c>
      <c r="B524" s="36">
        <f t="shared" si="23"/>
        <v>1</v>
      </c>
      <c r="C524" s="190">
        <f t="shared" si="24"/>
        <v>0</v>
      </c>
      <c r="D524" s="190"/>
      <c r="E524" s="190"/>
      <c r="F524" s="191"/>
      <c r="G524" s="491"/>
      <c r="H524" s="192"/>
      <c r="I524" s="253"/>
      <c r="J524" s="253"/>
      <c r="K524" s="38"/>
      <c r="L524" s="193"/>
      <c r="M524" s="193"/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94"/>
      <c r="AB524" s="598" t="e">
        <f t="shared" ref="AB524:AB587" si="25">IF(VLOOKUP(H524,DS_131,1,0)&lt;&gt;"","","x")</f>
        <v>#N/A</v>
      </c>
    </row>
    <row r="525" spans="1:28" ht="15.75" customHeight="1">
      <c r="A525" s="199" t="str">
        <f>IF(B525&lt;&gt;"",IF(AND(B525&gt;=_TM1,B525&lt;=_TM2,OR(TH!L525="1111",TH!M525="1111")),TH!D525,""),"")</f>
        <v/>
      </c>
      <c r="B525" s="36">
        <f t="shared" si="23"/>
        <v>1</v>
      </c>
      <c r="C525" s="190">
        <f t="shared" si="24"/>
        <v>0</v>
      </c>
      <c r="D525" s="190"/>
      <c r="E525" s="190"/>
      <c r="F525" s="191"/>
      <c r="G525" s="491"/>
      <c r="H525" s="192"/>
      <c r="I525" s="253"/>
      <c r="J525" s="253"/>
      <c r="K525" s="606"/>
      <c r="L525" s="193"/>
      <c r="M525" s="193"/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94"/>
      <c r="AB525" s="598" t="e">
        <f t="shared" si="25"/>
        <v>#N/A</v>
      </c>
    </row>
    <row r="526" spans="1:28" ht="15.75" customHeight="1">
      <c r="A526" s="199" t="str">
        <f>IF(B526&lt;&gt;"",IF(AND(B526&gt;=_TM1,B526&lt;=_TM2,OR(TH!L526="1111",TH!M526="1111")),TH!D526,""),"")</f>
        <v/>
      </c>
      <c r="B526" s="36">
        <f t="shared" si="23"/>
        <v>1</v>
      </c>
      <c r="C526" s="190">
        <f t="shared" si="24"/>
        <v>0</v>
      </c>
      <c r="D526" s="190"/>
      <c r="E526" s="190"/>
      <c r="F526" s="191"/>
      <c r="G526" s="491"/>
      <c r="H526" s="192"/>
      <c r="I526" s="253"/>
      <c r="J526" s="253"/>
      <c r="K526" s="38"/>
      <c r="L526" s="193"/>
      <c r="M526" s="193"/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94"/>
      <c r="AB526" s="598" t="e">
        <f t="shared" si="25"/>
        <v>#N/A</v>
      </c>
    </row>
    <row r="527" spans="1:28" ht="15.75" customHeight="1">
      <c r="A527" s="199" t="str">
        <f>IF(B527&lt;&gt;"",IF(AND(B527&gt;=_TM1,B527&lt;=_TM2,OR(TH!L527="1111",TH!M527="1111")),TH!D527,""),"")</f>
        <v/>
      </c>
      <c r="B527" s="36">
        <f t="shared" si="23"/>
        <v>1</v>
      </c>
      <c r="C527" s="190">
        <f t="shared" si="24"/>
        <v>0</v>
      </c>
      <c r="D527" s="190"/>
      <c r="E527" s="190"/>
      <c r="F527" s="191"/>
      <c r="G527" s="491"/>
      <c r="H527" s="7"/>
      <c r="I527" s="253"/>
      <c r="J527" s="253"/>
      <c r="K527" s="38"/>
      <c r="L527" s="193"/>
      <c r="M527" s="193"/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94"/>
      <c r="AB527" s="598" t="e">
        <f t="shared" si="25"/>
        <v>#N/A</v>
      </c>
    </row>
    <row r="528" spans="1:28" ht="15.75" customHeight="1">
      <c r="A528" s="199" t="str">
        <f>IF(B528&lt;&gt;"",IF(AND(B528&gt;=_TM1,B528&lt;=_TM2,OR(TH!L528="1111",TH!M528="1111")),TH!D528,""),"")</f>
        <v/>
      </c>
      <c r="B528" s="36">
        <f t="shared" si="23"/>
        <v>1</v>
      </c>
      <c r="C528" s="190">
        <f t="shared" si="24"/>
        <v>0</v>
      </c>
      <c r="D528" s="190"/>
      <c r="E528" s="190"/>
      <c r="F528" s="191"/>
      <c r="G528" s="491"/>
      <c r="H528" s="7"/>
      <c r="I528" s="253"/>
      <c r="J528" s="253"/>
      <c r="K528" s="38"/>
      <c r="L528" s="193"/>
      <c r="M528" s="193"/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94"/>
      <c r="AB528" s="598" t="e">
        <f t="shared" si="25"/>
        <v>#N/A</v>
      </c>
    </row>
    <row r="529" spans="1:30" ht="15.75" customHeight="1">
      <c r="A529" s="199" t="str">
        <f>IF(B529&lt;&gt;"",IF(AND(B529&gt;=_TM1,B529&lt;=_TM2,OR(TH!L529="1111",TH!M529="1111")),TH!D529,""),"")</f>
        <v/>
      </c>
      <c r="B529" s="36">
        <f t="shared" si="23"/>
        <v>1</v>
      </c>
      <c r="C529" s="190">
        <f t="shared" si="24"/>
        <v>0</v>
      </c>
      <c r="D529" s="183"/>
      <c r="E529" s="190"/>
      <c r="F529" s="191"/>
      <c r="G529" s="491"/>
      <c r="H529" s="192"/>
      <c r="I529" s="253"/>
      <c r="J529" s="253"/>
      <c r="K529" s="38"/>
      <c r="L529" s="193"/>
      <c r="M529" s="193"/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94"/>
      <c r="AB529" s="598" t="e">
        <f t="shared" si="25"/>
        <v>#N/A</v>
      </c>
      <c r="AC529" s="598"/>
      <c r="AD529" s="598"/>
    </row>
    <row r="530" spans="1:30" ht="15.75" customHeight="1">
      <c r="A530" s="199" t="str">
        <f>IF(B530&lt;&gt;"",IF(AND(B530&gt;=_TM1,B530&lt;=_TM2,OR(TH!L530="1111",TH!M530="1111")),TH!D530,""),"")</f>
        <v/>
      </c>
      <c r="B530" s="36">
        <f t="shared" si="23"/>
        <v>1</v>
      </c>
      <c r="C530" s="190">
        <f t="shared" si="24"/>
        <v>0</v>
      </c>
      <c r="D530" s="183"/>
      <c r="E530" s="183"/>
      <c r="F530" s="188"/>
      <c r="G530" s="608"/>
      <c r="H530" s="192"/>
      <c r="I530" s="253"/>
      <c r="J530" s="253"/>
      <c r="K530" s="38"/>
      <c r="L530" s="193"/>
      <c r="M530" s="193"/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94"/>
      <c r="AB530" s="598" t="e">
        <f t="shared" si="25"/>
        <v>#N/A</v>
      </c>
      <c r="AC530" s="598"/>
      <c r="AD530" s="598"/>
    </row>
    <row r="531" spans="1:30" ht="15.75" customHeight="1">
      <c r="A531" s="199" t="str">
        <f>IF(B531&lt;&gt;"",IF(AND(B531&gt;=_TM1,B531&lt;=_TM2,OR(TH!L531="1111",TH!M531="1111")),TH!D531,""),"")</f>
        <v/>
      </c>
      <c r="B531" s="36">
        <f t="shared" si="23"/>
        <v>1</v>
      </c>
      <c r="C531" s="190">
        <f t="shared" si="24"/>
        <v>0</v>
      </c>
      <c r="D531" s="183"/>
      <c r="E531" s="190"/>
      <c r="F531" s="40"/>
      <c r="G531" s="491"/>
      <c r="H531" s="7"/>
      <c r="I531" s="253"/>
      <c r="J531" s="253"/>
      <c r="K531" s="38"/>
      <c r="L531" s="193"/>
      <c r="M531" s="193"/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94"/>
      <c r="AB531" s="598" t="e">
        <f t="shared" si="25"/>
        <v>#N/A</v>
      </c>
    </row>
    <row r="532" spans="1:30" ht="15.75" customHeight="1">
      <c r="A532" s="199" t="str">
        <f>IF(B532&lt;&gt;"",IF(AND(B532&gt;=_TM1,B532&lt;=_TM2,OR(TH!L532="1111",TH!M532="1111")),TH!D532,""),"")</f>
        <v/>
      </c>
      <c r="B532" s="36">
        <f t="shared" si="23"/>
        <v>1</v>
      </c>
      <c r="C532" s="190">
        <f t="shared" si="24"/>
        <v>0</v>
      </c>
      <c r="D532" s="183"/>
      <c r="E532" s="190"/>
      <c r="F532" s="40"/>
      <c r="G532" s="491"/>
      <c r="H532" s="7"/>
      <c r="I532" s="253"/>
      <c r="J532" s="253"/>
      <c r="K532" s="606"/>
      <c r="L532" s="193"/>
      <c r="M532" s="193"/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94"/>
      <c r="AB532" s="598" t="e">
        <f t="shared" si="25"/>
        <v>#N/A</v>
      </c>
    </row>
    <row r="533" spans="1:30" ht="15.75" customHeight="1">
      <c r="A533" s="199" t="str">
        <f>IF(B533&lt;&gt;"",IF(AND(B533&gt;=_TM1,B533&lt;=_TM2,OR(TH!L533="1111",TH!M533="1111")),TH!D533,""),"")</f>
        <v/>
      </c>
      <c r="B533" s="36">
        <f t="shared" si="23"/>
        <v>1</v>
      </c>
      <c r="C533" s="190">
        <f t="shared" si="24"/>
        <v>0</v>
      </c>
      <c r="D533" s="183"/>
      <c r="E533" s="190"/>
      <c r="F533" s="188"/>
      <c r="G533" s="491"/>
      <c r="H533" s="7"/>
      <c r="I533" s="253"/>
      <c r="J533" s="253"/>
      <c r="K533" s="38"/>
      <c r="L533" s="193"/>
      <c r="M533" s="193"/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94"/>
      <c r="AB533" s="598" t="e">
        <f t="shared" si="25"/>
        <v>#N/A</v>
      </c>
    </row>
    <row r="534" spans="1:30" ht="15.75" customHeight="1">
      <c r="A534" s="199" t="str">
        <f>IF(B534&lt;&gt;"",IF(AND(B534&gt;=_TM1,B534&lt;=_TM2,OR(TH!L534="1111",TH!M534="1111")),TH!D534,""),"")</f>
        <v/>
      </c>
      <c r="B534" s="36">
        <f t="shared" si="23"/>
        <v>1</v>
      </c>
      <c r="C534" s="190">
        <f t="shared" si="24"/>
        <v>0</v>
      </c>
      <c r="D534" s="183"/>
      <c r="E534" s="190"/>
      <c r="F534" s="188"/>
      <c r="G534" s="491"/>
      <c r="H534" s="7"/>
      <c r="I534" s="254"/>
      <c r="J534" s="254"/>
      <c r="K534" s="606"/>
      <c r="L534" s="193"/>
      <c r="M534" s="193"/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94"/>
      <c r="AB534" s="598" t="e">
        <f t="shared" si="25"/>
        <v>#N/A</v>
      </c>
    </row>
    <row r="535" spans="1:30" ht="15.75" customHeight="1">
      <c r="A535" s="199" t="str">
        <f>IF(B535&lt;&gt;"",IF(AND(B535&gt;=_TM1,B535&lt;=_TM2,OR(TH!L535="1111",TH!M535="1111")),TH!D535,""),"")</f>
        <v/>
      </c>
      <c r="B535" s="36">
        <f t="shared" si="23"/>
        <v>1</v>
      </c>
      <c r="C535" s="190">
        <f t="shared" si="24"/>
        <v>0</v>
      </c>
      <c r="D535" s="183"/>
      <c r="E535" s="190"/>
      <c r="F535" s="40"/>
      <c r="G535" s="491"/>
      <c r="H535" s="7"/>
      <c r="I535" s="253"/>
      <c r="J535" s="253"/>
      <c r="K535" s="38"/>
      <c r="L535" s="193"/>
      <c r="M535" s="193"/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94"/>
      <c r="AB535" s="598" t="e">
        <f t="shared" si="25"/>
        <v>#N/A</v>
      </c>
    </row>
    <row r="536" spans="1:30" ht="15.75" customHeight="1">
      <c r="A536" s="199" t="str">
        <f>IF(B536&lt;&gt;"",IF(AND(B536&gt;=_TM1,B536&lt;=_TM2,OR(TH!L536="1111",TH!M536="1111")),TH!D536,""),"")</f>
        <v/>
      </c>
      <c r="B536" s="36">
        <f t="shared" si="23"/>
        <v>1</v>
      </c>
      <c r="C536" s="190">
        <f t="shared" si="24"/>
        <v>0</v>
      </c>
      <c r="D536" s="183"/>
      <c r="E536" s="190"/>
      <c r="F536" s="849"/>
      <c r="G536" s="491"/>
      <c r="H536" s="7"/>
      <c r="I536" s="253"/>
      <c r="J536" s="253"/>
      <c r="K536" s="38"/>
      <c r="L536" s="193"/>
      <c r="M536" s="193"/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94"/>
      <c r="AB536" s="598" t="e">
        <f t="shared" si="25"/>
        <v>#N/A</v>
      </c>
    </row>
    <row r="537" spans="1:30" ht="15.75" customHeight="1">
      <c r="A537" s="199" t="str">
        <f>IF(B537&lt;&gt;"",IF(AND(B537&gt;=_TM1,B537&lt;=_TM2,OR(TH!L537="1111",TH!M537="1111")),TH!D537,""),"")</f>
        <v/>
      </c>
      <c r="B537" s="36">
        <f t="shared" ref="B537:B600" si="26">IF(C537&lt;&gt;"",MONTH(C537),"")</f>
        <v>1</v>
      </c>
      <c r="C537" s="190">
        <f t="shared" si="24"/>
        <v>0</v>
      </c>
      <c r="D537" s="183"/>
      <c r="E537" s="190"/>
      <c r="F537" s="40"/>
      <c r="G537" s="491"/>
      <c r="H537" s="7"/>
      <c r="I537" s="253"/>
      <c r="J537" s="253"/>
      <c r="K537" s="606"/>
      <c r="L537" s="193"/>
      <c r="M537" s="193"/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94"/>
      <c r="AB537" s="598" t="e">
        <f t="shared" si="25"/>
        <v>#N/A</v>
      </c>
    </row>
    <row r="538" spans="1:30" ht="15.75" customHeight="1">
      <c r="A538" s="199" t="str">
        <f>IF(B538&lt;&gt;"",IF(AND(B538&gt;=_TM1,B538&lt;=_TM2,OR(TH!L538="1111",TH!M538="1111")),TH!D538,""),"")</f>
        <v/>
      </c>
      <c r="B538" s="36">
        <f t="shared" si="26"/>
        <v>1</v>
      </c>
      <c r="C538" s="190">
        <f t="shared" si="24"/>
        <v>0</v>
      </c>
      <c r="D538" s="183"/>
      <c r="E538" s="190"/>
      <c r="F538" s="188"/>
      <c r="G538" s="491"/>
      <c r="H538" s="7"/>
      <c r="I538" s="253"/>
      <c r="J538" s="253"/>
      <c r="K538" s="38"/>
      <c r="L538" s="193"/>
      <c r="M538" s="193"/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94"/>
      <c r="AB538" s="598" t="e">
        <f t="shared" si="25"/>
        <v>#N/A</v>
      </c>
    </row>
    <row r="539" spans="1:30" ht="15.75" customHeight="1">
      <c r="A539" s="199" t="str">
        <f>IF(B539&lt;&gt;"",IF(AND(B539&gt;=_TM1,B539&lt;=_TM2,OR(TH!L539="1111",TH!M539="1111")),TH!D539,""),"")</f>
        <v/>
      </c>
      <c r="B539" s="36">
        <f t="shared" si="26"/>
        <v>1</v>
      </c>
      <c r="C539" s="190">
        <f t="shared" si="24"/>
        <v>0</v>
      </c>
      <c r="D539" s="183"/>
      <c r="E539" s="190"/>
      <c r="F539" s="293"/>
      <c r="G539" s="491"/>
      <c r="H539" s="7"/>
      <c r="I539" s="253"/>
      <c r="J539" s="253"/>
      <c r="K539" s="38"/>
      <c r="L539" s="193"/>
      <c r="M539" s="193"/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94"/>
      <c r="AB539" s="598" t="e">
        <f t="shared" si="25"/>
        <v>#N/A</v>
      </c>
    </row>
    <row r="540" spans="1:30" ht="15.75" customHeight="1">
      <c r="A540" s="199" t="str">
        <f>IF(B540&lt;&gt;"",IF(AND(B540&gt;=_TM1,B540&lt;=_TM2,OR(TH!L540="1111",TH!M540="1111")),TH!D540,""),"")</f>
        <v/>
      </c>
      <c r="B540" s="36">
        <f t="shared" si="26"/>
        <v>1</v>
      </c>
      <c r="C540" s="190">
        <f t="shared" si="24"/>
        <v>0</v>
      </c>
      <c r="D540" s="183"/>
      <c r="E540" s="183"/>
      <c r="F540" s="188"/>
      <c r="G540" s="608"/>
      <c r="H540" s="192"/>
      <c r="I540" s="253"/>
      <c r="J540" s="253"/>
      <c r="K540" s="606"/>
      <c r="L540" s="193"/>
      <c r="M540" s="193"/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94"/>
      <c r="AB540" s="598" t="e">
        <f t="shared" si="25"/>
        <v>#N/A</v>
      </c>
      <c r="AC540" s="598"/>
      <c r="AD540" s="598"/>
    </row>
    <row r="541" spans="1:30" ht="15.75" customHeight="1">
      <c r="A541" s="199" t="str">
        <f>IF(B541&lt;&gt;"",IF(AND(B541&gt;=_TM1,B541&lt;=_TM2,OR(TH!L541="1111",TH!M541="1111")),TH!D541,""),"")</f>
        <v/>
      </c>
      <c r="B541" s="36">
        <f t="shared" si="26"/>
        <v>1</v>
      </c>
      <c r="C541" s="190">
        <f t="shared" si="24"/>
        <v>0</v>
      </c>
      <c r="D541" s="183"/>
      <c r="E541" s="190"/>
      <c r="F541" s="191"/>
      <c r="G541" s="491"/>
      <c r="H541" s="7"/>
      <c r="I541" s="254"/>
      <c r="J541" s="254"/>
      <c r="K541" s="38"/>
      <c r="L541" s="193"/>
      <c r="M541" s="193"/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94"/>
      <c r="AB541" s="598" t="e">
        <f t="shared" si="25"/>
        <v>#N/A</v>
      </c>
      <c r="AC541" s="598"/>
      <c r="AD541" s="598"/>
    </row>
    <row r="542" spans="1:30" ht="15.75" customHeight="1">
      <c r="A542" s="199" t="str">
        <f>IF(B542&lt;&gt;"",IF(AND(B542&gt;=_TM1,B542&lt;=_TM2,OR(TH!L542="1111",TH!M542="1111")),TH!D542,""),"")</f>
        <v/>
      </c>
      <c r="B542" s="36">
        <f t="shared" si="26"/>
        <v>1</v>
      </c>
      <c r="C542" s="190">
        <f t="shared" si="24"/>
        <v>0</v>
      </c>
      <c r="D542" s="183"/>
      <c r="E542" s="190"/>
      <c r="F542" s="820"/>
      <c r="G542" s="491"/>
      <c r="H542" s="7"/>
      <c r="I542" s="253"/>
      <c r="J542" s="253"/>
      <c r="K542" s="38"/>
      <c r="L542" s="193"/>
      <c r="M542" s="193"/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94"/>
      <c r="AB542" s="598" t="e">
        <f t="shared" si="25"/>
        <v>#N/A</v>
      </c>
      <c r="AD542" s="598"/>
    </row>
    <row r="543" spans="1:30" ht="15.75" customHeight="1">
      <c r="A543" s="199" t="str">
        <f>IF(B543&lt;&gt;"",IF(AND(B543&gt;=_TM1,B543&lt;=_TM2,OR(TH!L543="1111",TH!M543="1111")),TH!D543,""),"")</f>
        <v/>
      </c>
      <c r="B543" s="36">
        <f t="shared" si="26"/>
        <v>1</v>
      </c>
      <c r="C543" s="190">
        <f t="shared" si="24"/>
        <v>0</v>
      </c>
      <c r="D543" s="183"/>
      <c r="E543" s="183"/>
      <c r="F543" s="188"/>
      <c r="G543" s="608"/>
      <c r="H543" s="7"/>
      <c r="I543" s="253"/>
      <c r="J543" s="253"/>
      <c r="K543" s="38"/>
      <c r="L543" s="193"/>
      <c r="M543" s="193"/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94"/>
      <c r="AB543" s="598" t="e">
        <f t="shared" si="25"/>
        <v>#N/A</v>
      </c>
      <c r="AC543" s="598"/>
      <c r="AD543" s="598"/>
    </row>
    <row r="544" spans="1:30" ht="15.75" customHeight="1">
      <c r="A544" s="199" t="str">
        <f>IF(B544&lt;&gt;"",IF(AND(B544&gt;=_TM1,B544&lt;=_TM2,OR(TH!L544="1111",TH!M544="1111")),TH!D544,""),"")</f>
        <v/>
      </c>
      <c r="B544" s="36">
        <f t="shared" si="26"/>
        <v>1</v>
      </c>
      <c r="C544" s="190">
        <f t="shared" si="24"/>
        <v>0</v>
      </c>
      <c r="D544" s="183"/>
      <c r="E544" s="183"/>
      <c r="F544" s="188"/>
      <c r="G544" s="608"/>
      <c r="H544" s="7"/>
      <c r="I544" s="253"/>
      <c r="J544" s="253"/>
      <c r="K544" s="606"/>
      <c r="L544" s="193"/>
      <c r="M544" s="193"/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94"/>
      <c r="AB544" s="598" t="e">
        <f t="shared" si="25"/>
        <v>#N/A</v>
      </c>
      <c r="AC544" s="598"/>
      <c r="AD544" s="598"/>
    </row>
    <row r="545" spans="1:30" ht="15.75" customHeight="1">
      <c r="A545" s="199" t="str">
        <f>IF(B545&lt;&gt;"",IF(AND(B545&gt;=_TM1,B545&lt;=_TM2,OR(TH!L545="1111",TH!M545="1111")),TH!D545,""),"")</f>
        <v/>
      </c>
      <c r="B545" s="36">
        <f t="shared" si="26"/>
        <v>1</v>
      </c>
      <c r="C545" s="190">
        <f t="shared" si="24"/>
        <v>0</v>
      </c>
      <c r="D545" s="183"/>
      <c r="E545" s="190"/>
      <c r="F545" s="188"/>
      <c r="G545" s="491"/>
      <c r="H545" s="7"/>
      <c r="I545" s="254"/>
      <c r="J545" s="254"/>
      <c r="K545" s="38"/>
      <c r="L545" s="193"/>
      <c r="M545" s="193"/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94"/>
      <c r="AB545" s="598" t="e">
        <f t="shared" si="25"/>
        <v>#N/A</v>
      </c>
      <c r="AC545" s="598"/>
      <c r="AD545" s="598"/>
    </row>
    <row r="546" spans="1:30" ht="15.75" customHeight="1">
      <c r="A546" s="199" t="str">
        <f>IF(B546&lt;&gt;"",IF(AND(B546&gt;=_TM1,B546&lt;=_TM2,OR(TH!L546="1111",TH!M546="1111")),TH!D546,""),"")</f>
        <v/>
      </c>
      <c r="B546" s="36">
        <f t="shared" si="26"/>
        <v>1</v>
      </c>
      <c r="C546" s="190">
        <f t="shared" si="24"/>
        <v>0</v>
      </c>
      <c r="D546" s="183"/>
      <c r="E546" s="190"/>
      <c r="F546" s="188"/>
      <c r="G546" s="491"/>
      <c r="H546" s="7"/>
      <c r="I546" s="254"/>
      <c r="J546" s="254"/>
      <c r="K546" s="606"/>
      <c r="L546" s="193"/>
      <c r="M546" s="193"/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94"/>
      <c r="AB546" s="598" t="e">
        <f t="shared" si="25"/>
        <v>#N/A</v>
      </c>
      <c r="AC546" s="598"/>
      <c r="AD546" s="598"/>
    </row>
    <row r="547" spans="1:30" ht="15.75" customHeight="1">
      <c r="A547" s="199" t="str">
        <f>IF(B547&lt;&gt;"",IF(AND(B547&gt;=_TM1,B547&lt;=_TM2,OR(TH!L547="1111",TH!M547="1111")),TH!D547,""),"")</f>
        <v/>
      </c>
      <c r="B547" s="36">
        <f t="shared" si="26"/>
        <v>1</v>
      </c>
      <c r="C547" s="190">
        <f t="shared" si="24"/>
        <v>0</v>
      </c>
      <c r="D547" s="183"/>
      <c r="E547" s="190"/>
      <c r="F547" s="188"/>
      <c r="G547" s="491"/>
      <c r="H547" s="7"/>
      <c r="I547" s="254"/>
      <c r="J547" s="254"/>
      <c r="K547" s="38"/>
      <c r="L547" s="193"/>
      <c r="M547" s="193"/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94"/>
      <c r="AB547" s="598" t="e">
        <f t="shared" si="25"/>
        <v>#N/A</v>
      </c>
      <c r="AC547" s="598"/>
      <c r="AD547" s="598"/>
    </row>
    <row r="548" spans="1:30" ht="15.75" customHeight="1">
      <c r="A548" s="199" t="str">
        <f>IF(B548&lt;&gt;"",IF(AND(B548&gt;=_TM1,B548&lt;=_TM2,OR(TH!L548="1111",TH!M548="1111")),TH!D548,""),"")</f>
        <v/>
      </c>
      <c r="B548" s="36">
        <f t="shared" si="26"/>
        <v>1</v>
      </c>
      <c r="C548" s="190">
        <f t="shared" si="24"/>
        <v>0</v>
      </c>
      <c r="D548" s="183"/>
      <c r="E548" s="190"/>
      <c r="F548" s="188"/>
      <c r="G548" s="491"/>
      <c r="H548" s="7"/>
      <c r="I548" s="254"/>
      <c r="J548" s="254"/>
      <c r="K548" s="606"/>
      <c r="L548" s="193"/>
      <c r="M548" s="193"/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94"/>
      <c r="AB548" s="598" t="e">
        <f t="shared" si="25"/>
        <v>#N/A</v>
      </c>
      <c r="AC548" s="598"/>
      <c r="AD548" s="598"/>
    </row>
    <row r="549" spans="1:30" ht="15.75" customHeight="1">
      <c r="A549" s="199" t="str">
        <f>IF(B549&lt;&gt;"",IF(AND(B549&gt;=_TM1,B549&lt;=_TM2,OR(TH!L549="1111",TH!M549="1111")),TH!D549,""),"")</f>
        <v/>
      </c>
      <c r="B549" s="36">
        <f t="shared" si="26"/>
        <v>1</v>
      </c>
      <c r="C549" s="190">
        <f t="shared" si="24"/>
        <v>0</v>
      </c>
      <c r="D549" s="183"/>
      <c r="E549" s="190"/>
      <c r="F549" s="188"/>
      <c r="G549" s="491"/>
      <c r="H549" s="7"/>
      <c r="I549" s="254"/>
      <c r="J549" s="254"/>
      <c r="K549" s="38"/>
      <c r="L549" s="193"/>
      <c r="M549" s="193"/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94"/>
      <c r="AB549" s="598" t="e">
        <f t="shared" si="25"/>
        <v>#N/A</v>
      </c>
      <c r="AC549" s="598"/>
      <c r="AD549" s="598"/>
    </row>
    <row r="550" spans="1:30" ht="15.75" customHeight="1">
      <c r="A550" s="199" t="str">
        <f>IF(B550&lt;&gt;"",IF(AND(B550&gt;=_TM1,B550&lt;=_TM2,OR(TH!L550="1111",TH!M550="1111")),TH!D550,""),"")</f>
        <v/>
      </c>
      <c r="B550" s="36">
        <f t="shared" si="26"/>
        <v>1</v>
      </c>
      <c r="C550" s="190">
        <f t="shared" si="24"/>
        <v>0</v>
      </c>
      <c r="D550" s="183"/>
      <c r="E550" s="190"/>
      <c r="F550" s="188"/>
      <c r="G550" s="491"/>
      <c r="H550" s="7"/>
      <c r="I550" s="254"/>
      <c r="J550" s="254"/>
      <c r="K550" s="38"/>
      <c r="L550" s="193"/>
      <c r="M550" s="193"/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94"/>
      <c r="AB550" s="598" t="e">
        <f t="shared" si="25"/>
        <v>#N/A</v>
      </c>
      <c r="AC550" s="598"/>
      <c r="AD550" s="598"/>
    </row>
    <row r="551" spans="1:30" ht="15.75" customHeight="1">
      <c r="A551" s="199" t="str">
        <f>IF(B551&lt;&gt;"",IF(AND(B551&gt;=_TM1,B551&lt;=_TM2,OR(TH!L551="1111",TH!M551="1111")),TH!D551,""),"")</f>
        <v/>
      </c>
      <c r="B551" s="36">
        <f t="shared" si="26"/>
        <v>1</v>
      </c>
      <c r="C551" s="190">
        <f t="shared" si="24"/>
        <v>0</v>
      </c>
      <c r="D551" s="183"/>
      <c r="E551" s="190"/>
      <c r="F551" s="188"/>
      <c r="G551" s="491"/>
      <c r="H551" s="7"/>
      <c r="I551" s="253"/>
      <c r="J551" s="253"/>
      <c r="K551" s="38"/>
      <c r="L551" s="193"/>
      <c r="M551" s="193"/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94"/>
      <c r="AB551" s="598" t="e">
        <f t="shared" si="25"/>
        <v>#N/A</v>
      </c>
      <c r="AC551" s="598"/>
      <c r="AD551" s="598"/>
    </row>
    <row r="552" spans="1:30" ht="15.75" customHeight="1">
      <c r="A552" s="199" t="str">
        <f>IF(B552&lt;&gt;"",IF(AND(B552&gt;=_TM1,B552&lt;=_TM2,OR(TH!L552="1111",TH!M552="1111")),TH!D552,""),"")</f>
        <v/>
      </c>
      <c r="B552" s="36">
        <f t="shared" si="26"/>
        <v>1</v>
      </c>
      <c r="C552" s="190">
        <f t="shared" si="24"/>
        <v>0</v>
      </c>
      <c r="D552" s="183"/>
      <c r="E552" s="190"/>
      <c r="F552" s="188"/>
      <c r="G552" s="491"/>
      <c r="H552" s="7"/>
      <c r="I552" s="253"/>
      <c r="J552" s="253"/>
      <c r="K552" s="606"/>
      <c r="L552" s="193"/>
      <c r="M552" s="193"/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94"/>
      <c r="AB552" s="598" t="e">
        <f t="shared" si="25"/>
        <v>#N/A</v>
      </c>
      <c r="AC552" s="598"/>
      <c r="AD552" s="598"/>
    </row>
    <row r="553" spans="1:30" ht="15.75" customHeight="1">
      <c r="A553" s="199" t="str">
        <f>IF(B553&lt;&gt;"",IF(AND(B553&gt;=_TM1,B553&lt;=_TM2,OR(TH!L553="1111",TH!M553="1111")),TH!D553,""),"")</f>
        <v/>
      </c>
      <c r="B553" s="36">
        <f t="shared" si="26"/>
        <v>1</v>
      </c>
      <c r="C553" s="190">
        <f t="shared" si="24"/>
        <v>0</v>
      </c>
      <c r="D553" s="183"/>
      <c r="E553" s="190"/>
      <c r="F553" s="188"/>
      <c r="G553" s="491"/>
      <c r="H553" s="7"/>
      <c r="I553" s="253"/>
      <c r="J553" s="253"/>
      <c r="K553" s="38"/>
      <c r="L553" s="193"/>
      <c r="M553" s="193"/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94"/>
      <c r="AB553" s="598" t="e">
        <f t="shared" si="25"/>
        <v>#N/A</v>
      </c>
      <c r="AC553" s="598"/>
      <c r="AD553" s="598"/>
    </row>
    <row r="554" spans="1:30" ht="15.75" customHeight="1">
      <c r="A554" s="199" t="str">
        <f>IF(B554&lt;&gt;"",IF(AND(B554&gt;=_TM1,B554&lt;=_TM2,OR(TH!L554="1111",TH!M554="1111")),TH!D554,""),"")</f>
        <v/>
      </c>
      <c r="B554" s="36">
        <f t="shared" si="26"/>
        <v>1</v>
      </c>
      <c r="C554" s="190">
        <f t="shared" si="24"/>
        <v>0</v>
      </c>
      <c r="D554" s="183"/>
      <c r="E554" s="190"/>
      <c r="F554" s="188"/>
      <c r="G554" s="491"/>
      <c r="H554" s="7"/>
      <c r="I554" s="253"/>
      <c r="J554" s="253"/>
      <c r="K554" s="38"/>
      <c r="L554" s="193"/>
      <c r="M554" s="193"/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94"/>
      <c r="AB554" s="598" t="e">
        <f t="shared" si="25"/>
        <v>#N/A</v>
      </c>
      <c r="AC554" s="598"/>
      <c r="AD554" s="598"/>
    </row>
    <row r="555" spans="1:30" ht="15.75" customHeight="1">
      <c r="A555" s="199" t="str">
        <f>IF(B555&lt;&gt;"",IF(AND(B555&gt;=_TM1,B555&lt;=_TM2,OR(TH!L555="1111",TH!M555="1111")),TH!D555,""),"")</f>
        <v/>
      </c>
      <c r="B555" s="36">
        <f t="shared" si="26"/>
        <v>1</v>
      </c>
      <c r="C555" s="190">
        <f t="shared" si="24"/>
        <v>0</v>
      </c>
      <c r="D555" s="183"/>
      <c r="E555" s="190"/>
      <c r="F555" s="188"/>
      <c r="G555" s="491"/>
      <c r="H555" s="7"/>
      <c r="I555" s="253"/>
      <c r="J555" s="253"/>
      <c r="K555" s="38"/>
      <c r="L555" s="193"/>
      <c r="M555" s="193"/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94"/>
      <c r="AB555" s="598" t="e">
        <f t="shared" si="25"/>
        <v>#N/A</v>
      </c>
      <c r="AD555" s="598"/>
    </row>
    <row r="556" spans="1:30" ht="15.75" customHeight="1">
      <c r="A556" s="199" t="str">
        <f>IF(B556&lt;&gt;"",IF(AND(B556&gt;=_TM1,B556&lt;=_TM2,OR(TH!L556="1111",TH!M556="1111")),TH!D556,""),"")</f>
        <v/>
      </c>
      <c r="B556" s="36">
        <f t="shared" si="26"/>
        <v>1</v>
      </c>
      <c r="C556" s="190">
        <f t="shared" si="24"/>
        <v>0</v>
      </c>
      <c r="D556" s="183"/>
      <c r="E556" s="190"/>
      <c r="F556" s="188"/>
      <c r="G556" s="491"/>
      <c r="H556" s="7"/>
      <c r="I556" s="253"/>
      <c r="J556" s="253"/>
      <c r="K556" s="38"/>
      <c r="L556" s="193"/>
      <c r="M556" s="193"/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94"/>
      <c r="AB556" s="598" t="e">
        <f t="shared" si="25"/>
        <v>#N/A</v>
      </c>
      <c r="AC556" s="598"/>
      <c r="AD556" s="598"/>
    </row>
    <row r="557" spans="1:30" ht="15.75" customHeight="1">
      <c r="A557" s="199" t="str">
        <f>IF(B557&lt;&gt;"",IF(AND(B557&gt;=_TM1,B557&lt;=_TM2,OR(TH!L557="1111",TH!M557="1111")),TH!D557,""),"")</f>
        <v/>
      </c>
      <c r="B557" s="36">
        <f t="shared" si="26"/>
        <v>1</v>
      </c>
      <c r="C557" s="190">
        <f t="shared" si="24"/>
        <v>0</v>
      </c>
      <c r="D557" s="183"/>
      <c r="E557" s="190"/>
      <c r="F557" s="188"/>
      <c r="G557" s="491"/>
      <c r="H557" s="7"/>
      <c r="I557" s="253"/>
      <c r="J557" s="253"/>
      <c r="K557" s="38"/>
      <c r="L557" s="193"/>
      <c r="M557" s="193"/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94"/>
      <c r="AB557" s="598" t="e">
        <f t="shared" si="25"/>
        <v>#N/A</v>
      </c>
      <c r="AD557" s="598"/>
    </row>
    <row r="558" spans="1:30" ht="15.75" customHeight="1">
      <c r="A558" s="199" t="str">
        <f>IF(B558&lt;&gt;"",IF(AND(B558&gt;=_TM1,B558&lt;=_TM2,OR(TH!L558="1111",TH!M558="1111")),TH!D558,""),"")</f>
        <v/>
      </c>
      <c r="B558" s="36">
        <f t="shared" si="26"/>
        <v>1</v>
      </c>
      <c r="C558" s="190">
        <f t="shared" si="24"/>
        <v>0</v>
      </c>
      <c r="D558" s="183"/>
      <c r="E558" s="190"/>
      <c r="F558" s="188"/>
      <c r="G558" s="491"/>
      <c r="H558" s="7"/>
      <c r="I558" s="253"/>
      <c r="J558" s="253"/>
      <c r="K558" s="38"/>
      <c r="L558" s="193"/>
      <c r="M558" s="193"/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94"/>
      <c r="AB558" s="598" t="e">
        <f t="shared" si="25"/>
        <v>#N/A</v>
      </c>
      <c r="AC558" s="598"/>
      <c r="AD558" s="598"/>
    </row>
    <row r="559" spans="1:30" ht="15.75" customHeight="1">
      <c r="A559" s="199" t="str">
        <f>IF(B559&lt;&gt;"",IF(AND(B559&gt;=_TM1,B559&lt;=_TM2,OR(TH!L559="1111",TH!M559="1111")),TH!D559,""),"")</f>
        <v/>
      </c>
      <c r="B559" s="36">
        <f t="shared" si="26"/>
        <v>1</v>
      </c>
      <c r="C559" s="190">
        <f t="shared" si="24"/>
        <v>0</v>
      </c>
      <c r="D559" s="183"/>
      <c r="E559" s="190"/>
      <c r="F559" s="188"/>
      <c r="G559" s="491"/>
      <c r="H559" s="7"/>
      <c r="I559" s="253"/>
      <c r="J559" s="253"/>
      <c r="K559" s="38"/>
      <c r="L559" s="193"/>
      <c r="M559" s="193"/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94"/>
      <c r="AB559" s="598" t="e">
        <f t="shared" si="25"/>
        <v>#N/A</v>
      </c>
      <c r="AC559" s="598"/>
      <c r="AD559" s="598"/>
    </row>
    <row r="560" spans="1:30" ht="15.75" customHeight="1">
      <c r="A560" s="199" t="str">
        <f>IF(B560&lt;&gt;"",IF(AND(B560&gt;=_TM1,B560&lt;=_TM2,OR(TH!L560="1111",TH!M560="1111")),TH!D560,""),"")</f>
        <v/>
      </c>
      <c r="B560" s="36">
        <f t="shared" si="26"/>
        <v>1</v>
      </c>
      <c r="C560" s="190">
        <f t="shared" si="24"/>
        <v>0</v>
      </c>
      <c r="D560" s="183"/>
      <c r="E560" s="183"/>
      <c r="F560" s="188"/>
      <c r="G560" s="608"/>
      <c r="H560" s="192"/>
      <c r="I560" s="253"/>
      <c r="J560" s="253"/>
      <c r="K560" s="38"/>
      <c r="L560" s="193"/>
      <c r="M560" s="193"/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94"/>
      <c r="AB560" s="598" t="e">
        <f t="shared" si="25"/>
        <v>#N/A</v>
      </c>
      <c r="AC560" s="598"/>
      <c r="AD560" s="598"/>
    </row>
    <row r="561" spans="1:30" ht="15.75" customHeight="1">
      <c r="A561" s="199" t="str">
        <f>IF(B561&lt;&gt;"",IF(AND(B561&gt;=_TM1,B561&lt;=_TM2,OR(TH!L561="1111",TH!M561="1111")),TH!D561,""),"")</f>
        <v/>
      </c>
      <c r="B561" s="36">
        <f t="shared" si="26"/>
        <v>1</v>
      </c>
      <c r="C561" s="190">
        <f t="shared" si="24"/>
        <v>0</v>
      </c>
      <c r="D561" s="183"/>
      <c r="E561" s="190"/>
      <c r="F561" s="191"/>
      <c r="G561" s="491"/>
      <c r="H561" s="192"/>
      <c r="I561" s="253"/>
      <c r="J561" s="253"/>
      <c r="K561" s="38"/>
      <c r="L561" s="193"/>
      <c r="M561" s="193"/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94"/>
      <c r="AB561" s="598" t="e">
        <f t="shared" si="25"/>
        <v>#N/A</v>
      </c>
      <c r="AC561" s="598"/>
      <c r="AD561" s="598"/>
    </row>
    <row r="562" spans="1:30" ht="15.75" customHeight="1">
      <c r="A562" s="199" t="str">
        <f>IF(B562&lt;&gt;"",IF(AND(B562&gt;=_TM1,B562&lt;=_TM2,OR(TH!L562="1111",TH!M562="1111")),TH!D562,""),"")</f>
        <v/>
      </c>
      <c r="B562" s="36">
        <f t="shared" si="26"/>
        <v>1</v>
      </c>
      <c r="C562" s="190">
        <f t="shared" si="24"/>
        <v>0</v>
      </c>
      <c r="D562" s="183"/>
      <c r="E562" s="190"/>
      <c r="F562" s="191"/>
      <c r="G562" s="491"/>
      <c r="H562" s="192"/>
      <c r="I562" s="253"/>
      <c r="J562" s="253"/>
      <c r="K562" s="606"/>
      <c r="L562" s="193"/>
      <c r="M562" s="193"/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94"/>
      <c r="AB562" s="598" t="e">
        <f t="shared" si="25"/>
        <v>#N/A</v>
      </c>
      <c r="AC562" s="598"/>
      <c r="AD562" s="598"/>
    </row>
    <row r="563" spans="1:30" ht="15.75" customHeight="1">
      <c r="A563" s="199" t="str">
        <f>IF(B563&lt;&gt;"",IF(AND(B563&gt;=_TM1,B563&lt;=_TM2,OR(TH!L563="1111",TH!M563="1111")),TH!D563,""),"")</f>
        <v/>
      </c>
      <c r="B563" s="36">
        <f t="shared" si="26"/>
        <v>1</v>
      </c>
      <c r="C563" s="190">
        <f t="shared" si="24"/>
        <v>0</v>
      </c>
      <c r="D563" s="183"/>
      <c r="E563" s="190"/>
      <c r="F563" s="191"/>
      <c r="G563" s="491"/>
      <c r="H563" s="192"/>
      <c r="I563" s="253"/>
      <c r="J563" s="253"/>
      <c r="K563" s="38"/>
      <c r="L563" s="193"/>
      <c r="M563" s="193"/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94"/>
      <c r="AB563" s="598" t="e">
        <f t="shared" si="25"/>
        <v>#N/A</v>
      </c>
      <c r="AC563" s="598"/>
      <c r="AD563" s="598"/>
    </row>
    <row r="564" spans="1:30" ht="15.75" customHeight="1">
      <c r="A564" s="199" t="str">
        <f>IF(B564&lt;&gt;"",IF(AND(B564&gt;=_TM1,B564&lt;=_TM2,OR(TH!L564="1111",TH!M564="1111")),TH!D564,""),"")</f>
        <v/>
      </c>
      <c r="B564" s="36">
        <f t="shared" si="26"/>
        <v>1</v>
      </c>
      <c r="C564" s="190">
        <f t="shared" si="24"/>
        <v>0</v>
      </c>
      <c r="D564" s="183"/>
      <c r="E564" s="190"/>
      <c r="F564" s="293"/>
      <c r="G564" s="491"/>
      <c r="H564" s="7"/>
      <c r="I564" s="253"/>
      <c r="J564" s="253"/>
      <c r="K564" s="38"/>
      <c r="L564" s="193"/>
      <c r="M564" s="193"/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94"/>
      <c r="AB564" s="598" t="e">
        <f t="shared" si="25"/>
        <v>#N/A</v>
      </c>
    </row>
    <row r="565" spans="1:30" ht="15.75" customHeight="1">
      <c r="A565" s="199" t="str">
        <f>IF(B565&lt;&gt;"",IF(AND(B565&gt;=_TM1,B565&lt;=_TM2,OR(TH!L565="1111",TH!M565="1111")),TH!D565,""),"")</f>
        <v/>
      </c>
      <c r="B565" s="36">
        <f t="shared" si="26"/>
        <v>1</v>
      </c>
      <c r="C565" s="190">
        <f t="shared" ref="C565:C628" si="27">E565</f>
        <v>0</v>
      </c>
      <c r="D565" s="183"/>
      <c r="E565" s="190"/>
      <c r="F565" s="188"/>
      <c r="G565" s="491"/>
      <c r="H565" s="7"/>
      <c r="I565" s="821"/>
      <c r="J565" s="253"/>
      <c r="K565" s="38"/>
      <c r="L565" s="193"/>
      <c r="M565" s="193"/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94"/>
      <c r="AB565" s="598" t="e">
        <f t="shared" si="25"/>
        <v>#N/A</v>
      </c>
    </row>
    <row r="566" spans="1:30" ht="15.75" customHeight="1">
      <c r="A566" s="199" t="str">
        <f>IF(B566&lt;&gt;"",IF(AND(B566&gt;=_TM1,B566&lt;=_TM2,OR(TH!L566="1111",TH!M566="1111")),TH!D566,""),"")</f>
        <v/>
      </c>
      <c r="B566" s="36">
        <f t="shared" si="26"/>
        <v>1</v>
      </c>
      <c r="C566" s="190">
        <f t="shared" si="27"/>
        <v>0</v>
      </c>
      <c r="D566" s="183"/>
      <c r="E566" s="190"/>
      <c r="F566" s="188"/>
      <c r="G566" s="491"/>
      <c r="H566" s="7"/>
      <c r="I566" s="253"/>
      <c r="J566" s="253"/>
      <c r="K566" s="38"/>
      <c r="L566" s="193"/>
      <c r="M566" s="193"/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94"/>
      <c r="AB566" s="598" t="e">
        <f t="shared" si="25"/>
        <v>#N/A</v>
      </c>
    </row>
    <row r="567" spans="1:30" ht="15.75" customHeight="1">
      <c r="A567" s="199" t="str">
        <f>IF(B567&lt;&gt;"",IF(AND(B567&gt;=_TM1,B567&lt;=_TM2,OR(TH!L567="1111",TH!M567="1111")),TH!D567,""),"")</f>
        <v/>
      </c>
      <c r="B567" s="36">
        <f t="shared" si="26"/>
        <v>1</v>
      </c>
      <c r="C567" s="190">
        <f t="shared" si="27"/>
        <v>0</v>
      </c>
      <c r="D567" s="183"/>
      <c r="E567" s="190"/>
      <c r="F567" s="188"/>
      <c r="G567" s="491"/>
      <c r="H567" s="7"/>
      <c r="I567" s="253"/>
      <c r="J567" s="253"/>
      <c r="K567" s="38"/>
      <c r="L567" s="193"/>
      <c r="M567" s="193"/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94"/>
      <c r="AB567" s="598" t="e">
        <f t="shared" si="25"/>
        <v>#N/A</v>
      </c>
    </row>
    <row r="568" spans="1:30" ht="15.75" customHeight="1">
      <c r="A568" s="199" t="str">
        <f>IF(B568&lt;&gt;"",IF(AND(B568&gt;=_TM1,B568&lt;=_TM2,OR(TH!L568="1111",TH!M568="1111")),TH!D568,""),"")</f>
        <v/>
      </c>
      <c r="B568" s="36">
        <f t="shared" si="26"/>
        <v>1</v>
      </c>
      <c r="C568" s="190">
        <f t="shared" si="27"/>
        <v>0</v>
      </c>
      <c r="D568" s="183"/>
      <c r="E568" s="190"/>
      <c r="F568" s="40"/>
      <c r="G568" s="491"/>
      <c r="H568" s="7"/>
      <c r="I568" s="253"/>
      <c r="J568" s="253"/>
      <c r="K568" s="38"/>
      <c r="L568" s="193"/>
      <c r="M568" s="193"/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94"/>
      <c r="AB568" s="598" t="e">
        <f t="shared" si="25"/>
        <v>#N/A</v>
      </c>
    </row>
    <row r="569" spans="1:30" ht="15.75" customHeight="1">
      <c r="A569" s="199" t="str">
        <f>IF(B569&lt;&gt;"",IF(AND(B569&gt;=_TM1,B569&lt;=_TM2,OR(TH!L569="1111",TH!M569="1111")),TH!D569,""),"")</f>
        <v/>
      </c>
      <c r="B569" s="36">
        <f t="shared" si="26"/>
        <v>1</v>
      </c>
      <c r="C569" s="190">
        <f t="shared" si="27"/>
        <v>0</v>
      </c>
      <c r="D569" s="183"/>
      <c r="E569" s="190"/>
      <c r="F569" s="40"/>
      <c r="G569" s="491"/>
      <c r="H569" s="7"/>
      <c r="I569" s="253"/>
      <c r="J569" s="253"/>
      <c r="K569" s="38"/>
      <c r="L569" s="193"/>
      <c r="M569" s="193"/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94"/>
      <c r="AB569" s="598" t="e">
        <f t="shared" si="25"/>
        <v>#N/A</v>
      </c>
    </row>
    <row r="570" spans="1:30" ht="15.75" customHeight="1">
      <c r="A570" s="199" t="str">
        <f>IF(B570&lt;&gt;"",IF(AND(B570&gt;=_TM1,B570&lt;=_TM2,OR(TH!L570="1111",TH!M570="1111")),TH!D570,""),"")</f>
        <v/>
      </c>
      <c r="B570" s="36">
        <f t="shared" si="26"/>
        <v>1</v>
      </c>
      <c r="C570" s="190">
        <f t="shared" si="27"/>
        <v>0</v>
      </c>
      <c r="D570" s="183"/>
      <c r="E570" s="190"/>
      <c r="F570" s="839"/>
      <c r="G570" s="491"/>
      <c r="H570" s="7"/>
      <c r="I570" s="253"/>
      <c r="J570" s="253"/>
      <c r="K570" s="38"/>
      <c r="L570" s="193"/>
      <c r="M570" s="193"/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94"/>
      <c r="AB570" s="598" t="e">
        <f t="shared" si="25"/>
        <v>#N/A</v>
      </c>
    </row>
    <row r="571" spans="1:30" ht="15.75" customHeight="1">
      <c r="A571" s="199" t="str">
        <f>IF(B571&lt;&gt;"",IF(AND(B571&gt;=_TM1,B571&lt;=_TM2,OR(TH!L571="1111",TH!M571="1111")),TH!D571,""),"")</f>
        <v/>
      </c>
      <c r="B571" s="36">
        <f t="shared" si="26"/>
        <v>1</v>
      </c>
      <c r="C571" s="190">
        <f t="shared" si="27"/>
        <v>0</v>
      </c>
      <c r="D571" s="183"/>
      <c r="E571" s="190"/>
      <c r="F571" s="188"/>
      <c r="G571" s="491"/>
      <c r="H571" s="7"/>
      <c r="I571" s="253"/>
      <c r="J571" s="253"/>
      <c r="K571" s="38"/>
      <c r="L571" s="193"/>
      <c r="M571" s="193"/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94"/>
      <c r="AB571" s="598" t="e">
        <f t="shared" si="25"/>
        <v>#N/A</v>
      </c>
    </row>
    <row r="572" spans="1:30" ht="15.75" customHeight="1">
      <c r="A572" s="199" t="str">
        <f>IF(B572&lt;&gt;"",IF(AND(B572&gt;=_TM1,B572&lt;=_TM2,OR(TH!L572="1111",TH!M572="1111")),TH!D572,""),"")</f>
        <v/>
      </c>
      <c r="B572" s="36">
        <f t="shared" si="26"/>
        <v>1</v>
      </c>
      <c r="C572" s="190">
        <f t="shared" si="27"/>
        <v>0</v>
      </c>
      <c r="D572" s="183"/>
      <c r="E572" s="190"/>
      <c r="F572" s="40"/>
      <c r="G572" s="491"/>
      <c r="H572" s="7"/>
      <c r="I572" s="253"/>
      <c r="J572" s="253"/>
      <c r="K572" s="38"/>
      <c r="L572" s="193"/>
      <c r="M572" s="193"/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94"/>
      <c r="AB572" s="598" t="e">
        <f t="shared" si="25"/>
        <v>#N/A</v>
      </c>
    </row>
    <row r="573" spans="1:30" ht="15.75" customHeight="1">
      <c r="A573" s="199" t="str">
        <f>IF(B573&lt;&gt;"",IF(AND(B573&gt;=_TM1,B573&lt;=_TM2,OR(TH!L573="1111",TH!M573="1111")),TH!D573,""),"")</f>
        <v/>
      </c>
      <c r="B573" s="36">
        <f t="shared" si="26"/>
        <v>1</v>
      </c>
      <c r="C573" s="190">
        <f t="shared" si="27"/>
        <v>0</v>
      </c>
      <c r="D573" s="183"/>
      <c r="E573" s="190"/>
      <c r="F573" s="191"/>
      <c r="G573" s="491"/>
      <c r="H573" s="192"/>
      <c r="I573" s="253"/>
      <c r="J573" s="253"/>
      <c r="K573" s="606"/>
      <c r="L573" s="193"/>
      <c r="M573" s="193"/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94"/>
      <c r="AB573" s="598" t="e">
        <f t="shared" si="25"/>
        <v>#N/A</v>
      </c>
      <c r="AD573" s="598"/>
    </row>
    <row r="574" spans="1:30" ht="15.75" customHeight="1">
      <c r="A574" s="199" t="str">
        <f>IF(B574&lt;&gt;"",IF(AND(B574&gt;=_TM1,B574&lt;=_TM2,OR(TH!L574="1111",TH!M574="1111")),TH!D574,""),"")</f>
        <v/>
      </c>
      <c r="B574" s="36">
        <f t="shared" si="26"/>
        <v>1</v>
      </c>
      <c r="C574" s="190">
        <f t="shared" si="27"/>
        <v>0</v>
      </c>
      <c r="D574" s="183"/>
      <c r="E574" s="190"/>
      <c r="F574" s="191"/>
      <c r="G574" s="491"/>
      <c r="H574" s="192"/>
      <c r="I574" s="253"/>
      <c r="J574" s="253"/>
      <c r="K574" s="38"/>
      <c r="L574" s="193"/>
      <c r="M574" s="193"/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94"/>
      <c r="AB574" s="598" t="e">
        <f t="shared" si="25"/>
        <v>#N/A</v>
      </c>
      <c r="AC574" s="598"/>
      <c r="AD574" s="598"/>
    </row>
    <row r="575" spans="1:30" ht="15.75" customHeight="1">
      <c r="A575" s="199" t="str">
        <f>IF(B575&lt;&gt;"",IF(AND(B575&gt;=_TM1,B575&lt;=_TM2,OR(TH!L575="1111",TH!M575="1111")),TH!D575,""),"")</f>
        <v/>
      </c>
      <c r="B575" s="36">
        <f t="shared" si="26"/>
        <v>1</v>
      </c>
      <c r="C575" s="190">
        <f t="shared" si="27"/>
        <v>0</v>
      </c>
      <c r="D575" s="183"/>
      <c r="E575" s="190"/>
      <c r="F575" s="188"/>
      <c r="G575" s="491"/>
      <c r="H575" s="7"/>
      <c r="I575" s="254"/>
      <c r="J575" s="254"/>
      <c r="K575" s="38"/>
      <c r="L575" s="193"/>
      <c r="M575" s="193"/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/>
      </c>
      <c r="AA575" s="894"/>
      <c r="AB575" s="598" t="e">
        <f t="shared" si="25"/>
        <v>#N/A</v>
      </c>
      <c r="AC575" s="598"/>
      <c r="AD575" s="598"/>
    </row>
    <row r="576" spans="1:30" ht="15.75" customHeight="1">
      <c r="A576" s="199" t="str">
        <f>IF(B576&lt;&gt;"",IF(AND(B576&gt;=_TM1,B576&lt;=_TM2,OR(TH!L576="1111",TH!M576="1111")),TH!D576,""),"")</f>
        <v/>
      </c>
      <c r="B576" s="36">
        <f t="shared" si="26"/>
        <v>1</v>
      </c>
      <c r="C576" s="190">
        <f t="shared" si="27"/>
        <v>0</v>
      </c>
      <c r="D576" s="183"/>
      <c r="E576" s="190"/>
      <c r="F576" s="188"/>
      <c r="G576" s="491"/>
      <c r="H576" s="7"/>
      <c r="I576" s="253"/>
      <c r="J576" s="253"/>
      <c r="K576" s="38"/>
      <c r="L576" s="193"/>
      <c r="M576" s="193"/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/>
      </c>
      <c r="AA576" s="894"/>
      <c r="AB576" s="598" t="e">
        <f t="shared" si="25"/>
        <v>#N/A</v>
      </c>
      <c r="AC576" s="598"/>
      <c r="AD576" s="598"/>
    </row>
    <row r="577" spans="1:30" ht="15.75" customHeight="1">
      <c r="A577" s="199" t="str">
        <f>IF(B577&lt;&gt;"",IF(AND(B577&gt;=_TM1,B577&lt;=_TM2,OR(TH!L577="1111",TH!M577="1111")),TH!D577,""),"")</f>
        <v/>
      </c>
      <c r="B577" s="36">
        <f t="shared" si="26"/>
        <v>1</v>
      </c>
      <c r="C577" s="190">
        <f t="shared" si="27"/>
        <v>0</v>
      </c>
      <c r="D577" s="183"/>
      <c r="E577" s="190"/>
      <c r="F577" s="188"/>
      <c r="G577" s="491"/>
      <c r="H577" s="7"/>
      <c r="I577" s="253"/>
      <c r="J577" s="253"/>
      <c r="K577" s="38"/>
      <c r="L577" s="193"/>
      <c r="M577" s="193"/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/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/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/>
      </c>
      <c r="AA577" s="894"/>
      <c r="AB577" s="598" t="e">
        <f t="shared" si="25"/>
        <v>#N/A</v>
      </c>
      <c r="AD577" s="598"/>
    </row>
    <row r="578" spans="1:30" ht="15.75" customHeight="1">
      <c r="A578" s="199" t="str">
        <f>IF(B578&lt;&gt;"",IF(AND(B578&gt;=_TM1,B578&lt;=_TM2,OR(TH!L578="1111",TH!M578="1111")),TH!D578,""),"")</f>
        <v/>
      </c>
      <c r="B578" s="36">
        <f t="shared" si="26"/>
        <v>1</v>
      </c>
      <c r="C578" s="190">
        <f t="shared" si="27"/>
        <v>0</v>
      </c>
      <c r="D578" s="183"/>
      <c r="E578" s="190"/>
      <c r="F578" s="188"/>
      <c r="G578" s="491"/>
      <c r="H578" s="7"/>
      <c r="I578" s="254"/>
      <c r="J578" s="254"/>
      <c r="K578" s="38"/>
      <c r="L578" s="193"/>
      <c r="M578" s="193"/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/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/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894"/>
      <c r="AB578" s="598" t="e">
        <f t="shared" si="25"/>
        <v>#N/A</v>
      </c>
      <c r="AC578" s="598"/>
      <c r="AD578" s="598"/>
    </row>
    <row r="579" spans="1:30" ht="15.75" customHeight="1">
      <c r="A579" s="199" t="str">
        <f>IF(B579&lt;&gt;"",IF(AND(B579&gt;=_TM1,B579&lt;=_TM2,OR(TH!L579="1111",TH!M579="1111")),TH!D579,""),"")</f>
        <v/>
      </c>
      <c r="B579" s="36">
        <f t="shared" si="26"/>
        <v>1</v>
      </c>
      <c r="C579" s="190">
        <f t="shared" si="27"/>
        <v>0</v>
      </c>
      <c r="D579" s="183"/>
      <c r="E579" s="190"/>
      <c r="F579" s="188"/>
      <c r="G579" s="491"/>
      <c r="H579" s="7"/>
      <c r="I579" s="253"/>
      <c r="J579" s="253"/>
      <c r="K579" s="606"/>
      <c r="L579" s="193"/>
      <c r="M579" s="193"/>
      <c r="N579" s="39" t="str">
        <f>IF(AND('331-CT'!$E$7=TH!H579,OR(L579="331",M579="331")),"331",IF(AND(OR(L579="131",M579="131"),H579='131-CT'!$E$7),"131",""))</f>
        <v/>
      </c>
      <c r="O579" s="39" t="str">
        <f>IF(AND($B579&gt;='111'!$N$11,$B579&lt;='111'!$O$11,OR($L579=$O$7,$M579=$O$7)),"x","")</f>
        <v/>
      </c>
      <c r="P579" s="39" t="str">
        <f>IF(AND($L579=$O$7,$B579&lt;'111'!$N$11),"x","")</f>
        <v/>
      </c>
      <c r="Q579" s="39" t="str">
        <f>IF(AND($M579=$O$7,$B579&lt;'111'!$N$11),"x","")</f>
        <v/>
      </c>
      <c r="R579" s="39" t="str">
        <f>IF(ISERROR(FIND('112'!$M$9,G579,1)),"",IF((AND(FIND('112'!$M$9,G579,1)&gt;=1,$B579&gt;='112'!$N$8,$B579&lt;='112'!$O$8,OR($L579='112'!$I$6,$M579='112'!$I$6))),"x",""))</f>
        <v/>
      </c>
      <c r="S579" s="39" t="str">
        <f>IF(ISERROR(FIND('112'!$M$9,G579,1)),"",IF((AND(LEFT(G579,2)=LEFT('112'!$M$9,2),B579&lt;'112'!$N$8,$L579='112'!$I$6)),"x",""))</f>
        <v/>
      </c>
      <c r="T579" s="39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39" t="str">
        <f>IF(OR(TH!L579=TH!$V$7,M579=TH!$V$7),"x","")</f>
        <v/>
      </c>
      <c r="W579" s="39" t="str">
        <f>IF(AND(B579&gt;='IN-NX'!$P$3,B579&lt;='IN-NX'!$Q$3,'IN-NX'!$D$7=D579,OR(LEFT(L579,2)="15",AND(LEFT(M579,2)&lt;&gt;"15",LEFT(M579,2)&lt;&gt;"33"))),"x","")</f>
        <v/>
      </c>
      <c r="X579" s="39" t="str">
        <f>IF(AND(OR(LEFT(TH!L579,2)="15",LEFT(TH!M579,2)="15"),'152-CT'!$J$8=TH!F579),"x","")</f>
        <v/>
      </c>
      <c r="Y579" s="39" t="str">
        <f>IF(AND(OR(LEFT(TH!L579,2)="15",LEFT(TH!M579,2)="15"),TK!$E$7=TH!F579),"x","")</f>
        <v/>
      </c>
      <c r="Z579" s="39" t="str">
        <f>IF(AND(B579&lt;=NKC!$N$8,B579&gt;=NKC!$M$8),"x","")</f>
        <v/>
      </c>
      <c r="AA579" s="894"/>
      <c r="AB579" s="598" t="e">
        <f t="shared" si="25"/>
        <v>#N/A</v>
      </c>
      <c r="AD579" s="598"/>
    </row>
    <row r="580" spans="1:30" ht="15.75" customHeight="1">
      <c r="A580" s="199" t="str">
        <f>IF(B580&lt;&gt;"",IF(AND(B580&gt;=_TM1,B580&lt;=_TM2,OR(TH!L580="1111",TH!M580="1111")),TH!D580,""),"")</f>
        <v/>
      </c>
      <c r="B580" s="36">
        <f t="shared" si="26"/>
        <v>1</v>
      </c>
      <c r="C580" s="190">
        <f t="shared" si="27"/>
        <v>0</v>
      </c>
      <c r="D580" s="183"/>
      <c r="E580" s="190"/>
      <c r="F580" s="188"/>
      <c r="G580" s="491"/>
      <c r="H580" s="7"/>
      <c r="I580" s="254"/>
      <c r="J580" s="254"/>
      <c r="K580" s="38"/>
      <c r="L580" s="193"/>
      <c r="M580" s="193"/>
      <c r="N580" s="39" t="str">
        <f>IF(AND('331-CT'!$E$7=TH!H580,OR(L580="331",M580="331")),"331",IF(AND(OR(L580="131",M580="131"),H580='131-CT'!$E$7),"131",""))</f>
        <v/>
      </c>
      <c r="O580" s="39" t="str">
        <f>IF(AND($B580&gt;='111'!$N$11,$B580&lt;='111'!$O$11,OR($L580=$O$7,$M580=$O$7)),"x","")</f>
        <v/>
      </c>
      <c r="P580" s="39" t="str">
        <f>IF(AND($L580=$O$7,$B580&lt;'111'!$N$11),"x","")</f>
        <v/>
      </c>
      <c r="Q580" s="39" t="str">
        <f>IF(AND($M580=$O$7,$B580&lt;'111'!$N$11),"x","")</f>
        <v/>
      </c>
      <c r="R580" s="39" t="str">
        <f>IF(ISERROR(FIND('112'!$M$9,G580,1)),"",IF((AND(FIND('112'!$M$9,G580,1)&gt;=1,$B580&gt;='112'!$N$8,$B580&lt;='112'!$O$8,OR($L580='112'!$I$6,$M580='112'!$I$6))),"x",""))</f>
        <v/>
      </c>
      <c r="S580" s="39" t="str">
        <f>IF(ISERROR(FIND('112'!$M$9,G580,1)),"",IF((AND(LEFT(G580,2)=LEFT('112'!$M$9,2),B580&lt;'112'!$N$8,$L580='112'!$I$6)),"x",""))</f>
        <v/>
      </c>
      <c r="T580" s="39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39" t="str">
        <f>IF(OR(TH!L580=TH!$V$7,M580=TH!$V$7),"x","")</f>
        <v/>
      </c>
      <c r="W580" s="39" t="str">
        <f>IF(AND(B580&gt;='IN-NX'!$P$3,B580&lt;='IN-NX'!$Q$3,'IN-NX'!$D$7=D580,OR(LEFT(L580,2)="15",AND(LEFT(M580,2)&lt;&gt;"15",LEFT(M580,2)&lt;&gt;"33"))),"x","")</f>
        <v/>
      </c>
      <c r="X580" s="39" t="str">
        <f>IF(AND(OR(LEFT(TH!L580,2)="15",LEFT(TH!M580,2)="15"),'152-CT'!$J$8=TH!F580),"x","")</f>
        <v/>
      </c>
      <c r="Y580" s="39" t="str">
        <f>IF(AND(OR(LEFT(TH!L580,2)="15",LEFT(TH!M580,2)="15"),TK!$E$7=TH!F580),"x","")</f>
        <v/>
      </c>
      <c r="Z580" s="39" t="str">
        <f>IF(AND(B580&lt;=NKC!$N$8,B580&gt;=NKC!$M$8),"x","")</f>
        <v/>
      </c>
      <c r="AA580" s="894"/>
      <c r="AB580" s="598" t="e">
        <f t="shared" si="25"/>
        <v>#N/A</v>
      </c>
      <c r="AC580" s="598"/>
      <c r="AD580" s="598"/>
    </row>
    <row r="581" spans="1:30" ht="15.75" customHeight="1">
      <c r="A581" s="199" t="str">
        <f>IF(B581&lt;&gt;"",IF(AND(B581&gt;=_TM1,B581&lt;=_TM2,OR(TH!L581="1111",TH!M581="1111")),TH!D581,""),"")</f>
        <v/>
      </c>
      <c r="B581" s="36">
        <f t="shared" si="26"/>
        <v>1</v>
      </c>
      <c r="C581" s="190">
        <f t="shared" si="27"/>
        <v>0</v>
      </c>
      <c r="D581" s="183"/>
      <c r="E581" s="190"/>
      <c r="F581" s="191"/>
      <c r="G581" s="491"/>
      <c r="H581" s="45"/>
      <c r="I581" s="253"/>
      <c r="J581" s="253"/>
      <c r="K581" s="38"/>
      <c r="L581" s="193"/>
      <c r="M581" s="193"/>
      <c r="N581" s="39" t="str">
        <f>IF(AND('331-CT'!$E$7=TH!H581,OR(L581="331",M581="331")),"331",IF(AND(OR(L581="131",M581="131"),H581='131-CT'!$E$7),"131",""))</f>
        <v/>
      </c>
      <c r="O581" s="39" t="str">
        <f>IF(AND($B581&gt;='111'!$N$11,$B581&lt;='111'!$O$11,OR($L581=$O$7,$M581=$O$7)),"x","")</f>
        <v/>
      </c>
      <c r="P581" s="39" t="str">
        <f>IF(AND($L581=$O$7,$B581&lt;'111'!$N$11),"x","")</f>
        <v/>
      </c>
      <c r="Q581" s="39" t="str">
        <f>IF(AND($M581=$O$7,$B581&lt;'111'!$N$11),"x","")</f>
        <v/>
      </c>
      <c r="R581" s="39" t="str">
        <f>IF(ISERROR(FIND('112'!$M$9,G581,1)),"",IF((AND(FIND('112'!$M$9,G581,1)&gt;=1,$B581&gt;='112'!$N$8,$B581&lt;='112'!$O$8,OR($L581='112'!$I$6,$M581='112'!$I$6))),"x",""))</f>
        <v/>
      </c>
      <c r="S581" s="39" t="str">
        <f>IF(ISERROR(FIND('112'!$M$9,G581,1)),"",IF((AND(LEFT(G581,2)=LEFT('112'!$M$9,2),B581&lt;'112'!$N$8,$L581='112'!$I$6)),"x",""))</f>
        <v/>
      </c>
      <c r="T581" s="39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39" t="str">
        <f>IF(OR(TH!L581=TH!$V$7,M581=TH!$V$7),"x","")</f>
        <v/>
      </c>
      <c r="W581" s="39" t="str">
        <f>IF(AND(B581&gt;='IN-NX'!$P$3,B581&lt;='IN-NX'!$Q$3,'IN-NX'!$D$7=D581,OR(LEFT(L581,2)="15",AND(LEFT(M581,2)&lt;&gt;"15",LEFT(M581,2)&lt;&gt;"33"))),"x","")</f>
        <v/>
      </c>
      <c r="X581" s="39" t="str">
        <f>IF(AND(OR(LEFT(TH!L581,2)="15",LEFT(TH!M581,2)="15"),'152-CT'!$J$8=TH!F581),"x","")</f>
        <v/>
      </c>
      <c r="Y581" s="39" t="str">
        <f>IF(AND(OR(LEFT(TH!L581,2)="15",LEFT(TH!M581,2)="15"),TK!$E$7=TH!F581),"x","")</f>
        <v/>
      </c>
      <c r="Z581" s="39" t="str">
        <f>IF(AND(B581&lt;=NKC!$N$8,B581&gt;=NKC!$M$8),"x","")</f>
        <v/>
      </c>
      <c r="AA581" s="894"/>
      <c r="AB581" s="598" t="e">
        <f t="shared" si="25"/>
        <v>#N/A</v>
      </c>
      <c r="AC581" s="598"/>
      <c r="AD581" s="598"/>
    </row>
    <row r="582" spans="1:30" ht="15.75" customHeight="1">
      <c r="A582" s="199" t="str">
        <f>IF(B582&lt;&gt;"",IF(AND(B582&gt;=_TM1,B582&lt;=_TM2,OR(TH!L582="1111",TH!M582="1111")),TH!D582,""),"")</f>
        <v/>
      </c>
      <c r="B582" s="36">
        <f t="shared" si="26"/>
        <v>1</v>
      </c>
      <c r="C582" s="190">
        <f t="shared" si="27"/>
        <v>0</v>
      </c>
      <c r="D582" s="183"/>
      <c r="E582" s="190"/>
      <c r="F582" s="191"/>
      <c r="G582" s="491"/>
      <c r="H582" s="45"/>
      <c r="I582" s="253"/>
      <c r="J582" s="253"/>
      <c r="K582" s="38"/>
      <c r="L582" s="193"/>
      <c r="M582" s="193"/>
      <c r="N582" s="39" t="str">
        <f>IF(AND('331-CT'!$E$7=TH!H582,OR(L582="331",M582="331")),"331",IF(AND(OR(L582="131",M582="131"),H582='131-CT'!$E$7),"131",""))</f>
        <v/>
      </c>
      <c r="O582" s="39" t="str">
        <f>IF(AND($B582&gt;='111'!$N$11,$B582&lt;='111'!$O$11,OR($L582=$O$7,$M582=$O$7)),"x","")</f>
        <v/>
      </c>
      <c r="P582" s="39" t="str">
        <f>IF(AND($L582=$O$7,$B582&lt;'111'!$N$11),"x","")</f>
        <v/>
      </c>
      <c r="Q582" s="39" t="str">
        <f>IF(AND($M582=$O$7,$B582&lt;'111'!$N$11),"x","")</f>
        <v/>
      </c>
      <c r="R582" s="39" t="str">
        <f>IF(ISERROR(FIND('112'!$M$9,G582,1)),"",IF((AND(FIND('112'!$M$9,G582,1)&gt;=1,$B582&gt;='112'!$N$8,$B582&lt;='112'!$O$8,OR($L582='112'!$I$6,$M582='112'!$I$6))),"x",""))</f>
        <v/>
      </c>
      <c r="S582" s="39" t="str">
        <f>IF(ISERROR(FIND('112'!$M$9,G582,1)),"",IF((AND(LEFT(G582,2)=LEFT('112'!$M$9,2),B582&lt;'112'!$N$8,$L582='112'!$I$6)),"x",""))</f>
        <v/>
      </c>
      <c r="T582" s="39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39" t="str">
        <f>IF(OR(TH!L582=TH!$V$7,M582=TH!$V$7),"x","")</f>
        <v/>
      </c>
      <c r="W582" s="39" t="str">
        <f>IF(AND(B582&gt;='IN-NX'!$P$3,B582&lt;='IN-NX'!$Q$3,'IN-NX'!$D$7=D582,OR(LEFT(L582,2)="15",AND(LEFT(M582,2)&lt;&gt;"15",LEFT(M582,2)&lt;&gt;"33"))),"x","")</f>
        <v/>
      </c>
      <c r="X582" s="39" t="str">
        <f>IF(AND(OR(LEFT(TH!L582,2)="15",LEFT(TH!M582,2)="15"),'152-CT'!$J$8=TH!F582),"x","")</f>
        <v/>
      </c>
      <c r="Y582" s="39" t="str">
        <f>IF(AND(OR(LEFT(TH!L582,2)="15",LEFT(TH!M582,2)="15"),TK!$E$7=TH!F582),"x","")</f>
        <v/>
      </c>
      <c r="Z582" s="39" t="str">
        <f>IF(AND(B582&lt;=NKC!$N$8,B582&gt;=NKC!$M$8),"x","")</f>
        <v/>
      </c>
      <c r="AA582" s="894"/>
      <c r="AB582" s="598" t="e">
        <f t="shared" si="25"/>
        <v>#N/A</v>
      </c>
      <c r="AC582" s="598"/>
      <c r="AD582" s="598"/>
    </row>
    <row r="583" spans="1:30" ht="15.75" customHeight="1">
      <c r="A583" s="199" t="str">
        <f>IF(B583&lt;&gt;"",IF(AND(B583&gt;=_TM1,B583&lt;=_TM2,OR(TH!L583="1111",TH!M583="1111")),TH!D583,""),"")</f>
        <v/>
      </c>
      <c r="B583" s="36">
        <f t="shared" si="26"/>
        <v>1</v>
      </c>
      <c r="C583" s="190">
        <f t="shared" si="27"/>
        <v>0</v>
      </c>
      <c r="D583" s="183"/>
      <c r="E583" s="190"/>
      <c r="F583" s="188"/>
      <c r="G583" s="491"/>
      <c r="H583" s="7"/>
      <c r="I583" s="253"/>
      <c r="J583" s="253"/>
      <c r="K583" s="38"/>
      <c r="L583" s="193"/>
      <c r="M583" s="193"/>
      <c r="N583" s="39" t="str">
        <f>IF(AND('331-CT'!$E$7=TH!H583,OR(L583="331",M583="331")),"331",IF(AND(OR(L583="131",M583="131"),H583='131-CT'!$E$7),"131",""))</f>
        <v/>
      </c>
      <c r="O583" s="39" t="str">
        <f>IF(AND($B583&gt;='111'!$N$11,$B583&lt;='111'!$O$11,OR($L583=$O$7,$M583=$O$7)),"x","")</f>
        <v/>
      </c>
      <c r="P583" s="39" t="str">
        <f>IF(AND($L583=$O$7,$B583&lt;'111'!$N$11),"x","")</f>
        <v/>
      </c>
      <c r="Q583" s="39" t="str">
        <f>IF(AND($M583=$O$7,$B583&lt;'111'!$N$11),"x","")</f>
        <v/>
      </c>
      <c r="R583" s="39" t="str">
        <f>IF(ISERROR(FIND('112'!$M$9,G583,1)),"",IF((AND(FIND('112'!$M$9,G583,1)&gt;=1,$B583&gt;='112'!$N$8,$B583&lt;='112'!$O$8,OR($L583='112'!$I$6,$M583='112'!$I$6))),"x",""))</f>
        <v/>
      </c>
      <c r="S583" s="39" t="str">
        <f>IF(ISERROR(FIND('112'!$M$9,G583,1)),"",IF((AND(LEFT(G583,2)=LEFT('112'!$M$9,2),B583&lt;'112'!$N$8,$L583='112'!$I$6)),"x",""))</f>
        <v/>
      </c>
      <c r="T583" s="39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39" t="str">
        <f>IF(OR(TH!L583=TH!$V$7,M583=TH!$V$7),"x","")</f>
        <v/>
      </c>
      <c r="W583" s="39" t="str">
        <f>IF(AND(B583&gt;='IN-NX'!$P$3,B583&lt;='IN-NX'!$Q$3,'IN-NX'!$D$7=D583,OR(LEFT(L583,2)="15",AND(LEFT(M583,2)&lt;&gt;"15",LEFT(M583,2)&lt;&gt;"33"))),"x","")</f>
        <v/>
      </c>
      <c r="X583" s="39" t="str">
        <f>IF(AND(OR(LEFT(TH!L583,2)="15",LEFT(TH!M583,2)="15"),'152-CT'!$J$8=TH!F583),"x","")</f>
        <v/>
      </c>
      <c r="Y583" s="39" t="str">
        <f>IF(AND(OR(LEFT(TH!L583,2)="15",LEFT(TH!M583,2)="15"),TK!$E$7=TH!F583),"x","")</f>
        <v/>
      </c>
      <c r="Z583" s="39" t="str">
        <f>IF(AND(B583&lt;=NKC!$N$8,B583&gt;=NKC!$M$8),"x","")</f>
        <v/>
      </c>
      <c r="AA583" s="894"/>
      <c r="AB583" s="598" t="e">
        <f t="shared" si="25"/>
        <v>#N/A</v>
      </c>
      <c r="AC583" s="598"/>
    </row>
    <row r="584" spans="1:30" ht="15.75" customHeight="1">
      <c r="A584" s="199" t="str">
        <f>IF(B584&lt;&gt;"",IF(AND(B584&gt;=_TM1,B584&lt;=_TM2,OR(TH!L584="1111",TH!M584="1111")),TH!D584,""),"")</f>
        <v/>
      </c>
      <c r="B584" s="36">
        <f t="shared" si="26"/>
        <v>1</v>
      </c>
      <c r="C584" s="190">
        <f t="shared" si="27"/>
        <v>0</v>
      </c>
      <c r="D584" s="183"/>
      <c r="E584" s="190"/>
      <c r="F584" s="188"/>
      <c r="G584" s="491"/>
      <c r="H584" s="7"/>
      <c r="I584" s="253"/>
      <c r="J584" s="253"/>
      <c r="K584" s="38"/>
      <c r="L584" s="193"/>
      <c r="M584" s="193"/>
      <c r="N584" s="39" t="str">
        <f>IF(AND('331-CT'!$E$7=TH!H584,OR(L584="331",M584="331")),"331",IF(AND(OR(L584="131",M584="131"),H584='131-CT'!$E$7),"131",""))</f>
        <v/>
      </c>
      <c r="O584" s="39" t="str">
        <f>IF(AND($B584&gt;='111'!$N$11,$B584&lt;='111'!$O$11,OR($L584=$O$7,$M584=$O$7)),"x","")</f>
        <v/>
      </c>
      <c r="P584" s="39" t="str">
        <f>IF(AND($L584=$O$7,$B584&lt;'111'!$N$11),"x","")</f>
        <v/>
      </c>
      <c r="Q584" s="39" t="str">
        <f>IF(AND($M584=$O$7,$B584&lt;'111'!$N$11),"x","")</f>
        <v/>
      </c>
      <c r="R584" s="39" t="str">
        <f>IF(ISERROR(FIND('112'!$M$9,G584,1)),"",IF((AND(FIND('112'!$M$9,G584,1)&gt;=1,$B584&gt;='112'!$N$8,$B584&lt;='112'!$O$8,OR($L584='112'!$I$6,$M584='112'!$I$6))),"x",""))</f>
        <v/>
      </c>
      <c r="S584" s="39" t="str">
        <f>IF(ISERROR(FIND('112'!$M$9,G584,1)),"",IF((AND(LEFT(G584,2)=LEFT('112'!$M$9,2),B584&lt;'112'!$N$8,$L584='112'!$I$6)),"x",""))</f>
        <v/>
      </c>
      <c r="T584" s="39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39" t="str">
        <f>IF(OR(TH!L584=TH!$V$7,M584=TH!$V$7),"x","")</f>
        <v/>
      </c>
      <c r="W584" s="39" t="str">
        <f>IF(AND(B584&gt;='IN-NX'!$P$3,B584&lt;='IN-NX'!$Q$3,'IN-NX'!$D$7=D584,OR(LEFT(L584,2)="15",AND(LEFT(M584,2)&lt;&gt;"15",LEFT(M584,2)&lt;&gt;"33"))),"x","")</f>
        <v/>
      </c>
      <c r="X584" s="39" t="str">
        <f>IF(AND(OR(LEFT(TH!L584,2)="15",LEFT(TH!M584,2)="15"),'152-CT'!$J$8=TH!F584),"x","")</f>
        <v/>
      </c>
      <c r="Y584" s="39" t="str">
        <f>IF(AND(OR(LEFT(TH!L584,2)="15",LEFT(TH!M584,2)="15"),TK!$E$7=TH!F584),"x","")</f>
        <v/>
      </c>
      <c r="Z584" s="39" t="str">
        <f>IF(AND(B584&lt;=NKC!$N$8,B584&gt;=NKC!$M$8),"x","")</f>
        <v/>
      </c>
      <c r="AA584" s="894"/>
      <c r="AB584" s="598" t="e">
        <f t="shared" si="25"/>
        <v>#N/A</v>
      </c>
      <c r="AC584" s="598"/>
      <c r="AD584" s="598"/>
    </row>
    <row r="585" spans="1:30" ht="15.75" customHeight="1">
      <c r="A585" s="199" t="str">
        <f>IF(B585&lt;&gt;"",IF(AND(B585&gt;=_TM1,B585&lt;=_TM2,OR(TH!L585="1111",TH!M585="1111")),TH!D585,""),"")</f>
        <v/>
      </c>
      <c r="B585" s="36">
        <f t="shared" si="26"/>
        <v>1</v>
      </c>
      <c r="C585" s="190">
        <f t="shared" si="27"/>
        <v>0</v>
      </c>
      <c r="D585" s="183"/>
      <c r="E585" s="190"/>
      <c r="F585" s="188"/>
      <c r="G585" s="491"/>
      <c r="H585" s="7"/>
      <c r="I585" s="253"/>
      <c r="J585" s="253"/>
      <c r="K585" s="38"/>
      <c r="L585" s="193"/>
      <c r="M585" s="193"/>
      <c r="N585" s="39" t="str">
        <f>IF(AND('331-CT'!$E$7=TH!H585,OR(L585="331",M585="331")),"331",IF(AND(OR(L585="131",M585="131"),H585='131-CT'!$E$7),"131",""))</f>
        <v/>
      </c>
      <c r="O585" s="39" t="str">
        <f>IF(AND($B585&gt;='111'!$N$11,$B585&lt;='111'!$O$11,OR($L585=$O$7,$M585=$O$7)),"x","")</f>
        <v/>
      </c>
      <c r="P585" s="39" t="str">
        <f>IF(AND($L585=$O$7,$B585&lt;'111'!$N$11),"x","")</f>
        <v/>
      </c>
      <c r="Q585" s="39" t="str">
        <f>IF(AND($M585=$O$7,$B585&lt;'111'!$N$11),"x","")</f>
        <v/>
      </c>
      <c r="R585" s="39" t="str">
        <f>IF(ISERROR(FIND('112'!$M$9,G585,1)),"",IF((AND(FIND('112'!$M$9,G585,1)&gt;=1,$B585&gt;='112'!$N$8,$B585&lt;='112'!$O$8,OR($L585='112'!$I$6,$M585='112'!$I$6))),"x",""))</f>
        <v/>
      </c>
      <c r="S585" s="39" t="str">
        <f>IF(ISERROR(FIND('112'!$M$9,G585,1)),"",IF((AND(LEFT(G585,2)=LEFT('112'!$M$9,2),B585&lt;'112'!$N$8,$L585='112'!$I$6)),"x",""))</f>
        <v/>
      </c>
      <c r="T585" s="39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39" t="str">
        <f>IF(OR(TH!L585=TH!$V$7,M585=TH!$V$7),"x","")</f>
        <v/>
      </c>
      <c r="W585" s="39" t="str">
        <f>IF(AND(B585&gt;='IN-NX'!$P$3,B585&lt;='IN-NX'!$Q$3,'IN-NX'!$D$7=D585,OR(LEFT(L585,2)="15",AND(LEFT(M585,2)&lt;&gt;"15",LEFT(M585,2)&lt;&gt;"33"))),"x","")</f>
        <v/>
      </c>
      <c r="X585" s="39" t="str">
        <f>IF(AND(OR(LEFT(TH!L585,2)="15",LEFT(TH!M585,2)="15"),'152-CT'!$J$8=TH!F585),"x","")</f>
        <v/>
      </c>
      <c r="Y585" s="39" t="str">
        <f>IF(AND(OR(LEFT(TH!L585,2)="15",LEFT(TH!M585,2)="15"),TK!$E$7=TH!F585),"x","")</f>
        <v/>
      </c>
      <c r="Z585" s="39" t="str">
        <f>IF(AND(B585&lt;=NKC!$N$8,B585&gt;=NKC!$M$8),"x","")</f>
        <v/>
      </c>
      <c r="AA585" s="894"/>
      <c r="AB585" s="598" t="e">
        <f t="shared" si="25"/>
        <v>#N/A</v>
      </c>
      <c r="AD585" s="598"/>
    </row>
    <row r="586" spans="1:30" ht="15.75" customHeight="1">
      <c r="A586" s="199" t="str">
        <f>IF(B586&lt;&gt;"",IF(AND(B586&gt;=_TM1,B586&lt;=_TM2,OR(TH!L586="1111",TH!M586="1111")),TH!D586,""),"")</f>
        <v/>
      </c>
      <c r="B586" s="36">
        <f t="shared" si="26"/>
        <v>1</v>
      </c>
      <c r="C586" s="190">
        <f t="shared" si="27"/>
        <v>0</v>
      </c>
      <c r="D586" s="183"/>
      <c r="E586" s="190"/>
      <c r="F586" s="188"/>
      <c r="G586" s="491"/>
      <c r="H586" s="7"/>
      <c r="I586" s="253"/>
      <c r="J586" s="253"/>
      <c r="K586" s="38"/>
      <c r="L586" s="193"/>
      <c r="M586" s="193"/>
      <c r="N586" s="39" t="str">
        <f>IF(AND('331-CT'!$E$7=TH!H586,OR(L586="331",M586="331")),"331",IF(AND(OR(L586="131",M586="131"),H586='131-CT'!$E$7),"131",""))</f>
        <v/>
      </c>
      <c r="O586" s="39" t="str">
        <f>IF(AND($B586&gt;='111'!$N$11,$B586&lt;='111'!$O$11,OR($L586=$O$7,$M586=$O$7)),"x","")</f>
        <v/>
      </c>
      <c r="P586" s="39" t="str">
        <f>IF(AND($L586=$O$7,$B586&lt;'111'!$N$11),"x","")</f>
        <v/>
      </c>
      <c r="Q586" s="39" t="str">
        <f>IF(AND($M586=$O$7,$B586&lt;'111'!$N$11),"x","")</f>
        <v/>
      </c>
      <c r="R586" s="39" t="str">
        <f>IF(ISERROR(FIND('112'!$M$9,G586,1)),"",IF((AND(FIND('112'!$M$9,G586,1)&gt;=1,$B586&gt;='112'!$N$8,$B586&lt;='112'!$O$8,OR($L586='112'!$I$6,$M586='112'!$I$6))),"x",""))</f>
        <v/>
      </c>
      <c r="S586" s="39" t="str">
        <f>IF(ISERROR(FIND('112'!$M$9,G586,1)),"",IF((AND(LEFT(G586,2)=LEFT('112'!$M$9,2),B586&lt;'112'!$N$8,$L586='112'!$I$6)),"x",""))</f>
        <v/>
      </c>
      <c r="T586" s="39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39" t="str">
        <f>IF(OR(TH!L586=TH!$V$7,M586=TH!$V$7),"x","")</f>
        <v/>
      </c>
      <c r="W586" s="39" t="str">
        <f>IF(AND(B586&gt;='IN-NX'!$P$3,B586&lt;='IN-NX'!$Q$3,'IN-NX'!$D$7=D586,OR(LEFT(L586,2)="15",AND(LEFT(M586,2)&lt;&gt;"15",LEFT(M586,2)&lt;&gt;"33"))),"x","")</f>
        <v/>
      </c>
      <c r="X586" s="39" t="str">
        <f>IF(AND(OR(LEFT(TH!L586,2)="15",LEFT(TH!M586,2)="15"),'152-CT'!$J$8=TH!F586),"x","")</f>
        <v/>
      </c>
      <c r="Y586" s="39" t="str">
        <f>IF(AND(OR(LEFT(TH!L586,2)="15",LEFT(TH!M586,2)="15"),TK!$E$7=TH!F586),"x","")</f>
        <v/>
      </c>
      <c r="Z586" s="39" t="str">
        <f>IF(AND(B586&lt;=NKC!$N$8,B586&gt;=NKC!$M$8),"x","")</f>
        <v/>
      </c>
      <c r="AA586" s="894"/>
      <c r="AB586" s="598" t="e">
        <f t="shared" si="25"/>
        <v>#N/A</v>
      </c>
      <c r="AC586" s="598"/>
      <c r="AD586" s="598"/>
    </row>
    <row r="587" spans="1:30" ht="15.75" customHeight="1">
      <c r="A587" s="199" t="str">
        <f>IF(B587&lt;&gt;"",IF(AND(B587&gt;=_TM1,B587&lt;=_TM2,OR(TH!L587="1111",TH!M587="1111")),TH!D587,""),"")</f>
        <v/>
      </c>
      <c r="B587" s="36">
        <f t="shared" si="26"/>
        <v>1</v>
      </c>
      <c r="C587" s="190">
        <f t="shared" si="27"/>
        <v>0</v>
      </c>
      <c r="D587" s="183"/>
      <c r="E587" s="190"/>
      <c r="F587" s="188"/>
      <c r="G587" s="491"/>
      <c r="H587" s="7"/>
      <c r="I587" s="253"/>
      <c r="J587" s="253"/>
      <c r="K587" s="606"/>
      <c r="L587" s="193"/>
      <c r="M587" s="193"/>
      <c r="N587" s="39" t="str">
        <f>IF(AND('331-CT'!$E$7=TH!H587,OR(L587="331",M587="331")),"331",IF(AND(OR(L587="131",M587="131"),H587='131-CT'!$E$7),"131",""))</f>
        <v/>
      </c>
      <c r="O587" s="39" t="str">
        <f>IF(AND($B587&gt;='111'!$N$11,$B587&lt;='111'!$O$11,OR($L587=$O$7,$M587=$O$7)),"x","")</f>
        <v/>
      </c>
      <c r="P587" s="39" t="str">
        <f>IF(AND($L587=$O$7,$B587&lt;'111'!$N$11),"x","")</f>
        <v/>
      </c>
      <c r="Q587" s="39" t="str">
        <f>IF(AND($M587=$O$7,$B587&lt;'111'!$N$11),"x","")</f>
        <v/>
      </c>
      <c r="R587" s="39" t="str">
        <f>IF(ISERROR(FIND('112'!$M$9,G587,1)),"",IF((AND(FIND('112'!$M$9,G587,1)&gt;=1,$B587&gt;='112'!$N$8,$B587&lt;='112'!$O$8,OR($L587='112'!$I$6,$M587='112'!$I$6))),"x",""))</f>
        <v/>
      </c>
      <c r="S587" s="39" t="str">
        <f>IF(ISERROR(FIND('112'!$M$9,G587,1)),"",IF((AND(LEFT(G587,2)=LEFT('112'!$M$9,2),B587&lt;'112'!$N$8,$L587='112'!$I$6)),"x",""))</f>
        <v/>
      </c>
      <c r="T587" s="39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39" t="str">
        <f>IF(OR(TH!L587=TH!$V$7,M587=TH!$V$7),"x","")</f>
        <v/>
      </c>
      <c r="W587" s="39" t="str">
        <f>IF(AND(B587&gt;='IN-NX'!$P$3,B587&lt;='IN-NX'!$Q$3,'IN-NX'!$D$7=D587,OR(LEFT(L587,2)="15",AND(LEFT(M587,2)&lt;&gt;"15",LEFT(M587,2)&lt;&gt;"33"))),"x","")</f>
        <v/>
      </c>
      <c r="X587" s="39" t="str">
        <f>IF(AND(OR(LEFT(TH!L587,2)="15",LEFT(TH!M587,2)="15"),'152-CT'!$J$8=TH!F587),"x","")</f>
        <v/>
      </c>
      <c r="Y587" s="39" t="str">
        <f>IF(AND(OR(LEFT(TH!L587,2)="15",LEFT(TH!M587,2)="15"),TK!$E$7=TH!F587),"x","")</f>
        <v/>
      </c>
      <c r="Z587" s="39" t="str">
        <f>IF(AND(B587&lt;=NKC!$N$8,B587&gt;=NKC!$M$8),"x","")</f>
        <v/>
      </c>
      <c r="AA587" s="894"/>
      <c r="AB587" s="598" t="e">
        <f t="shared" si="25"/>
        <v>#N/A</v>
      </c>
      <c r="AD587" s="598"/>
    </row>
    <row r="588" spans="1:30" ht="15.75" customHeight="1">
      <c r="A588" s="199" t="str">
        <f>IF(B588&lt;&gt;"",IF(AND(B588&gt;=_TM1,B588&lt;=_TM2,OR(TH!L588="1111",TH!M588="1111")),TH!D588,""),"")</f>
        <v/>
      </c>
      <c r="B588" s="36">
        <f t="shared" si="26"/>
        <v>1</v>
      </c>
      <c r="C588" s="190">
        <f t="shared" si="27"/>
        <v>0</v>
      </c>
      <c r="D588" s="183"/>
      <c r="E588" s="190"/>
      <c r="F588" s="188"/>
      <c r="G588" s="491"/>
      <c r="H588" s="7"/>
      <c r="I588" s="253"/>
      <c r="J588" s="253"/>
      <c r="K588" s="38"/>
      <c r="L588" s="193"/>
      <c r="M588" s="193"/>
      <c r="N588" s="39" t="str">
        <f>IF(AND('331-CT'!$E$7=TH!H588,OR(L588="331",M588="331")),"331",IF(AND(OR(L588="131",M588="131"),H588='131-CT'!$E$7),"131",""))</f>
        <v/>
      </c>
      <c r="O588" s="39" t="str">
        <f>IF(AND($B588&gt;='111'!$N$11,$B588&lt;='111'!$O$11,OR($L588=$O$7,$M588=$O$7)),"x","")</f>
        <v/>
      </c>
      <c r="P588" s="39" t="str">
        <f>IF(AND($L588=$O$7,$B588&lt;'111'!$N$11),"x","")</f>
        <v/>
      </c>
      <c r="Q588" s="39" t="str">
        <f>IF(AND($M588=$O$7,$B588&lt;'111'!$N$11),"x","")</f>
        <v/>
      </c>
      <c r="R588" s="39" t="str">
        <f>IF(ISERROR(FIND('112'!$M$9,G588,1)),"",IF((AND(FIND('112'!$M$9,G588,1)&gt;=1,$B588&gt;='112'!$N$8,$B588&lt;='112'!$O$8,OR($L588='112'!$I$6,$M588='112'!$I$6))),"x",""))</f>
        <v/>
      </c>
      <c r="S588" s="39" t="str">
        <f>IF(ISERROR(FIND('112'!$M$9,G588,1)),"",IF((AND(LEFT(G588,2)=LEFT('112'!$M$9,2),B588&lt;'112'!$N$8,$L588='112'!$I$6)),"x",""))</f>
        <v/>
      </c>
      <c r="T588" s="39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39" t="str">
        <f>IF(OR(TH!L588=TH!$V$7,M588=TH!$V$7),"x","")</f>
        <v/>
      </c>
      <c r="W588" s="39" t="str">
        <f>IF(AND(B588&gt;='IN-NX'!$P$3,B588&lt;='IN-NX'!$Q$3,'IN-NX'!$D$7=D588,OR(LEFT(L588,2)="15",AND(LEFT(M588,2)&lt;&gt;"15",LEFT(M588,2)&lt;&gt;"33"))),"x","")</f>
        <v/>
      </c>
      <c r="X588" s="39" t="str">
        <f>IF(AND(OR(LEFT(TH!L588,2)="15",LEFT(TH!M588,2)="15"),'152-CT'!$J$8=TH!F588),"x","")</f>
        <v/>
      </c>
      <c r="Y588" s="39" t="str">
        <f>IF(AND(OR(LEFT(TH!L588,2)="15",LEFT(TH!M588,2)="15"),TK!$E$7=TH!F588),"x","")</f>
        <v/>
      </c>
      <c r="Z588" s="39" t="str">
        <f>IF(AND(B588&lt;=NKC!$N$8,B588&gt;=NKC!$M$8),"x","")</f>
        <v/>
      </c>
      <c r="AA588" s="894"/>
      <c r="AB588" s="598" t="e">
        <f t="shared" ref="AB588:AB651" si="28">IF(VLOOKUP(H588,DS_131,1,0)&lt;&gt;"","","x")</f>
        <v>#N/A</v>
      </c>
      <c r="AC588" s="598"/>
    </row>
    <row r="589" spans="1:30" ht="15.75" customHeight="1">
      <c r="A589" s="199" t="str">
        <f>IF(B589&lt;&gt;"",IF(AND(B589&gt;=_TM1,B589&lt;=_TM2,OR(TH!L589="1111",TH!M589="1111")),TH!D589,""),"")</f>
        <v/>
      </c>
      <c r="B589" s="36">
        <f t="shared" si="26"/>
        <v>1</v>
      </c>
      <c r="C589" s="190">
        <f t="shared" si="27"/>
        <v>0</v>
      </c>
      <c r="D589" s="183"/>
      <c r="E589" s="190"/>
      <c r="F589" s="188"/>
      <c r="G589" s="491"/>
      <c r="H589" s="7"/>
      <c r="I589" s="253"/>
      <c r="J589" s="253"/>
      <c r="K589" s="38"/>
      <c r="L589" s="193"/>
      <c r="M589" s="193"/>
      <c r="N589" s="39" t="str">
        <f>IF(AND('331-CT'!$E$7=TH!H589,OR(L589="331",M589="331")),"331",IF(AND(OR(L589="131",M589="131"),H589='131-CT'!$E$7),"131",""))</f>
        <v/>
      </c>
      <c r="O589" s="39" t="str">
        <f>IF(AND($B589&gt;='111'!$N$11,$B589&lt;='111'!$O$11,OR($L589=$O$7,$M589=$O$7)),"x","")</f>
        <v/>
      </c>
      <c r="P589" s="39" t="str">
        <f>IF(AND($L589=$O$7,$B589&lt;'111'!$N$11),"x","")</f>
        <v/>
      </c>
      <c r="Q589" s="39" t="str">
        <f>IF(AND($M589=$O$7,$B589&lt;'111'!$N$11),"x","")</f>
        <v/>
      </c>
      <c r="R589" s="39" t="str">
        <f>IF(ISERROR(FIND('112'!$M$9,G589,1)),"",IF((AND(FIND('112'!$M$9,G589,1)&gt;=1,$B589&gt;='112'!$N$8,$B589&lt;='112'!$O$8,OR($L589='112'!$I$6,$M589='112'!$I$6))),"x",""))</f>
        <v/>
      </c>
      <c r="S589" s="39" t="str">
        <f>IF(ISERROR(FIND('112'!$M$9,G589,1)),"",IF((AND(LEFT(G589,2)=LEFT('112'!$M$9,2),B589&lt;'112'!$N$8,$L589='112'!$I$6)),"x",""))</f>
        <v/>
      </c>
      <c r="T589" s="39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39" t="str">
        <f>IF(OR(TH!L589=TH!$V$7,M589=TH!$V$7),"x","")</f>
        <v/>
      </c>
      <c r="W589" s="39" t="str">
        <f>IF(AND(B589&gt;='IN-NX'!$P$3,B589&lt;='IN-NX'!$Q$3,'IN-NX'!$D$7=D589,OR(LEFT(L589,2)="15",AND(LEFT(M589,2)&lt;&gt;"15",LEFT(M589,2)&lt;&gt;"33"))),"x","")</f>
        <v/>
      </c>
      <c r="X589" s="39" t="str">
        <f>IF(AND(OR(LEFT(TH!L589,2)="15",LEFT(TH!M589,2)="15"),'152-CT'!$J$8=TH!F589),"x","")</f>
        <v/>
      </c>
      <c r="Y589" s="39" t="str">
        <f>IF(AND(OR(LEFT(TH!L589,2)="15",LEFT(TH!M589,2)="15"),TK!$E$7=TH!F589),"x","")</f>
        <v/>
      </c>
      <c r="Z589" s="39" t="str">
        <f>IF(AND(B589&lt;=NKC!$N$8,B589&gt;=NKC!$M$8),"x","")</f>
        <v/>
      </c>
      <c r="AA589" s="894"/>
      <c r="AB589" s="598" t="e">
        <f t="shared" si="28"/>
        <v>#N/A</v>
      </c>
      <c r="AC589" s="598"/>
    </row>
    <row r="590" spans="1:30" ht="15.75" customHeight="1">
      <c r="A590" s="199" t="str">
        <f>IF(B590&lt;&gt;"",IF(AND(B590&gt;=_TM1,B590&lt;=_TM2,OR(TH!L590="1111",TH!M590="1111")),TH!D590,""),"")</f>
        <v/>
      </c>
      <c r="B590" s="36">
        <f t="shared" si="26"/>
        <v>1</v>
      </c>
      <c r="C590" s="190">
        <f t="shared" si="27"/>
        <v>0</v>
      </c>
      <c r="D590" s="183"/>
      <c r="E590" s="190"/>
      <c r="F590" s="188"/>
      <c r="G590" s="491"/>
      <c r="H590" s="7"/>
      <c r="I590" s="253"/>
      <c r="J590" s="253"/>
      <c r="K590" s="38"/>
      <c r="L590" s="193"/>
      <c r="M590" s="193"/>
      <c r="N590" s="39" t="str">
        <f>IF(AND('331-CT'!$E$7=TH!H590,OR(L590="331",M590="331")),"331",IF(AND(OR(L590="131",M590="131"),H590='131-CT'!$E$7),"131",""))</f>
        <v/>
      </c>
      <c r="O590" s="39" t="str">
        <f>IF(AND($B590&gt;='111'!$N$11,$B590&lt;='111'!$O$11,OR($L590=$O$7,$M590=$O$7)),"x","")</f>
        <v/>
      </c>
      <c r="P590" s="39" t="str">
        <f>IF(AND($L590=$O$7,$B590&lt;'111'!$N$11),"x","")</f>
        <v/>
      </c>
      <c r="Q590" s="39" t="str">
        <f>IF(AND($M590=$O$7,$B590&lt;'111'!$N$11),"x","")</f>
        <v/>
      </c>
      <c r="R590" s="39" t="str">
        <f>IF(ISERROR(FIND('112'!$M$9,G590,1)),"",IF((AND(FIND('112'!$M$9,G590,1)&gt;=1,$B590&gt;='112'!$N$8,$B590&lt;='112'!$O$8,OR($L590='112'!$I$6,$M590='112'!$I$6))),"x",""))</f>
        <v/>
      </c>
      <c r="S590" s="39" t="str">
        <f>IF(ISERROR(FIND('112'!$M$9,G590,1)),"",IF((AND(LEFT(G590,2)=LEFT('112'!$M$9,2),B590&lt;'112'!$N$8,$L590='112'!$I$6)),"x",""))</f>
        <v/>
      </c>
      <c r="T590" s="39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39" t="str">
        <f>IF(OR(TH!L590=TH!$V$7,M590=TH!$V$7),"x","")</f>
        <v/>
      </c>
      <c r="W590" s="39" t="str">
        <f>IF(AND(B590&gt;='IN-NX'!$P$3,B590&lt;='IN-NX'!$Q$3,'IN-NX'!$D$7=D590,OR(LEFT(L590,2)="15",AND(LEFT(M590,2)&lt;&gt;"15",LEFT(M590,2)&lt;&gt;"33"))),"x","")</f>
        <v/>
      </c>
      <c r="X590" s="39" t="str">
        <f>IF(AND(OR(LEFT(TH!L590,2)="15",LEFT(TH!M590,2)="15"),'152-CT'!$J$8=TH!F590),"x","")</f>
        <v/>
      </c>
      <c r="Y590" s="39" t="str">
        <f>IF(AND(OR(LEFT(TH!L590,2)="15",LEFT(TH!M590,2)="15"),TK!$E$7=TH!F590),"x","")</f>
        <v/>
      </c>
      <c r="Z590" s="39" t="str">
        <f>IF(AND(B590&lt;=NKC!$N$8,B590&gt;=NKC!$M$8),"x","")</f>
        <v/>
      </c>
      <c r="AA590" s="894"/>
      <c r="AB590" s="598" t="e">
        <f t="shared" si="28"/>
        <v>#N/A</v>
      </c>
      <c r="AC590" s="598"/>
    </row>
    <row r="591" spans="1:30" ht="15.75" customHeight="1">
      <c r="A591" s="199" t="str">
        <f>IF(B591&lt;&gt;"",IF(AND(B591&gt;=_TM1,B591&lt;=_TM2,OR(TH!L591="1111",TH!M591="1111")),TH!D591,""),"")</f>
        <v/>
      </c>
      <c r="B591" s="36">
        <f t="shared" si="26"/>
        <v>1</v>
      </c>
      <c r="C591" s="190">
        <f t="shared" si="27"/>
        <v>0</v>
      </c>
      <c r="D591" s="183"/>
      <c r="E591" s="190"/>
      <c r="F591" s="191"/>
      <c r="G591" s="491"/>
      <c r="H591" s="192"/>
      <c r="I591" s="253"/>
      <c r="J591" s="253"/>
      <c r="K591" s="38"/>
      <c r="L591" s="193"/>
      <c r="M591" s="193"/>
      <c r="N591" s="39" t="str">
        <f>IF(AND('331-CT'!$E$7=TH!H591,OR(L591="331",M591="331")),"331",IF(AND(OR(L591="131",M591="131"),H591='131-CT'!$E$7),"131",""))</f>
        <v/>
      </c>
      <c r="O591" s="39" t="str">
        <f>IF(AND($B591&gt;='111'!$N$11,$B591&lt;='111'!$O$11,OR($L591=$O$7,$M591=$O$7)),"x","")</f>
        <v/>
      </c>
      <c r="P591" s="39" t="str">
        <f>IF(AND($L591=$O$7,$B591&lt;'111'!$N$11),"x","")</f>
        <v/>
      </c>
      <c r="Q591" s="39" t="str">
        <f>IF(AND($M591=$O$7,$B591&lt;'111'!$N$11),"x","")</f>
        <v/>
      </c>
      <c r="R591" s="39" t="str">
        <f>IF(ISERROR(FIND('112'!$M$9,G591,1)),"",IF((AND(FIND('112'!$M$9,G591,1)&gt;=1,$B591&gt;='112'!$N$8,$B591&lt;='112'!$O$8,OR($L591='112'!$I$6,$M591='112'!$I$6))),"x",""))</f>
        <v/>
      </c>
      <c r="S591" s="39" t="str">
        <f>IF(ISERROR(FIND('112'!$M$9,G591,1)),"",IF((AND(LEFT(G591,2)=LEFT('112'!$M$9,2),B591&lt;'112'!$N$8,$L591='112'!$I$6)),"x",""))</f>
        <v/>
      </c>
      <c r="T591" s="39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39" t="str">
        <f>IF(OR(TH!L591=TH!$V$7,M591=TH!$V$7),"x","")</f>
        <v/>
      </c>
      <c r="W591" s="39" t="str">
        <f>IF(AND(B591&gt;='IN-NX'!$P$3,B591&lt;='IN-NX'!$Q$3,'IN-NX'!$D$7=D591,OR(LEFT(L591,2)="15",AND(LEFT(M591,2)&lt;&gt;"15",LEFT(M591,2)&lt;&gt;"33"))),"x","")</f>
        <v/>
      </c>
      <c r="X591" s="39" t="str">
        <f>IF(AND(OR(LEFT(TH!L591,2)="15",LEFT(TH!M591,2)="15"),'152-CT'!$J$8=TH!F591),"x","")</f>
        <v/>
      </c>
      <c r="Y591" s="39" t="str">
        <f>IF(AND(OR(LEFT(TH!L591,2)="15",LEFT(TH!M591,2)="15"),TK!$E$7=TH!F591),"x","")</f>
        <v/>
      </c>
      <c r="Z591" s="39" t="str">
        <f>IF(AND(B591&lt;=NKC!$N$8,B591&gt;=NKC!$M$8),"x","")</f>
        <v/>
      </c>
      <c r="AA591" s="894"/>
      <c r="AB591" s="598" t="e">
        <f t="shared" si="28"/>
        <v>#N/A</v>
      </c>
      <c r="AC591" s="598"/>
      <c r="AD591" s="598"/>
    </row>
    <row r="592" spans="1:30" ht="15.75" customHeight="1">
      <c r="A592" s="199" t="str">
        <f>IF(B592&lt;&gt;"",IF(AND(B592&gt;=_TM1,B592&lt;=_TM2,OR(TH!L592="1111",TH!M592="1111")),TH!D592,""),"")</f>
        <v/>
      </c>
      <c r="B592" s="36">
        <f t="shared" si="26"/>
        <v>1</v>
      </c>
      <c r="C592" s="190">
        <f t="shared" si="27"/>
        <v>0</v>
      </c>
      <c r="D592" s="183"/>
      <c r="E592" s="190"/>
      <c r="F592" s="191"/>
      <c r="G592" s="491"/>
      <c r="H592" s="192"/>
      <c r="I592" s="253"/>
      <c r="J592" s="253"/>
      <c r="K592" s="38"/>
      <c r="L592" s="193"/>
      <c r="M592" s="193"/>
      <c r="N592" s="39" t="str">
        <f>IF(AND('331-CT'!$E$7=TH!H592,OR(L592="331",M592="331")),"331",IF(AND(OR(L592="131",M592="131"),H592='131-CT'!$E$7),"131",""))</f>
        <v/>
      </c>
      <c r="O592" s="39" t="str">
        <f>IF(AND($B592&gt;='111'!$N$11,$B592&lt;='111'!$O$11,OR($L592=$O$7,$M592=$O$7)),"x","")</f>
        <v/>
      </c>
      <c r="P592" s="39" t="str">
        <f>IF(AND($L592=$O$7,$B592&lt;'111'!$N$11),"x","")</f>
        <v/>
      </c>
      <c r="Q592" s="39" t="str">
        <f>IF(AND($M592=$O$7,$B592&lt;'111'!$N$11),"x","")</f>
        <v/>
      </c>
      <c r="R592" s="39" t="str">
        <f>IF(ISERROR(FIND('112'!$M$9,G592,1)),"",IF((AND(FIND('112'!$M$9,G592,1)&gt;=1,$B592&gt;='112'!$N$8,$B592&lt;='112'!$O$8,OR($L592='112'!$I$6,$M592='112'!$I$6))),"x",""))</f>
        <v/>
      </c>
      <c r="S592" s="39" t="str">
        <f>IF(ISERROR(FIND('112'!$M$9,G592,1)),"",IF((AND(LEFT(G592,2)=LEFT('112'!$M$9,2),B592&lt;'112'!$N$8,$L592='112'!$I$6)),"x",""))</f>
        <v/>
      </c>
      <c r="T592" s="39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39" t="str">
        <f>IF(OR(TH!L592=TH!$V$7,M592=TH!$V$7),"x","")</f>
        <v/>
      </c>
      <c r="W592" s="39" t="str">
        <f>IF(AND(B592&gt;='IN-NX'!$P$3,B592&lt;='IN-NX'!$Q$3,'IN-NX'!$D$7=D592,OR(LEFT(L592,2)="15",AND(LEFT(M592,2)&lt;&gt;"15",LEFT(M592,2)&lt;&gt;"33"))),"x","")</f>
        <v/>
      </c>
      <c r="X592" s="39" t="str">
        <f>IF(AND(OR(LEFT(TH!L592,2)="15",LEFT(TH!M592,2)="15"),'152-CT'!$J$8=TH!F592),"x","")</f>
        <v/>
      </c>
      <c r="Y592" s="39" t="str">
        <f>IF(AND(OR(LEFT(TH!L592,2)="15",LEFT(TH!M592,2)="15"),TK!$E$7=TH!F592),"x","")</f>
        <v/>
      </c>
      <c r="Z592" s="39" t="str">
        <f>IF(AND(B592&lt;=NKC!$N$8,B592&gt;=NKC!$M$8),"x","")</f>
        <v/>
      </c>
      <c r="AA592" s="894"/>
      <c r="AB592" s="598" t="e">
        <f t="shared" si="28"/>
        <v>#N/A</v>
      </c>
      <c r="AC592" s="598"/>
      <c r="AD592" s="598"/>
    </row>
    <row r="593" spans="1:30" ht="15.75" customHeight="1">
      <c r="A593" s="199" t="str">
        <f>IF(B593&lt;&gt;"",IF(AND(B593&gt;=_TM1,B593&lt;=_TM2,OR(TH!L593="1111",TH!M593="1111")),TH!D593,""),"")</f>
        <v/>
      </c>
      <c r="B593" s="36">
        <f t="shared" si="26"/>
        <v>1</v>
      </c>
      <c r="C593" s="190">
        <f t="shared" si="27"/>
        <v>0</v>
      </c>
      <c r="D593" s="183"/>
      <c r="E593" s="190"/>
      <c r="F593" s="191"/>
      <c r="G593" s="491"/>
      <c r="H593" s="192"/>
      <c r="I593" s="254"/>
      <c r="J593" s="254"/>
      <c r="K593" s="38"/>
      <c r="L593" s="193"/>
      <c r="M593" s="193"/>
      <c r="N593" s="39" t="str">
        <f>IF(AND('331-CT'!$E$7=TH!H593,OR(L593="331",M593="331")),"331",IF(AND(OR(L593="131",M593="131"),H593='131-CT'!$E$7),"131",""))</f>
        <v/>
      </c>
      <c r="O593" s="39" t="str">
        <f>IF(AND($B593&gt;='111'!$N$11,$B593&lt;='111'!$O$11,OR($L593=$O$7,$M593=$O$7)),"x","")</f>
        <v/>
      </c>
      <c r="P593" s="39" t="str">
        <f>IF(AND($L593=$O$7,$B593&lt;'111'!$N$11),"x","")</f>
        <v/>
      </c>
      <c r="Q593" s="39" t="str">
        <f>IF(AND($M593=$O$7,$B593&lt;'111'!$N$11),"x","")</f>
        <v/>
      </c>
      <c r="R593" s="39" t="str">
        <f>IF(ISERROR(FIND('112'!$M$9,G593,1)),"",IF((AND(FIND('112'!$M$9,G593,1)&gt;=1,$B593&gt;='112'!$N$8,$B593&lt;='112'!$O$8,OR($L593='112'!$I$6,$M593='112'!$I$6))),"x",""))</f>
        <v/>
      </c>
      <c r="S593" s="39" t="str">
        <f>IF(ISERROR(FIND('112'!$M$9,G593,1)),"",IF((AND(LEFT(G593,2)=LEFT('112'!$M$9,2),B593&lt;'112'!$N$8,$L593='112'!$I$6)),"x",""))</f>
        <v/>
      </c>
      <c r="T593" s="39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39" t="str">
        <f>IF(OR(TH!L593=TH!$V$7,M593=TH!$V$7),"x","")</f>
        <v/>
      </c>
      <c r="W593" s="39" t="str">
        <f>IF(AND(B593&gt;='IN-NX'!$P$3,B593&lt;='IN-NX'!$Q$3,'IN-NX'!$D$7=D593,OR(LEFT(L593,2)="15",AND(LEFT(M593,2)&lt;&gt;"15",LEFT(M593,2)&lt;&gt;"33"))),"x","")</f>
        <v/>
      </c>
      <c r="X593" s="39" t="str">
        <f>IF(AND(OR(LEFT(TH!L593,2)="15",LEFT(TH!M593,2)="15"),'152-CT'!$J$8=TH!F593),"x","")</f>
        <v/>
      </c>
      <c r="Y593" s="39" t="str">
        <f>IF(AND(OR(LEFT(TH!L593,2)="15",LEFT(TH!M593,2)="15"),TK!$E$7=TH!F593),"x","")</f>
        <v/>
      </c>
      <c r="Z593" s="39" t="str">
        <f>IF(AND(B593&lt;=NKC!$N$8,B593&gt;=NKC!$M$8),"x","")</f>
        <v/>
      </c>
      <c r="AA593" s="894"/>
      <c r="AB593" s="598" t="e">
        <f t="shared" si="28"/>
        <v>#N/A</v>
      </c>
    </row>
    <row r="594" spans="1:30" ht="15.75" customHeight="1">
      <c r="A594" s="199" t="str">
        <f>IF(B594&lt;&gt;"",IF(AND(B594&gt;=_TM1,B594&lt;=_TM2,OR(TH!L594="1111",TH!M594="1111")),TH!D594,""),"")</f>
        <v/>
      </c>
      <c r="B594" s="36">
        <f t="shared" si="26"/>
        <v>1</v>
      </c>
      <c r="C594" s="190">
        <f t="shared" si="27"/>
        <v>0</v>
      </c>
      <c r="D594" s="183"/>
      <c r="E594" s="190"/>
      <c r="F594" s="191"/>
      <c r="G594" s="491"/>
      <c r="H594" s="192"/>
      <c r="I594" s="253"/>
      <c r="J594" s="253"/>
      <c r="K594" s="606"/>
      <c r="L594" s="193"/>
      <c r="M594" s="193"/>
      <c r="N594" s="39" t="str">
        <f>IF(AND('331-CT'!$E$7=TH!H594,OR(L594="331",M594="331")),"331",IF(AND(OR(L594="131",M594="131"),H594='131-CT'!$E$7),"131",""))</f>
        <v/>
      </c>
      <c r="O594" s="39" t="str">
        <f>IF(AND($B594&gt;='111'!$N$11,$B594&lt;='111'!$O$11,OR($L594=$O$7,$M594=$O$7)),"x","")</f>
        <v/>
      </c>
      <c r="P594" s="39" t="str">
        <f>IF(AND($L594=$O$7,$B594&lt;'111'!$N$11),"x","")</f>
        <v/>
      </c>
      <c r="Q594" s="39" t="str">
        <f>IF(AND($M594=$O$7,$B594&lt;'111'!$N$11),"x","")</f>
        <v/>
      </c>
      <c r="R594" s="39" t="str">
        <f>IF(ISERROR(FIND('112'!$M$9,G594,1)),"",IF((AND(FIND('112'!$M$9,G594,1)&gt;=1,$B594&gt;='112'!$N$8,$B594&lt;='112'!$O$8,OR($L594='112'!$I$6,$M594='112'!$I$6))),"x",""))</f>
        <v/>
      </c>
      <c r="S594" s="39" t="str">
        <f>IF(ISERROR(FIND('112'!$M$9,G594,1)),"",IF((AND(LEFT(G594,2)=LEFT('112'!$M$9,2),B594&lt;'112'!$N$8,$L594='112'!$I$6)),"x",""))</f>
        <v/>
      </c>
      <c r="T594" s="39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39" t="str">
        <f>IF(OR(TH!L594=TH!$V$7,M594=TH!$V$7),"x","")</f>
        <v/>
      </c>
      <c r="W594" s="39" t="str">
        <f>IF(AND(B594&gt;='IN-NX'!$P$3,B594&lt;='IN-NX'!$Q$3,'IN-NX'!$D$7=D594,OR(LEFT(L594,2)="15",AND(LEFT(M594,2)&lt;&gt;"15",LEFT(M594,2)&lt;&gt;"33"))),"x","")</f>
        <v/>
      </c>
      <c r="X594" s="39" t="str">
        <f>IF(AND(OR(LEFT(TH!L594,2)="15",LEFT(TH!M594,2)="15"),'152-CT'!$J$8=TH!F594),"x","")</f>
        <v/>
      </c>
      <c r="Y594" s="39" t="str">
        <f>IF(AND(OR(LEFT(TH!L594,2)="15",LEFT(TH!M594,2)="15"),TK!$E$7=TH!F594),"x","")</f>
        <v/>
      </c>
      <c r="Z594" s="39" t="str">
        <f>IF(AND(B594&lt;=NKC!$N$8,B594&gt;=NKC!$M$8),"x","")</f>
        <v/>
      </c>
      <c r="AA594" s="894"/>
      <c r="AB594" s="598" t="e">
        <f t="shared" si="28"/>
        <v>#N/A</v>
      </c>
      <c r="AC594" s="598"/>
    </row>
    <row r="595" spans="1:30" ht="15.75" customHeight="1">
      <c r="A595" s="199" t="str">
        <f>IF(B595&lt;&gt;"",IF(AND(B595&gt;=_TM1,B595&lt;=_TM2,OR(TH!L595="1111",TH!M595="1111")),TH!D595,""),"")</f>
        <v/>
      </c>
      <c r="B595" s="36">
        <f t="shared" si="26"/>
        <v>1</v>
      </c>
      <c r="C595" s="190">
        <f t="shared" si="27"/>
        <v>0</v>
      </c>
      <c r="D595" s="183"/>
      <c r="E595" s="190"/>
      <c r="F595" s="191"/>
      <c r="G595" s="491"/>
      <c r="H595" s="7"/>
      <c r="I595" s="253"/>
      <c r="J595" s="253"/>
      <c r="K595" s="38"/>
      <c r="L595" s="193"/>
      <c r="M595" s="193"/>
      <c r="N595" s="39" t="str">
        <f>IF(AND('331-CT'!$E$7=TH!H595,OR(L595="331",M595="331")),"331",IF(AND(OR(L595="131",M595="131"),H595='131-CT'!$E$7),"131",""))</f>
        <v/>
      </c>
      <c r="O595" s="39" t="str">
        <f>IF(AND($B595&gt;='111'!$N$11,$B595&lt;='111'!$O$11,OR($L595=$O$7,$M595=$O$7)),"x","")</f>
        <v/>
      </c>
      <c r="P595" s="39" t="str">
        <f>IF(AND($L595=$O$7,$B595&lt;'111'!$N$11),"x","")</f>
        <v/>
      </c>
      <c r="Q595" s="39" t="str">
        <f>IF(AND($M595=$O$7,$B595&lt;'111'!$N$11),"x","")</f>
        <v/>
      </c>
      <c r="R595" s="39" t="str">
        <f>IF(ISERROR(FIND('112'!$M$9,G595,1)),"",IF((AND(FIND('112'!$M$9,G595,1)&gt;=1,$B595&gt;='112'!$N$8,$B595&lt;='112'!$O$8,OR($L595='112'!$I$6,$M595='112'!$I$6))),"x",""))</f>
        <v/>
      </c>
      <c r="S595" s="39" t="str">
        <f>IF(ISERROR(FIND('112'!$M$9,G595,1)),"",IF((AND(LEFT(G595,2)=LEFT('112'!$M$9,2),B595&lt;'112'!$N$8,$L595='112'!$I$6)),"x",""))</f>
        <v/>
      </c>
      <c r="T595" s="39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39" t="str">
        <f>IF(OR(TH!L595=TH!$V$7,M595=TH!$V$7),"x","")</f>
        <v/>
      </c>
      <c r="W595" s="39" t="str">
        <f>IF(AND(B595&gt;='IN-NX'!$P$3,B595&lt;='IN-NX'!$Q$3,'IN-NX'!$D$7=D595,OR(LEFT(L595,2)="15",AND(LEFT(M595,2)&lt;&gt;"15",LEFT(M595,2)&lt;&gt;"33"))),"x","")</f>
        <v/>
      </c>
      <c r="X595" s="39" t="str">
        <f>IF(AND(OR(LEFT(TH!L595,2)="15",LEFT(TH!M595,2)="15"),'152-CT'!$J$8=TH!F595),"x","")</f>
        <v/>
      </c>
      <c r="Y595" s="39" t="str">
        <f>IF(AND(OR(LEFT(TH!L595,2)="15",LEFT(TH!M595,2)="15"),TK!$E$7=TH!F595),"x","")</f>
        <v/>
      </c>
      <c r="Z595" s="39" t="str">
        <f>IF(AND(B595&lt;=NKC!$N$8,B595&gt;=NKC!$M$8),"x","")</f>
        <v/>
      </c>
      <c r="AA595" s="894"/>
      <c r="AB595" s="598" t="e">
        <f t="shared" si="28"/>
        <v>#N/A</v>
      </c>
    </row>
    <row r="596" spans="1:30" ht="15.75" customHeight="1">
      <c r="A596" s="199" t="str">
        <f>IF(B596&lt;&gt;"",IF(AND(B596&gt;=_TM1,B596&lt;=_TM2,OR(TH!L596="1111",TH!M596="1111")),TH!D596,""),"")</f>
        <v/>
      </c>
      <c r="B596" s="36">
        <f t="shared" si="26"/>
        <v>1</v>
      </c>
      <c r="C596" s="190">
        <f t="shared" si="27"/>
        <v>0</v>
      </c>
      <c r="D596" s="183"/>
      <c r="E596" s="190"/>
      <c r="F596" s="191"/>
      <c r="G596" s="491"/>
      <c r="H596" s="7"/>
      <c r="I596" s="253"/>
      <c r="J596" s="253"/>
      <c r="K596" s="606"/>
      <c r="L596" s="193"/>
      <c r="M596" s="193"/>
      <c r="N596" s="39" t="str">
        <f>IF(AND('331-CT'!$E$7=TH!H596,OR(L596="331",M596="331")),"331",IF(AND(OR(L596="131",M596="131"),H596='131-CT'!$E$7),"131",""))</f>
        <v/>
      </c>
      <c r="O596" s="39" t="str">
        <f>IF(AND($B596&gt;='111'!$N$11,$B596&lt;='111'!$O$11,OR($L596=$O$7,$M596=$O$7)),"x","")</f>
        <v/>
      </c>
      <c r="P596" s="39" t="str">
        <f>IF(AND($L596=$O$7,$B596&lt;'111'!$N$11),"x","")</f>
        <v/>
      </c>
      <c r="Q596" s="39" t="str">
        <f>IF(AND($M596=$O$7,$B596&lt;'111'!$N$11),"x","")</f>
        <v/>
      </c>
      <c r="R596" s="39" t="str">
        <f>IF(ISERROR(FIND('112'!$M$9,G596,1)),"",IF((AND(FIND('112'!$M$9,G596,1)&gt;=1,$B596&gt;='112'!$N$8,$B596&lt;='112'!$O$8,OR($L596='112'!$I$6,$M596='112'!$I$6))),"x",""))</f>
        <v/>
      </c>
      <c r="S596" s="39" t="str">
        <f>IF(ISERROR(FIND('112'!$M$9,G596,1)),"",IF((AND(LEFT(G596,2)=LEFT('112'!$M$9,2),B596&lt;'112'!$N$8,$L596='112'!$I$6)),"x",""))</f>
        <v/>
      </c>
      <c r="T596" s="39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39" t="str">
        <f>IF(OR(TH!L596=TH!$V$7,M596=TH!$V$7),"x","")</f>
        <v/>
      </c>
      <c r="W596" s="39" t="str">
        <f>IF(AND(B596&gt;='IN-NX'!$P$3,B596&lt;='IN-NX'!$Q$3,'IN-NX'!$D$7=D596,OR(LEFT(L596,2)="15",AND(LEFT(M596,2)&lt;&gt;"15",LEFT(M596,2)&lt;&gt;"33"))),"x","")</f>
        <v/>
      </c>
      <c r="X596" s="39" t="str">
        <f>IF(AND(OR(LEFT(TH!L596,2)="15",LEFT(TH!M596,2)="15"),'152-CT'!$J$8=TH!F596),"x","")</f>
        <v/>
      </c>
      <c r="Y596" s="39" t="str">
        <f>IF(AND(OR(LEFT(TH!L596,2)="15",LEFT(TH!M596,2)="15"),TK!$E$7=TH!F596),"x","")</f>
        <v/>
      </c>
      <c r="Z596" s="39" t="str">
        <f>IF(AND(B596&lt;=NKC!$N$8,B596&gt;=NKC!$M$8),"x","")</f>
        <v/>
      </c>
      <c r="AA596" s="894"/>
      <c r="AB596" s="598" t="e">
        <f t="shared" si="28"/>
        <v>#N/A</v>
      </c>
      <c r="AC596" s="598"/>
    </row>
    <row r="597" spans="1:30" ht="15.75" customHeight="1">
      <c r="A597" s="199" t="str">
        <f>IF(B597&lt;&gt;"",IF(AND(B597&gt;=_TM1,B597&lt;=_TM2,OR(TH!L597="1111",TH!M597="1111")),TH!D597,""),"")</f>
        <v/>
      </c>
      <c r="B597" s="36">
        <f t="shared" si="26"/>
        <v>1</v>
      </c>
      <c r="C597" s="190">
        <f t="shared" si="27"/>
        <v>0</v>
      </c>
      <c r="D597" s="183"/>
      <c r="E597" s="190"/>
      <c r="F597" s="191"/>
      <c r="G597" s="491"/>
      <c r="H597" s="192"/>
      <c r="I597" s="255"/>
      <c r="J597" s="255"/>
      <c r="K597" s="38"/>
      <c r="L597" s="193"/>
      <c r="M597" s="193"/>
      <c r="N597" s="39" t="str">
        <f>IF(AND('331-CT'!$E$7=TH!H597,OR(L597="331",M597="331")),"331",IF(AND(OR(L597="131",M597="131"),H597='131-CT'!$E$7),"131",""))</f>
        <v/>
      </c>
      <c r="O597" s="39" t="str">
        <f>IF(AND($B597&gt;='111'!$N$11,$B597&lt;='111'!$O$11,OR($L597=$O$7,$M597=$O$7)),"x","")</f>
        <v/>
      </c>
      <c r="P597" s="39" t="str">
        <f>IF(AND($L597=$O$7,$B597&lt;'111'!$N$11),"x","")</f>
        <v/>
      </c>
      <c r="Q597" s="39" t="str">
        <f>IF(AND($M597=$O$7,$B597&lt;'111'!$N$11),"x","")</f>
        <v/>
      </c>
      <c r="R597" s="39" t="str">
        <f>IF(ISERROR(FIND('112'!$M$9,G597,1)),"",IF((AND(FIND('112'!$M$9,G597,1)&gt;=1,$B597&gt;='112'!$N$8,$B597&lt;='112'!$O$8,OR($L597='112'!$I$6,$M597='112'!$I$6))),"x",""))</f>
        <v/>
      </c>
      <c r="S597" s="39" t="str">
        <f>IF(ISERROR(FIND('112'!$M$9,G597,1)),"",IF((AND(LEFT(G597,2)=LEFT('112'!$M$9,2),B597&lt;'112'!$N$8,$L597='112'!$I$6)),"x",""))</f>
        <v/>
      </c>
      <c r="T597" s="39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39" t="str">
        <f>IF(OR(TH!L597=TH!$V$7,M597=TH!$V$7),"x","")</f>
        <v/>
      </c>
      <c r="W597" s="39" t="str">
        <f>IF(AND(B597&gt;='IN-NX'!$P$3,B597&lt;='IN-NX'!$Q$3,'IN-NX'!$D$7=D597,OR(LEFT(L597,2)="15",AND(LEFT(M597,2)&lt;&gt;"15",LEFT(M597,2)&lt;&gt;"33"))),"x","")</f>
        <v/>
      </c>
      <c r="X597" s="39" t="str">
        <f>IF(AND(OR(LEFT(TH!L597,2)="15",LEFT(TH!M597,2)="15"),'152-CT'!$J$8=TH!F597),"x","")</f>
        <v/>
      </c>
      <c r="Y597" s="39" t="str">
        <f>IF(AND(OR(LEFT(TH!L597,2)="15",LEFT(TH!M597,2)="15"),TK!$E$7=TH!F597),"x","")</f>
        <v/>
      </c>
      <c r="Z597" s="39" t="str">
        <f>IF(AND(B597&lt;=NKC!$N$8,B597&gt;=NKC!$M$8),"x","")</f>
        <v/>
      </c>
      <c r="AA597" s="894"/>
      <c r="AB597" s="598" t="e">
        <f t="shared" si="28"/>
        <v>#N/A</v>
      </c>
    </row>
    <row r="598" spans="1:30" ht="15.75" customHeight="1">
      <c r="A598" s="199" t="str">
        <f>IF(B598&lt;&gt;"",IF(AND(B598&gt;=_TM1,B598&lt;=_TM2,OR(TH!L598="1111",TH!M598="1111")),TH!D598,""),"")</f>
        <v/>
      </c>
      <c r="B598" s="36">
        <f t="shared" si="26"/>
        <v>1</v>
      </c>
      <c r="C598" s="190">
        <f t="shared" si="27"/>
        <v>0</v>
      </c>
      <c r="D598" s="183"/>
      <c r="E598" s="190"/>
      <c r="F598" s="40"/>
      <c r="G598" s="491"/>
      <c r="H598" s="7"/>
      <c r="I598" s="253"/>
      <c r="J598" s="253"/>
      <c r="K598" s="606"/>
      <c r="L598" s="193"/>
      <c r="M598" s="193"/>
      <c r="N598" s="39" t="str">
        <f>IF(AND('331-CT'!$E$7=TH!H598,OR(L598="331",M598="331")),"331",IF(AND(OR(L598="131",M598="131"),H598='131-CT'!$E$7),"131",""))</f>
        <v/>
      </c>
      <c r="O598" s="39" t="str">
        <f>IF(AND($B598&gt;='111'!$N$11,$B598&lt;='111'!$O$11,OR($L598=$O$7,$M598=$O$7)),"x","")</f>
        <v/>
      </c>
      <c r="P598" s="39" t="str">
        <f>IF(AND($L598=$O$7,$B598&lt;'111'!$N$11),"x","")</f>
        <v/>
      </c>
      <c r="Q598" s="39" t="str">
        <f>IF(AND($M598=$O$7,$B598&lt;'111'!$N$11),"x","")</f>
        <v/>
      </c>
      <c r="R598" s="39" t="str">
        <f>IF(ISERROR(FIND('112'!$M$9,G598,1)),"",IF((AND(FIND('112'!$M$9,G598,1)&gt;=1,$B598&gt;='112'!$N$8,$B598&lt;='112'!$O$8,OR($L598='112'!$I$6,$M598='112'!$I$6))),"x",""))</f>
        <v/>
      </c>
      <c r="S598" s="39" t="str">
        <f>IF(ISERROR(FIND('112'!$M$9,G598,1)),"",IF((AND(LEFT(G598,2)=LEFT('112'!$M$9,2),B598&lt;'112'!$N$8,$L598='112'!$I$6)),"x",""))</f>
        <v/>
      </c>
      <c r="T598" s="39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39" t="str">
        <f>IF(OR(TH!L598=TH!$V$7,M598=TH!$V$7),"x","")</f>
        <v/>
      </c>
      <c r="W598" s="39" t="str">
        <f>IF(AND(B598&gt;='IN-NX'!$P$3,B598&lt;='IN-NX'!$Q$3,'IN-NX'!$D$7=D598,OR(LEFT(L598,2)="15",AND(LEFT(M598,2)&lt;&gt;"15",LEFT(M598,2)&lt;&gt;"33"))),"x","")</f>
        <v/>
      </c>
      <c r="X598" s="39" t="str">
        <f>IF(AND(OR(LEFT(TH!L598,2)="15",LEFT(TH!M598,2)="15"),'152-CT'!$J$8=TH!F598),"x","")</f>
        <v/>
      </c>
      <c r="Y598" s="39" t="str">
        <f>IF(AND(OR(LEFT(TH!L598,2)="15",LEFT(TH!M598,2)="15"),TK!$E$7=TH!F598),"x","")</f>
        <v/>
      </c>
      <c r="Z598" s="39" t="str">
        <f>IF(AND(B598&lt;=NKC!$N$8,B598&gt;=NKC!$M$8),"x","")</f>
        <v/>
      </c>
      <c r="AA598" s="894"/>
      <c r="AB598" s="598" t="e">
        <f t="shared" si="28"/>
        <v>#N/A</v>
      </c>
    </row>
    <row r="599" spans="1:30" ht="15.75" customHeight="1">
      <c r="A599" s="199" t="str">
        <f>IF(B599&lt;&gt;"",IF(AND(B599&gt;=_TM1,B599&lt;=_TM2,OR(TH!L599="1111",TH!M599="1111")),TH!D599,""),"")</f>
        <v/>
      </c>
      <c r="B599" s="36">
        <f t="shared" si="26"/>
        <v>1</v>
      </c>
      <c r="C599" s="190">
        <f t="shared" si="27"/>
        <v>0</v>
      </c>
      <c r="D599" s="183"/>
      <c r="E599" s="190"/>
      <c r="F599" s="40"/>
      <c r="G599" s="491"/>
      <c r="H599" s="7"/>
      <c r="I599" s="253"/>
      <c r="J599" s="253"/>
      <c r="K599" s="38"/>
      <c r="L599" s="193"/>
      <c r="M599" s="193"/>
      <c r="N599" s="39" t="str">
        <f>IF(AND('331-CT'!$E$7=TH!H599,OR(L599="331",M599="331")),"331",IF(AND(OR(L599="131",M599="131"),H599='131-CT'!$E$7),"131",""))</f>
        <v/>
      </c>
      <c r="O599" s="39" t="str">
        <f>IF(AND($B599&gt;='111'!$N$11,$B599&lt;='111'!$O$11,OR($L599=$O$7,$M599=$O$7)),"x","")</f>
        <v/>
      </c>
      <c r="P599" s="39" t="str">
        <f>IF(AND($L599=$O$7,$B599&lt;'111'!$N$11),"x","")</f>
        <v/>
      </c>
      <c r="Q599" s="39" t="str">
        <f>IF(AND($M599=$O$7,$B599&lt;'111'!$N$11),"x","")</f>
        <v/>
      </c>
      <c r="R599" s="39" t="str">
        <f>IF(ISERROR(FIND('112'!$M$9,G599,1)),"",IF((AND(FIND('112'!$M$9,G599,1)&gt;=1,$B599&gt;='112'!$N$8,$B599&lt;='112'!$O$8,OR($L599='112'!$I$6,$M599='112'!$I$6))),"x",""))</f>
        <v/>
      </c>
      <c r="S599" s="39" t="str">
        <f>IF(ISERROR(FIND('112'!$M$9,G599,1)),"",IF((AND(LEFT(G599,2)=LEFT('112'!$M$9,2),B599&lt;'112'!$N$8,$L599='112'!$I$6)),"x",""))</f>
        <v/>
      </c>
      <c r="T599" s="39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39" t="str">
        <f>IF(OR(TH!L599=TH!$V$7,M599=TH!$V$7),"x","")</f>
        <v/>
      </c>
      <c r="W599" s="39" t="str">
        <f>IF(AND(B599&gt;='IN-NX'!$P$3,B599&lt;='IN-NX'!$Q$3,'IN-NX'!$D$7=D599,OR(LEFT(L599,2)="15",AND(LEFT(M599,2)&lt;&gt;"15",LEFT(M599,2)&lt;&gt;"33"))),"x","")</f>
        <v/>
      </c>
      <c r="X599" s="39" t="str">
        <f>IF(AND(OR(LEFT(TH!L599,2)="15",LEFT(TH!M599,2)="15"),'152-CT'!$J$8=TH!F599),"x","")</f>
        <v/>
      </c>
      <c r="Y599" s="39" t="str">
        <f>IF(AND(OR(LEFT(TH!L599,2)="15",LEFT(TH!M599,2)="15"),TK!$E$7=TH!F599),"x","")</f>
        <v/>
      </c>
      <c r="Z599" s="39" t="str">
        <f>IF(AND(B599&lt;=NKC!$N$8,B599&gt;=NKC!$M$8),"x","")</f>
        <v/>
      </c>
      <c r="AA599" s="894"/>
      <c r="AB599" s="598" t="e">
        <f t="shared" si="28"/>
        <v>#N/A</v>
      </c>
    </row>
    <row r="600" spans="1:30" ht="15.75" customHeight="1">
      <c r="A600" s="199" t="str">
        <f>IF(B600&lt;&gt;"",IF(AND(B600&gt;=_TM1,B600&lt;=_TM2,OR(TH!L600="1111",TH!M600="1111")),TH!D600,""),"")</f>
        <v/>
      </c>
      <c r="B600" s="36">
        <f t="shared" si="26"/>
        <v>1</v>
      </c>
      <c r="C600" s="190">
        <f t="shared" si="27"/>
        <v>0</v>
      </c>
      <c r="D600" s="183"/>
      <c r="E600" s="190"/>
      <c r="F600" s="40"/>
      <c r="G600" s="491"/>
      <c r="H600" s="7"/>
      <c r="I600" s="253"/>
      <c r="J600" s="253"/>
      <c r="K600" s="606"/>
      <c r="L600" s="193"/>
      <c r="M600" s="193"/>
      <c r="N600" s="39" t="str">
        <f>IF(AND('331-CT'!$E$7=TH!H600,OR(L600="331",M600="331")),"331",IF(AND(OR(L600="131",M600="131"),H600='131-CT'!$E$7),"131",""))</f>
        <v/>
      </c>
      <c r="O600" s="39" t="str">
        <f>IF(AND($B600&gt;='111'!$N$11,$B600&lt;='111'!$O$11,OR($L600=$O$7,$M600=$O$7)),"x","")</f>
        <v/>
      </c>
      <c r="P600" s="39" t="str">
        <f>IF(AND($L600=$O$7,$B600&lt;'111'!$N$11),"x","")</f>
        <v/>
      </c>
      <c r="Q600" s="39" t="str">
        <f>IF(AND($M600=$O$7,$B600&lt;'111'!$N$11),"x","")</f>
        <v/>
      </c>
      <c r="R600" s="39" t="str">
        <f>IF(ISERROR(FIND('112'!$M$9,G600,1)),"",IF((AND(FIND('112'!$M$9,G600,1)&gt;=1,$B600&gt;='112'!$N$8,$B600&lt;='112'!$O$8,OR($L600='112'!$I$6,$M600='112'!$I$6))),"x",""))</f>
        <v/>
      </c>
      <c r="S600" s="39" t="str">
        <f>IF(ISERROR(FIND('112'!$M$9,G600,1)),"",IF((AND(LEFT(G600,2)=LEFT('112'!$M$9,2),B600&lt;'112'!$N$8,$L600='112'!$I$6)),"x",""))</f>
        <v/>
      </c>
      <c r="T600" s="39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39" t="str">
        <f>IF(OR(TH!L600=TH!$V$7,M600=TH!$V$7),"x","")</f>
        <v/>
      </c>
      <c r="W600" s="39" t="str">
        <f>IF(AND(B600&gt;='IN-NX'!$P$3,B600&lt;='IN-NX'!$Q$3,'IN-NX'!$D$7=D600,OR(LEFT(L600,2)="15",AND(LEFT(M600,2)&lt;&gt;"15",LEFT(M600,2)&lt;&gt;"33"))),"x","")</f>
        <v/>
      </c>
      <c r="X600" s="39" t="str">
        <f>IF(AND(OR(LEFT(TH!L600,2)="15",LEFT(TH!M600,2)="15"),'152-CT'!$J$8=TH!F600),"x","")</f>
        <v/>
      </c>
      <c r="Y600" s="39" t="str">
        <f>IF(AND(OR(LEFT(TH!L600,2)="15",LEFT(TH!M600,2)="15"),TK!$E$7=TH!F600),"x","")</f>
        <v/>
      </c>
      <c r="Z600" s="39" t="str">
        <f>IF(AND(B600&lt;=NKC!$N$8,B600&gt;=NKC!$M$8),"x","")</f>
        <v/>
      </c>
      <c r="AA600" s="894"/>
      <c r="AB600" s="598" t="e">
        <f t="shared" si="28"/>
        <v>#N/A</v>
      </c>
    </row>
    <row r="601" spans="1:30" ht="15.75" customHeight="1">
      <c r="A601" s="199" t="str">
        <f>IF(B601&lt;&gt;"",IF(AND(B601&gt;=_TM1,B601&lt;=_TM2,OR(TH!L601="1111",TH!M601="1111")),TH!D601,""),"")</f>
        <v/>
      </c>
      <c r="B601" s="36">
        <f t="shared" ref="B601:B664" si="29">IF(C601&lt;&gt;"",MONTH(C601),"")</f>
        <v>1</v>
      </c>
      <c r="C601" s="190">
        <f t="shared" si="27"/>
        <v>0</v>
      </c>
      <c r="D601" s="183"/>
      <c r="E601" s="190"/>
      <c r="F601" s="188"/>
      <c r="G601" s="491"/>
      <c r="H601" s="7"/>
      <c r="I601" s="253"/>
      <c r="J601" s="253"/>
      <c r="K601" s="38"/>
      <c r="L601" s="193"/>
      <c r="M601" s="193"/>
      <c r="N601" s="39" t="str">
        <f>IF(AND('331-CT'!$E$7=TH!H601,OR(L601="331",M601="331")),"331",IF(AND(OR(L601="131",M601="131"),H601='131-CT'!$E$7),"131",""))</f>
        <v/>
      </c>
      <c r="O601" s="39" t="str">
        <f>IF(AND($B601&gt;='111'!$N$11,$B601&lt;='111'!$O$11,OR($L601=$O$7,$M601=$O$7)),"x","")</f>
        <v/>
      </c>
      <c r="P601" s="39" t="str">
        <f>IF(AND($L601=$O$7,$B601&lt;'111'!$N$11),"x","")</f>
        <v/>
      </c>
      <c r="Q601" s="39" t="str">
        <f>IF(AND($M601=$O$7,$B601&lt;'111'!$N$11),"x","")</f>
        <v/>
      </c>
      <c r="R601" s="39" t="str">
        <f>IF(ISERROR(FIND('112'!$M$9,G601,1)),"",IF((AND(FIND('112'!$M$9,G601,1)&gt;=1,$B601&gt;='112'!$N$8,$B601&lt;='112'!$O$8,OR($L601='112'!$I$6,$M601='112'!$I$6))),"x",""))</f>
        <v/>
      </c>
      <c r="S601" s="39" t="str">
        <f>IF(ISERROR(FIND('112'!$M$9,G601,1)),"",IF((AND(LEFT(G601,2)=LEFT('112'!$M$9,2),B601&lt;'112'!$N$8,$L601='112'!$I$6)),"x",""))</f>
        <v/>
      </c>
      <c r="T601" s="39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39" t="str">
        <f>IF(OR(TH!L601=TH!$V$7,M601=TH!$V$7),"x","")</f>
        <v/>
      </c>
      <c r="W601" s="39" t="str">
        <f>IF(AND(B601&gt;='IN-NX'!$P$3,B601&lt;='IN-NX'!$Q$3,'IN-NX'!$D$7=D601,OR(LEFT(L601,2)="15",AND(LEFT(M601,2)&lt;&gt;"15",LEFT(M601,2)&lt;&gt;"33"))),"x","")</f>
        <v/>
      </c>
      <c r="X601" s="39" t="str">
        <f>IF(AND(OR(LEFT(TH!L601,2)="15",LEFT(TH!M601,2)="15"),'152-CT'!$J$8=TH!F601),"x","")</f>
        <v/>
      </c>
      <c r="Y601" s="39" t="str">
        <f>IF(AND(OR(LEFT(TH!L601,2)="15",LEFT(TH!M601,2)="15"),TK!$E$7=TH!F601),"x","")</f>
        <v/>
      </c>
      <c r="Z601" s="39" t="str">
        <f>IF(AND(B601&lt;=NKC!$N$8,B601&gt;=NKC!$M$8),"x","")</f>
        <v/>
      </c>
      <c r="AA601" s="894"/>
      <c r="AB601" s="598" t="e">
        <f t="shared" si="28"/>
        <v>#N/A</v>
      </c>
    </row>
    <row r="602" spans="1:30" ht="15.75" customHeight="1">
      <c r="A602" s="199" t="str">
        <f>IF(B602&lt;&gt;"",IF(AND(B602&gt;=_TM1,B602&lt;=_TM2,OR(TH!L602="1111",TH!M602="1111")),TH!D602,""),"")</f>
        <v/>
      </c>
      <c r="B602" s="36">
        <f t="shared" si="29"/>
        <v>1</v>
      </c>
      <c r="C602" s="190">
        <f t="shared" si="27"/>
        <v>0</v>
      </c>
      <c r="D602" s="183"/>
      <c r="E602" s="190"/>
      <c r="F602" s="40"/>
      <c r="G602" s="491"/>
      <c r="H602" s="7"/>
      <c r="I602" s="253"/>
      <c r="J602" s="253"/>
      <c r="K602" s="606"/>
      <c r="L602" s="193"/>
      <c r="M602" s="193"/>
      <c r="N602" s="39" t="str">
        <f>IF(AND('331-CT'!$E$7=TH!H602,OR(L602="331",M602="331")),"331",IF(AND(OR(L602="131",M602="131"),H602='131-CT'!$E$7),"131",""))</f>
        <v/>
      </c>
      <c r="O602" s="39" t="str">
        <f>IF(AND($B602&gt;='111'!$N$11,$B602&lt;='111'!$O$11,OR($L602=$O$7,$M602=$O$7)),"x","")</f>
        <v/>
      </c>
      <c r="P602" s="39" t="str">
        <f>IF(AND($L602=$O$7,$B602&lt;'111'!$N$11),"x","")</f>
        <v/>
      </c>
      <c r="Q602" s="39" t="str">
        <f>IF(AND($M602=$O$7,$B602&lt;'111'!$N$11),"x","")</f>
        <v/>
      </c>
      <c r="R602" s="39" t="str">
        <f>IF(ISERROR(FIND('112'!$M$9,G602,1)),"",IF((AND(FIND('112'!$M$9,G602,1)&gt;=1,$B602&gt;='112'!$N$8,$B602&lt;='112'!$O$8,OR($L602='112'!$I$6,$M602='112'!$I$6))),"x",""))</f>
        <v/>
      </c>
      <c r="S602" s="39" t="str">
        <f>IF(ISERROR(FIND('112'!$M$9,G602,1)),"",IF((AND(LEFT(G602,2)=LEFT('112'!$M$9,2),B602&lt;'112'!$N$8,$L602='112'!$I$6)),"x",""))</f>
        <v/>
      </c>
      <c r="T602" s="39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39" t="str">
        <f>IF(OR(TH!L602=TH!$V$7,M602=TH!$V$7),"x","")</f>
        <v/>
      </c>
      <c r="W602" s="39" t="str">
        <f>IF(AND(B602&gt;='IN-NX'!$P$3,B602&lt;='IN-NX'!$Q$3,'IN-NX'!$D$7=D602,OR(LEFT(L602,2)="15",AND(LEFT(M602,2)&lt;&gt;"15",LEFT(M602,2)&lt;&gt;"33"))),"x","")</f>
        <v/>
      </c>
      <c r="X602" s="39" t="str">
        <f>IF(AND(OR(LEFT(TH!L602,2)="15",LEFT(TH!M602,2)="15"),'152-CT'!$J$8=TH!F602),"x","")</f>
        <v/>
      </c>
      <c r="Y602" s="39" t="str">
        <f>IF(AND(OR(LEFT(TH!L602,2)="15",LEFT(TH!M602,2)="15"),TK!$E$7=TH!F602),"x","")</f>
        <v/>
      </c>
      <c r="Z602" s="39" t="str">
        <f>IF(AND(B602&lt;=NKC!$N$8,B602&gt;=NKC!$M$8),"x","")</f>
        <v/>
      </c>
      <c r="AA602" s="894"/>
      <c r="AB602" s="598" t="e">
        <f t="shared" si="28"/>
        <v>#N/A</v>
      </c>
    </row>
    <row r="603" spans="1:30" ht="15.75" customHeight="1">
      <c r="A603" s="199" t="str">
        <f>IF(B603&lt;&gt;"",IF(AND(B603&gt;=_TM1,B603&lt;=_TM2,OR(TH!L603="1111",TH!M603="1111")),TH!D603,""),"")</f>
        <v/>
      </c>
      <c r="B603" s="36">
        <f t="shared" si="29"/>
        <v>1</v>
      </c>
      <c r="C603" s="190">
        <f t="shared" si="27"/>
        <v>0</v>
      </c>
      <c r="D603" s="183"/>
      <c r="E603" s="190"/>
      <c r="F603" s="40"/>
      <c r="G603" s="491"/>
      <c r="H603" s="7"/>
      <c r="I603" s="253"/>
      <c r="J603" s="253"/>
      <c r="K603" s="38"/>
      <c r="L603" s="193"/>
      <c r="M603" s="193"/>
      <c r="N603" s="39" t="str">
        <f>IF(AND('331-CT'!$E$7=TH!H603,OR(L603="331",M603="331")),"331",IF(AND(OR(L603="131",M603="131"),H603='131-CT'!$E$7),"131",""))</f>
        <v/>
      </c>
      <c r="O603" s="39" t="str">
        <f>IF(AND($B603&gt;='111'!$N$11,$B603&lt;='111'!$O$11,OR($L603=$O$7,$M603=$O$7)),"x","")</f>
        <v/>
      </c>
      <c r="P603" s="39" t="str">
        <f>IF(AND($L603=$O$7,$B603&lt;'111'!$N$11),"x","")</f>
        <v/>
      </c>
      <c r="Q603" s="39" t="str">
        <f>IF(AND($M603=$O$7,$B603&lt;'111'!$N$11),"x","")</f>
        <v/>
      </c>
      <c r="R603" s="39" t="str">
        <f>IF(ISERROR(FIND('112'!$M$9,G603,1)),"",IF((AND(FIND('112'!$M$9,G603,1)&gt;=1,$B603&gt;='112'!$N$8,$B603&lt;='112'!$O$8,OR($L603='112'!$I$6,$M603='112'!$I$6))),"x",""))</f>
        <v/>
      </c>
      <c r="S603" s="39" t="str">
        <f>IF(ISERROR(FIND('112'!$M$9,G603,1)),"",IF((AND(LEFT(G603,2)=LEFT('112'!$M$9,2),B603&lt;'112'!$N$8,$L603='112'!$I$6)),"x",""))</f>
        <v/>
      </c>
      <c r="T603" s="39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39" t="str">
        <f>IF(OR(TH!L603=TH!$V$7,M603=TH!$V$7),"x","")</f>
        <v/>
      </c>
      <c r="W603" s="39" t="str">
        <f>IF(AND(B603&gt;='IN-NX'!$P$3,B603&lt;='IN-NX'!$Q$3,'IN-NX'!$D$7=D603,OR(LEFT(L603,2)="15",AND(LEFT(M603,2)&lt;&gt;"15",LEFT(M603,2)&lt;&gt;"33"))),"x","")</f>
        <v/>
      </c>
      <c r="X603" s="39" t="str">
        <f>IF(AND(OR(LEFT(TH!L603,2)="15",LEFT(TH!M603,2)="15"),'152-CT'!$J$8=TH!F603),"x","")</f>
        <v/>
      </c>
      <c r="Y603" s="39" t="str">
        <f>IF(AND(OR(LEFT(TH!L603,2)="15",LEFT(TH!M603,2)="15"),TK!$E$7=TH!F603),"x","")</f>
        <v/>
      </c>
      <c r="Z603" s="39" t="str">
        <f>IF(AND(B603&lt;=NKC!$N$8,B603&gt;=NKC!$M$8),"x","")</f>
        <v/>
      </c>
      <c r="AA603" s="894"/>
      <c r="AB603" s="598" t="e">
        <f t="shared" si="28"/>
        <v>#N/A</v>
      </c>
    </row>
    <row r="604" spans="1:30" ht="15.75" customHeight="1">
      <c r="A604" s="199" t="str">
        <f>IF(B604&lt;&gt;"",IF(AND(B604&gt;=_TM1,B604&lt;=_TM2,OR(TH!L604="1111",TH!M604="1111")),TH!D604,""),"")</f>
        <v/>
      </c>
      <c r="B604" s="36">
        <f t="shared" si="29"/>
        <v>1</v>
      </c>
      <c r="C604" s="190">
        <f t="shared" si="27"/>
        <v>0</v>
      </c>
      <c r="D604" s="183"/>
      <c r="E604" s="190"/>
      <c r="F604" s="188"/>
      <c r="G604" s="491"/>
      <c r="H604" s="7"/>
      <c r="I604" s="253"/>
      <c r="J604" s="253"/>
      <c r="K604" s="38"/>
      <c r="L604" s="193"/>
      <c r="M604" s="193"/>
      <c r="N604" s="39" t="str">
        <f>IF(AND('331-CT'!$E$7=TH!H604,OR(L604="331",M604="331")),"331",IF(AND(OR(L604="131",M604="131"),H604='131-CT'!$E$7),"131",""))</f>
        <v/>
      </c>
      <c r="O604" s="39" t="str">
        <f>IF(AND($B604&gt;='111'!$N$11,$B604&lt;='111'!$O$11,OR($L604=$O$7,$M604=$O$7)),"x","")</f>
        <v/>
      </c>
      <c r="P604" s="39" t="str">
        <f>IF(AND($L604=$O$7,$B604&lt;'111'!$N$11),"x","")</f>
        <v/>
      </c>
      <c r="Q604" s="39" t="str">
        <f>IF(AND($M604=$O$7,$B604&lt;'111'!$N$11),"x","")</f>
        <v/>
      </c>
      <c r="R604" s="39" t="str">
        <f>IF(ISERROR(FIND('112'!$M$9,G604,1)),"",IF((AND(FIND('112'!$M$9,G604,1)&gt;=1,$B604&gt;='112'!$N$8,$B604&lt;='112'!$O$8,OR($L604='112'!$I$6,$M604='112'!$I$6))),"x",""))</f>
        <v/>
      </c>
      <c r="S604" s="39" t="str">
        <f>IF(ISERROR(FIND('112'!$M$9,G604,1)),"",IF((AND(LEFT(G604,2)=LEFT('112'!$M$9,2),B604&lt;'112'!$N$8,$L604='112'!$I$6)),"x",""))</f>
        <v/>
      </c>
      <c r="T604" s="39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39" t="str">
        <f>IF(OR(TH!L604=TH!$V$7,M604=TH!$V$7),"x","")</f>
        <v/>
      </c>
      <c r="W604" s="39" t="str">
        <f>IF(AND(B604&gt;='IN-NX'!$P$3,B604&lt;='IN-NX'!$Q$3,'IN-NX'!$D$7=D604,OR(LEFT(L604,2)="15",AND(LEFT(M604,2)&lt;&gt;"15",LEFT(M604,2)&lt;&gt;"33"))),"x","")</f>
        <v/>
      </c>
      <c r="X604" s="39" t="str">
        <f>IF(AND(OR(LEFT(TH!L604,2)="15",LEFT(TH!M604,2)="15"),'152-CT'!$J$8=TH!F604),"x","")</f>
        <v/>
      </c>
      <c r="Y604" s="39" t="str">
        <f>IF(AND(OR(LEFT(TH!L604,2)="15",LEFT(TH!M604,2)="15"),TK!$E$7=TH!F604),"x","")</f>
        <v/>
      </c>
      <c r="Z604" s="39" t="str">
        <f>IF(AND(B604&lt;=NKC!$N$8,B604&gt;=NKC!$M$8),"x","")</f>
        <v/>
      </c>
      <c r="AA604" s="894"/>
      <c r="AB604" s="598" t="e">
        <f t="shared" si="28"/>
        <v>#N/A</v>
      </c>
    </row>
    <row r="605" spans="1:30" ht="15.75" customHeight="1">
      <c r="A605" s="199" t="str">
        <f>IF(B605&lt;&gt;"",IF(AND(B605&gt;=_TM1,B605&lt;=_TM2,OR(TH!L605="1111",TH!M605="1111")),TH!D605,""),"")</f>
        <v/>
      </c>
      <c r="B605" s="36">
        <f t="shared" si="29"/>
        <v>1</v>
      </c>
      <c r="C605" s="190">
        <f t="shared" si="27"/>
        <v>0</v>
      </c>
      <c r="D605" s="183"/>
      <c r="E605" s="190"/>
      <c r="F605" s="188"/>
      <c r="G605" s="491"/>
      <c r="H605" s="7"/>
      <c r="I605" s="253"/>
      <c r="J605" s="253"/>
      <c r="K605" s="38"/>
      <c r="L605" s="193"/>
      <c r="M605" s="193"/>
      <c r="N605" s="39" t="str">
        <f>IF(AND('331-CT'!$E$7=TH!H605,OR(L605="331",M605="331")),"331",IF(AND(OR(L605="131",M605="131"),H605='131-CT'!$E$7),"131",""))</f>
        <v/>
      </c>
      <c r="O605" s="39" t="str">
        <f>IF(AND($B605&gt;='111'!$N$11,$B605&lt;='111'!$O$11,OR($L605=$O$7,$M605=$O$7)),"x","")</f>
        <v/>
      </c>
      <c r="P605" s="39" t="str">
        <f>IF(AND($L605=$O$7,$B605&lt;'111'!$N$11),"x","")</f>
        <v/>
      </c>
      <c r="Q605" s="39" t="str">
        <f>IF(AND($M605=$O$7,$B605&lt;'111'!$N$11),"x","")</f>
        <v/>
      </c>
      <c r="R605" s="39" t="str">
        <f>IF(ISERROR(FIND('112'!$M$9,G605,1)),"",IF((AND(FIND('112'!$M$9,G605,1)&gt;=1,$B605&gt;='112'!$N$8,$B605&lt;='112'!$O$8,OR($L605='112'!$I$6,$M605='112'!$I$6))),"x",""))</f>
        <v/>
      </c>
      <c r="S605" s="39" t="str">
        <f>IF(ISERROR(FIND('112'!$M$9,G605,1)),"",IF((AND(LEFT(G605,2)=LEFT('112'!$M$9,2),B605&lt;'112'!$N$8,$L605='112'!$I$6)),"x",""))</f>
        <v/>
      </c>
      <c r="T605" s="39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39" t="str">
        <f>IF(OR(TH!L605=TH!$V$7,M605=TH!$V$7),"x","")</f>
        <v/>
      </c>
      <c r="W605" s="39" t="str">
        <f>IF(AND(B605&gt;='IN-NX'!$P$3,B605&lt;='IN-NX'!$Q$3,'IN-NX'!$D$7=D605,OR(LEFT(L605,2)="15",AND(LEFT(M605,2)&lt;&gt;"15",LEFT(M605,2)&lt;&gt;"33"))),"x","")</f>
        <v/>
      </c>
      <c r="X605" s="39" t="str">
        <f>IF(AND(OR(LEFT(TH!L605,2)="15",LEFT(TH!M605,2)="15"),'152-CT'!$J$8=TH!F605),"x","")</f>
        <v/>
      </c>
      <c r="Y605" s="39" t="str">
        <f>IF(AND(OR(LEFT(TH!L605,2)="15",LEFT(TH!M605,2)="15"),TK!$E$7=TH!F605),"x","")</f>
        <v/>
      </c>
      <c r="Z605" s="39" t="str">
        <f>IF(AND(B605&lt;=NKC!$N$8,B605&gt;=NKC!$M$8),"x","")</f>
        <v/>
      </c>
      <c r="AA605" s="894"/>
      <c r="AB605" s="598" t="e">
        <f t="shared" si="28"/>
        <v>#N/A</v>
      </c>
    </row>
    <row r="606" spans="1:30" ht="15.75" customHeight="1">
      <c r="A606" s="199" t="str">
        <f>IF(B606&lt;&gt;"",IF(AND(B606&gt;=_TM1,B606&lt;=_TM2,OR(TH!L606="1111",TH!M606="1111")),TH!D606,""),"")</f>
        <v/>
      </c>
      <c r="B606" s="36">
        <f t="shared" si="29"/>
        <v>1</v>
      </c>
      <c r="C606" s="190">
        <f t="shared" si="27"/>
        <v>0</v>
      </c>
      <c r="D606" s="183"/>
      <c r="E606" s="190"/>
      <c r="F606" s="188"/>
      <c r="G606" s="491"/>
      <c r="H606" s="7"/>
      <c r="I606" s="253"/>
      <c r="J606" s="253"/>
      <c r="K606" s="606"/>
      <c r="L606" s="193"/>
      <c r="M606" s="193"/>
      <c r="N606" s="39" t="str">
        <f>IF(AND('331-CT'!$E$7=TH!H606,OR(L606="331",M606="331")),"331",IF(AND(OR(L606="131",M606="131"),H606='131-CT'!$E$7),"131",""))</f>
        <v/>
      </c>
      <c r="O606" s="39" t="str">
        <f>IF(AND($B606&gt;='111'!$N$11,$B606&lt;='111'!$O$11,OR($L606=$O$7,$M606=$O$7)),"x","")</f>
        <v/>
      </c>
      <c r="P606" s="39" t="str">
        <f>IF(AND($L606=$O$7,$B606&lt;'111'!$N$11),"x","")</f>
        <v/>
      </c>
      <c r="Q606" s="39" t="str">
        <f>IF(AND($M606=$O$7,$B606&lt;'111'!$N$11),"x","")</f>
        <v/>
      </c>
      <c r="R606" s="39" t="str">
        <f>IF(ISERROR(FIND('112'!$M$9,G606,1)),"",IF((AND(FIND('112'!$M$9,G606,1)&gt;=1,$B606&gt;='112'!$N$8,$B606&lt;='112'!$O$8,OR($L606='112'!$I$6,$M606='112'!$I$6))),"x",""))</f>
        <v/>
      </c>
      <c r="S606" s="39" t="str">
        <f>IF(ISERROR(FIND('112'!$M$9,G606,1)),"",IF((AND(LEFT(G606,2)=LEFT('112'!$M$9,2),B606&lt;'112'!$N$8,$L606='112'!$I$6)),"x",""))</f>
        <v/>
      </c>
      <c r="T606" s="39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39" t="str">
        <f>IF(OR(TH!L606=TH!$V$7,M606=TH!$V$7),"x","")</f>
        <v/>
      </c>
      <c r="W606" s="39" t="str">
        <f>IF(AND(B606&gt;='IN-NX'!$P$3,B606&lt;='IN-NX'!$Q$3,'IN-NX'!$D$7=D606,OR(LEFT(L606,2)="15",AND(LEFT(M606,2)&lt;&gt;"15",LEFT(M606,2)&lt;&gt;"33"))),"x","")</f>
        <v/>
      </c>
      <c r="X606" s="39" t="str">
        <f>IF(AND(OR(LEFT(TH!L606,2)="15",LEFT(TH!M606,2)="15"),'152-CT'!$J$8=TH!F606),"x","")</f>
        <v/>
      </c>
      <c r="Y606" s="39" t="str">
        <f>IF(AND(OR(LEFT(TH!L606,2)="15",LEFT(TH!M606,2)="15"),TK!$E$7=TH!F606),"x","")</f>
        <v/>
      </c>
      <c r="Z606" s="39" t="str">
        <f>IF(AND(B606&lt;=NKC!$N$8,B606&gt;=NKC!$M$8),"x","")</f>
        <v/>
      </c>
      <c r="AA606" s="894"/>
      <c r="AB606" s="598" t="e">
        <f t="shared" si="28"/>
        <v>#N/A</v>
      </c>
    </row>
    <row r="607" spans="1:30" ht="15.75" customHeight="1">
      <c r="A607" s="199" t="str">
        <f>IF(B607&lt;&gt;"",IF(AND(B607&gt;=_TM1,B607&lt;=_TM2,OR(TH!L607="1111",TH!M607="1111")),TH!D607,""),"")</f>
        <v/>
      </c>
      <c r="B607" s="36">
        <f t="shared" si="29"/>
        <v>1</v>
      </c>
      <c r="C607" s="190">
        <f t="shared" si="27"/>
        <v>0</v>
      </c>
      <c r="D607" s="183"/>
      <c r="E607" s="190"/>
      <c r="F607" s="293"/>
      <c r="G607" s="491"/>
      <c r="H607" s="7"/>
      <c r="I607" s="254"/>
      <c r="J607" s="254"/>
      <c r="K607" s="38"/>
      <c r="L607" s="193"/>
      <c r="M607" s="193"/>
      <c r="N607" s="39" t="str">
        <f>IF(AND('331-CT'!$E$7=TH!H607,OR(L607="331",M607="331")),"331",IF(AND(OR(L607="131",M607="131"),H607='131-CT'!$E$7),"131",""))</f>
        <v/>
      </c>
      <c r="O607" s="39" t="str">
        <f>IF(AND($B607&gt;='111'!$N$11,$B607&lt;='111'!$O$11,OR($L607=$O$7,$M607=$O$7)),"x","")</f>
        <v/>
      </c>
      <c r="P607" s="39" t="str">
        <f>IF(AND($L607=$O$7,$B607&lt;'111'!$N$11),"x","")</f>
        <v/>
      </c>
      <c r="Q607" s="39" t="str">
        <f>IF(AND($M607=$O$7,$B607&lt;'111'!$N$11),"x","")</f>
        <v/>
      </c>
      <c r="R607" s="39" t="str">
        <f>IF(ISERROR(FIND('112'!$M$9,G607,1)),"",IF((AND(FIND('112'!$M$9,G607,1)&gt;=1,$B607&gt;='112'!$N$8,$B607&lt;='112'!$O$8,OR($L607='112'!$I$6,$M607='112'!$I$6))),"x",""))</f>
        <v/>
      </c>
      <c r="S607" s="39" t="str">
        <f>IF(ISERROR(FIND('112'!$M$9,G607,1)),"",IF((AND(LEFT(G607,2)=LEFT('112'!$M$9,2),B607&lt;'112'!$N$8,$L607='112'!$I$6)),"x",""))</f>
        <v/>
      </c>
      <c r="T607" s="39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39" t="str">
        <f>IF(OR(TH!L607=TH!$V$7,M607=TH!$V$7),"x","")</f>
        <v/>
      </c>
      <c r="W607" s="39" t="str">
        <f>IF(AND(B607&gt;='IN-NX'!$P$3,B607&lt;='IN-NX'!$Q$3,'IN-NX'!$D$7=D607,OR(LEFT(L607,2)="15",AND(LEFT(M607,2)&lt;&gt;"15",LEFT(M607,2)&lt;&gt;"33"))),"x","")</f>
        <v/>
      </c>
      <c r="X607" s="39" t="str">
        <f>IF(AND(OR(LEFT(TH!L607,2)="15",LEFT(TH!M607,2)="15"),'152-CT'!$J$8=TH!F607),"x","")</f>
        <v/>
      </c>
      <c r="Y607" s="39" t="str">
        <f>IF(AND(OR(LEFT(TH!L607,2)="15",LEFT(TH!M607,2)="15"),TK!$E$7=TH!F607),"x","")</f>
        <v/>
      </c>
      <c r="Z607" s="39" t="str">
        <f>IF(AND(B607&lt;=NKC!$N$8,B607&gt;=NKC!$M$8),"x","")</f>
        <v/>
      </c>
      <c r="AA607" s="894"/>
      <c r="AB607" s="598" t="e">
        <f t="shared" si="28"/>
        <v>#N/A</v>
      </c>
      <c r="AC607" s="598"/>
      <c r="AD607" s="598"/>
    </row>
    <row r="608" spans="1:30" ht="15.75" customHeight="1">
      <c r="A608" s="199" t="str">
        <f>IF(B608&lt;&gt;"",IF(AND(B608&gt;=_TM1,B608&lt;=_TM2,OR(TH!L608="1111",TH!M608="1111")),TH!D608,""),"")</f>
        <v/>
      </c>
      <c r="B608" s="36">
        <f t="shared" si="29"/>
        <v>1</v>
      </c>
      <c r="C608" s="190">
        <f t="shared" si="27"/>
        <v>0</v>
      </c>
      <c r="D608" s="183"/>
      <c r="E608" s="190"/>
      <c r="F608" s="191"/>
      <c r="G608" s="491"/>
      <c r="H608" s="7"/>
      <c r="I608" s="253"/>
      <c r="J608" s="253"/>
      <c r="K608" s="38"/>
      <c r="L608" s="193"/>
      <c r="M608" s="193"/>
      <c r="N608" s="39" t="str">
        <f>IF(AND('331-CT'!$E$7=TH!H608,OR(L608="331",M608="331")),"331",IF(AND(OR(L608="131",M608="131"),H608='131-CT'!$E$7),"131",""))</f>
        <v/>
      </c>
      <c r="O608" s="39" t="str">
        <f>IF(AND($B608&gt;='111'!$N$11,$B608&lt;='111'!$O$11,OR($L608=$O$7,$M608=$O$7)),"x","")</f>
        <v/>
      </c>
      <c r="P608" s="39" t="str">
        <f>IF(AND($L608=$O$7,$B608&lt;'111'!$N$11),"x","")</f>
        <v/>
      </c>
      <c r="Q608" s="39" t="str">
        <f>IF(AND($M608=$O$7,$B608&lt;'111'!$N$11),"x","")</f>
        <v/>
      </c>
      <c r="R608" s="39" t="str">
        <f>IF(ISERROR(FIND('112'!$M$9,G608,1)),"",IF((AND(FIND('112'!$M$9,G608,1)&gt;=1,$B608&gt;='112'!$N$8,$B608&lt;='112'!$O$8,OR($L608='112'!$I$6,$M608='112'!$I$6))),"x",""))</f>
        <v/>
      </c>
      <c r="S608" s="39" t="str">
        <f>IF(ISERROR(FIND('112'!$M$9,G608,1)),"",IF((AND(LEFT(G608,2)=LEFT('112'!$M$9,2),B608&lt;'112'!$N$8,$L608='112'!$I$6)),"x",""))</f>
        <v/>
      </c>
      <c r="T608" s="39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39" t="str">
        <f>IF(OR(TH!L608=TH!$V$7,M608=TH!$V$7),"x","")</f>
        <v/>
      </c>
      <c r="W608" s="39" t="str">
        <f>IF(AND(B608&gt;='IN-NX'!$P$3,B608&lt;='IN-NX'!$Q$3,'IN-NX'!$D$7=D608,OR(LEFT(L608,2)="15",AND(LEFT(M608,2)&lt;&gt;"15",LEFT(M608,2)&lt;&gt;"33"))),"x","")</f>
        <v/>
      </c>
      <c r="X608" s="39" t="str">
        <f>IF(AND(OR(LEFT(TH!L608,2)="15",LEFT(TH!M608,2)="15"),'152-CT'!$J$8=TH!F608),"x","")</f>
        <v/>
      </c>
      <c r="Y608" s="39" t="str">
        <f>IF(AND(OR(LEFT(TH!L608,2)="15",LEFT(TH!M608,2)="15"),TK!$E$7=TH!F608),"x","")</f>
        <v/>
      </c>
      <c r="Z608" s="39" t="str">
        <f>IF(AND(B608&lt;=NKC!$N$8,B608&gt;=NKC!$M$8),"x","")</f>
        <v/>
      </c>
      <c r="AA608" s="894"/>
      <c r="AB608" s="598" t="e">
        <f t="shared" si="28"/>
        <v>#N/A</v>
      </c>
      <c r="AC608" s="598"/>
      <c r="AD608" s="598"/>
    </row>
    <row r="609" spans="1:30" ht="15.75" customHeight="1">
      <c r="A609" s="199" t="str">
        <f>IF(B609&lt;&gt;"",IF(AND(B609&gt;=_TM1,B609&lt;=_TM2,OR(TH!L609="1111",TH!M609="1111")),TH!D609,""),"")</f>
        <v/>
      </c>
      <c r="B609" s="36">
        <f t="shared" si="29"/>
        <v>1</v>
      </c>
      <c r="C609" s="190">
        <f t="shared" si="27"/>
        <v>0</v>
      </c>
      <c r="D609" s="183"/>
      <c r="E609" s="183"/>
      <c r="F609" s="188"/>
      <c r="G609" s="608"/>
      <c r="H609" s="192"/>
      <c r="I609" s="253"/>
      <c r="J609" s="253"/>
      <c r="K609" s="38"/>
      <c r="L609" s="193"/>
      <c r="M609" s="193"/>
      <c r="N609" s="39" t="str">
        <f>IF(AND('331-CT'!$E$7=TH!H609,OR(L609="331",M609="331")),"331",IF(AND(OR(L609="131",M609="131"),H609='131-CT'!$E$7),"131",""))</f>
        <v/>
      </c>
      <c r="O609" s="39" t="str">
        <f>IF(AND($B609&gt;='111'!$N$11,$B609&lt;='111'!$O$11,OR($L609=$O$7,$M609=$O$7)),"x","")</f>
        <v/>
      </c>
      <c r="P609" s="39" t="str">
        <f>IF(AND($L609=$O$7,$B609&lt;'111'!$N$11),"x","")</f>
        <v/>
      </c>
      <c r="Q609" s="39" t="str">
        <f>IF(AND($M609=$O$7,$B609&lt;'111'!$N$11),"x","")</f>
        <v/>
      </c>
      <c r="R609" s="39" t="str">
        <f>IF(ISERROR(FIND('112'!$M$9,G609,1)),"",IF((AND(FIND('112'!$M$9,G609,1)&gt;=1,$B609&gt;='112'!$N$8,$B609&lt;='112'!$O$8,OR($L609='112'!$I$6,$M609='112'!$I$6))),"x",""))</f>
        <v/>
      </c>
      <c r="S609" s="39" t="str">
        <f>IF(ISERROR(FIND('112'!$M$9,G609,1)),"",IF((AND(LEFT(G609,2)=LEFT('112'!$M$9,2),B609&lt;'112'!$N$8,$L609='112'!$I$6)),"x",""))</f>
        <v/>
      </c>
      <c r="T609" s="39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39" t="str">
        <f>IF(OR(TH!L609=TH!$V$7,M609=TH!$V$7),"x","")</f>
        <v/>
      </c>
      <c r="W609" s="39" t="str">
        <f>IF(AND(B609&gt;='IN-NX'!$P$3,B609&lt;='IN-NX'!$Q$3,'IN-NX'!$D$7=D609,OR(LEFT(L609,2)="15",AND(LEFT(M609,2)&lt;&gt;"15",LEFT(M609,2)&lt;&gt;"33"))),"x","")</f>
        <v/>
      </c>
      <c r="X609" s="39" t="str">
        <f>IF(AND(OR(LEFT(TH!L609,2)="15",LEFT(TH!M609,2)="15"),'152-CT'!$J$8=TH!F609),"x","")</f>
        <v/>
      </c>
      <c r="Y609" s="39" t="str">
        <f>IF(AND(OR(LEFT(TH!L609,2)="15",LEFT(TH!M609,2)="15"),TK!$E$7=TH!F609),"x","")</f>
        <v/>
      </c>
      <c r="Z609" s="39" t="str">
        <f>IF(AND(B609&lt;=NKC!$N$8,B609&gt;=NKC!$M$8),"x","")</f>
        <v/>
      </c>
      <c r="AA609" s="894"/>
      <c r="AB609" s="598" t="e">
        <f t="shared" si="28"/>
        <v>#N/A</v>
      </c>
      <c r="AC609" s="598"/>
      <c r="AD609" s="598"/>
    </row>
    <row r="610" spans="1:30" ht="15.75" customHeight="1">
      <c r="A610" s="199" t="str">
        <f>IF(B610&lt;&gt;"",IF(AND(B610&gt;=_TM1,B610&lt;=_TM2,OR(TH!L610="1111",TH!M610="1111")),TH!D610,""),"")</f>
        <v/>
      </c>
      <c r="B610" s="36">
        <f t="shared" si="29"/>
        <v>1</v>
      </c>
      <c r="C610" s="190">
        <f t="shared" si="27"/>
        <v>0</v>
      </c>
      <c r="D610" s="183"/>
      <c r="E610" s="190"/>
      <c r="F610" s="191"/>
      <c r="G610" s="491"/>
      <c r="H610" s="7"/>
      <c r="I610" s="254"/>
      <c r="J610" s="254"/>
      <c r="K610" s="38"/>
      <c r="L610" s="193"/>
      <c r="M610" s="193"/>
      <c r="N610" s="39" t="str">
        <f>IF(AND('331-CT'!$E$7=TH!H610,OR(L610="331",M610="331")),"331",IF(AND(OR(L610="131",M610="131"),H610='131-CT'!$E$7),"131",""))</f>
        <v/>
      </c>
      <c r="O610" s="39" t="str">
        <f>IF(AND($B610&gt;='111'!$N$11,$B610&lt;='111'!$O$11,OR($L610=$O$7,$M610=$O$7)),"x","")</f>
        <v/>
      </c>
      <c r="P610" s="39" t="str">
        <f>IF(AND($L610=$O$7,$B610&lt;'111'!$N$11),"x","")</f>
        <v/>
      </c>
      <c r="Q610" s="39" t="str">
        <f>IF(AND($M610=$O$7,$B610&lt;'111'!$N$11),"x","")</f>
        <v/>
      </c>
      <c r="R610" s="39" t="str">
        <f>IF(ISERROR(FIND('112'!$M$9,G610,1)),"",IF((AND(FIND('112'!$M$9,G610,1)&gt;=1,$B610&gt;='112'!$N$8,$B610&lt;='112'!$O$8,OR($L610='112'!$I$6,$M610='112'!$I$6))),"x",""))</f>
        <v/>
      </c>
      <c r="S610" s="39" t="str">
        <f>IF(ISERROR(FIND('112'!$M$9,G610,1)),"",IF((AND(LEFT(G610,2)=LEFT('112'!$M$9,2),B610&lt;'112'!$N$8,$L610='112'!$I$6)),"x",""))</f>
        <v/>
      </c>
      <c r="T610" s="39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39" t="str">
        <f>IF(OR(TH!L610=TH!$V$7,M610=TH!$V$7),"x","")</f>
        <v/>
      </c>
      <c r="W610" s="39" t="str">
        <f>IF(AND(B610&gt;='IN-NX'!$P$3,B610&lt;='IN-NX'!$Q$3,'IN-NX'!$D$7=D610,OR(LEFT(L610,2)="15",AND(LEFT(M610,2)&lt;&gt;"15",LEFT(M610,2)&lt;&gt;"33"))),"x","")</f>
        <v/>
      </c>
      <c r="X610" s="39" t="str">
        <f>IF(AND(OR(LEFT(TH!L610,2)="15",LEFT(TH!M610,2)="15"),'152-CT'!$J$8=TH!F610),"x","")</f>
        <v/>
      </c>
      <c r="Y610" s="39" t="str">
        <f>IF(AND(OR(LEFT(TH!L610,2)="15",LEFT(TH!M610,2)="15"),TK!$E$7=TH!F610),"x","")</f>
        <v/>
      </c>
      <c r="Z610" s="39" t="str">
        <f>IF(AND(B610&lt;=NKC!$N$8,B610&gt;=NKC!$M$8),"x","")</f>
        <v/>
      </c>
      <c r="AA610" s="894"/>
      <c r="AB610" s="598" t="e">
        <f t="shared" si="28"/>
        <v>#N/A</v>
      </c>
      <c r="AC610" s="598"/>
      <c r="AD610" s="598"/>
    </row>
    <row r="611" spans="1:30" ht="15.75" customHeight="1">
      <c r="A611" s="199" t="str">
        <f>IF(B611&lt;&gt;"",IF(AND(B611&gt;=_TM1,B611&lt;=_TM2,OR(TH!L611="1111",TH!M611="1111")),TH!D611,""),"")</f>
        <v/>
      </c>
      <c r="B611" s="36">
        <f t="shared" si="29"/>
        <v>1</v>
      </c>
      <c r="C611" s="190">
        <f t="shared" si="27"/>
        <v>0</v>
      </c>
      <c r="D611" s="183"/>
      <c r="E611" s="183"/>
      <c r="F611" s="188"/>
      <c r="G611" s="608"/>
      <c r="H611" s="7"/>
      <c r="I611" s="253"/>
      <c r="J611" s="253"/>
      <c r="K611" s="38"/>
      <c r="L611" s="193"/>
      <c r="M611" s="193"/>
      <c r="N611" s="39" t="str">
        <f>IF(AND('331-CT'!$E$7=TH!H611,OR(L611="331",M611="331")),"331",IF(AND(OR(L611="131",M611="131"),H611='131-CT'!$E$7),"131",""))</f>
        <v/>
      </c>
      <c r="O611" s="39" t="str">
        <f>IF(AND($B611&gt;='111'!$N$11,$B611&lt;='111'!$O$11,OR($L611=$O$7,$M611=$O$7)),"x","")</f>
        <v/>
      </c>
      <c r="P611" s="39" t="str">
        <f>IF(AND($L611=$O$7,$B611&lt;'111'!$N$11),"x","")</f>
        <v/>
      </c>
      <c r="Q611" s="39" t="str">
        <f>IF(AND($M611=$O$7,$B611&lt;'111'!$N$11),"x","")</f>
        <v/>
      </c>
      <c r="R611" s="39" t="str">
        <f>IF(ISERROR(FIND('112'!$M$9,G611,1)),"",IF((AND(FIND('112'!$M$9,G611,1)&gt;=1,$B611&gt;='112'!$N$8,$B611&lt;='112'!$O$8,OR($L611='112'!$I$6,$M611='112'!$I$6))),"x",""))</f>
        <v/>
      </c>
      <c r="S611" s="39" t="str">
        <f>IF(ISERROR(FIND('112'!$M$9,G611,1)),"",IF((AND(LEFT(G611,2)=LEFT('112'!$M$9,2),B611&lt;'112'!$N$8,$L611='112'!$I$6)),"x",""))</f>
        <v/>
      </c>
      <c r="T611" s="39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39" t="str">
        <f>IF(OR(TH!L611=TH!$V$7,M611=TH!$V$7),"x","")</f>
        <v/>
      </c>
      <c r="W611" s="39" t="str">
        <f>IF(AND(B611&gt;='IN-NX'!$P$3,B611&lt;='IN-NX'!$Q$3,'IN-NX'!$D$7=D611,OR(LEFT(L611,2)="15",AND(LEFT(M611,2)&lt;&gt;"15",LEFT(M611,2)&lt;&gt;"33"))),"x","")</f>
        <v/>
      </c>
      <c r="X611" s="39" t="str">
        <f>IF(AND(OR(LEFT(TH!L611,2)="15",LEFT(TH!M611,2)="15"),'152-CT'!$J$8=TH!F611),"x","")</f>
        <v/>
      </c>
      <c r="Y611" s="39" t="str">
        <f>IF(AND(OR(LEFT(TH!L611,2)="15",LEFT(TH!M611,2)="15"),TK!$E$7=TH!F611),"x","")</f>
        <v/>
      </c>
      <c r="Z611" s="39" t="str">
        <f>IF(AND(B611&lt;=NKC!$N$8,B611&gt;=NKC!$M$8),"x","")</f>
        <v/>
      </c>
      <c r="AA611" s="894"/>
      <c r="AB611" s="598" t="e">
        <f t="shared" si="28"/>
        <v>#N/A</v>
      </c>
      <c r="AC611" s="598"/>
      <c r="AD611" s="598"/>
    </row>
    <row r="612" spans="1:30" ht="15.75" customHeight="1">
      <c r="A612" s="199" t="str">
        <f>IF(B612&lt;&gt;"",IF(AND(B612&gt;=_TM1,B612&lt;=_TM2,OR(TH!L612="1111",TH!M612="1111")),TH!D612,""),"")</f>
        <v/>
      </c>
      <c r="B612" s="36">
        <f t="shared" si="29"/>
        <v>1</v>
      </c>
      <c r="C612" s="190">
        <f t="shared" si="27"/>
        <v>0</v>
      </c>
      <c r="D612" s="183"/>
      <c r="E612" s="183"/>
      <c r="F612" s="188"/>
      <c r="G612" s="608"/>
      <c r="H612" s="7"/>
      <c r="I612" s="253"/>
      <c r="J612" s="253"/>
      <c r="K612" s="38"/>
      <c r="L612" s="193"/>
      <c r="M612" s="193"/>
      <c r="N612" s="39" t="str">
        <f>IF(AND('331-CT'!$E$7=TH!H612,OR(L612="331",M612="331")),"331",IF(AND(OR(L612="131",M612="131"),H612='131-CT'!$E$7),"131",""))</f>
        <v/>
      </c>
      <c r="O612" s="39" t="str">
        <f>IF(AND($B612&gt;='111'!$N$11,$B612&lt;='111'!$O$11,OR($L612=$O$7,$M612=$O$7)),"x","")</f>
        <v/>
      </c>
      <c r="P612" s="39" t="str">
        <f>IF(AND($L612=$O$7,$B612&lt;'111'!$N$11),"x","")</f>
        <v/>
      </c>
      <c r="Q612" s="39" t="str">
        <f>IF(AND($M612=$O$7,$B612&lt;'111'!$N$11),"x","")</f>
        <v/>
      </c>
      <c r="R612" s="39" t="str">
        <f>IF(ISERROR(FIND('112'!$M$9,G612,1)),"",IF((AND(FIND('112'!$M$9,G612,1)&gt;=1,$B612&gt;='112'!$N$8,$B612&lt;='112'!$O$8,OR($L612='112'!$I$6,$M612='112'!$I$6))),"x",""))</f>
        <v/>
      </c>
      <c r="S612" s="39" t="str">
        <f>IF(ISERROR(FIND('112'!$M$9,G612,1)),"",IF((AND(LEFT(G612,2)=LEFT('112'!$M$9,2),B612&lt;'112'!$N$8,$L612='112'!$I$6)),"x",""))</f>
        <v/>
      </c>
      <c r="T612" s="39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39" t="str">
        <f>IF(OR(TH!L612=TH!$V$7,M612=TH!$V$7),"x","")</f>
        <v/>
      </c>
      <c r="W612" s="39" t="str">
        <f>IF(AND(B612&gt;='IN-NX'!$P$3,B612&lt;='IN-NX'!$Q$3,'IN-NX'!$D$7=D612,OR(LEFT(L612,2)="15",AND(LEFT(M612,2)&lt;&gt;"15",LEFT(M612,2)&lt;&gt;"33"))),"x","")</f>
        <v/>
      </c>
      <c r="X612" s="39" t="str">
        <f>IF(AND(OR(LEFT(TH!L612,2)="15",LEFT(TH!M612,2)="15"),'152-CT'!$J$8=TH!F612),"x","")</f>
        <v/>
      </c>
      <c r="Y612" s="39" t="str">
        <f>IF(AND(OR(LEFT(TH!L612,2)="15",LEFT(TH!M612,2)="15"),TK!$E$7=TH!F612),"x","")</f>
        <v/>
      </c>
      <c r="Z612" s="39" t="str">
        <f>IF(AND(B612&lt;=NKC!$N$8,B612&gt;=NKC!$M$8),"x","")</f>
        <v/>
      </c>
      <c r="AA612" s="894"/>
      <c r="AB612" s="598" t="e">
        <f t="shared" si="28"/>
        <v>#N/A</v>
      </c>
      <c r="AC612" s="598"/>
      <c r="AD612" s="598"/>
    </row>
    <row r="613" spans="1:30" ht="15.75" customHeight="1">
      <c r="A613" s="199" t="str">
        <f>IF(B613&lt;&gt;"",IF(AND(B613&gt;=_TM1,B613&lt;=_TM2,OR(TH!L613="1111",TH!M613="1111")),TH!D613,""),"")</f>
        <v/>
      </c>
      <c r="B613" s="36">
        <f t="shared" si="29"/>
        <v>1</v>
      </c>
      <c r="C613" s="190">
        <f t="shared" si="27"/>
        <v>0</v>
      </c>
      <c r="D613" s="183"/>
      <c r="E613" s="190"/>
      <c r="F613" s="191"/>
      <c r="G613" s="491"/>
      <c r="H613" s="192"/>
      <c r="I613" s="253"/>
      <c r="J613" s="253"/>
      <c r="K613" s="606"/>
      <c r="L613" s="193"/>
      <c r="M613" s="193"/>
      <c r="N613" s="39" t="str">
        <f>IF(AND('331-CT'!$E$7=TH!H613,OR(L613="331",M613="331")),"331",IF(AND(OR(L613="131",M613="131"),H613='131-CT'!$E$7),"131",""))</f>
        <v/>
      </c>
      <c r="O613" s="39" t="str">
        <f>IF(AND($B613&gt;='111'!$N$11,$B613&lt;='111'!$O$11,OR($L613=$O$7,$M613=$O$7)),"x","")</f>
        <v/>
      </c>
      <c r="P613" s="39" t="str">
        <f>IF(AND($L613=$O$7,$B613&lt;'111'!$N$11),"x","")</f>
        <v/>
      </c>
      <c r="Q613" s="39" t="str">
        <f>IF(AND($M613=$O$7,$B613&lt;'111'!$N$11),"x","")</f>
        <v/>
      </c>
      <c r="R613" s="39" t="str">
        <f>IF(ISERROR(FIND('112'!$M$9,G613,1)),"",IF((AND(FIND('112'!$M$9,G613,1)&gt;=1,$B613&gt;='112'!$N$8,$B613&lt;='112'!$O$8,OR($L613='112'!$I$6,$M613='112'!$I$6))),"x",""))</f>
        <v/>
      </c>
      <c r="S613" s="39" t="str">
        <f>IF(ISERROR(FIND('112'!$M$9,G613,1)),"",IF((AND(LEFT(G613,2)=LEFT('112'!$M$9,2),B613&lt;'112'!$N$8,$L613='112'!$I$6)),"x",""))</f>
        <v/>
      </c>
      <c r="T613" s="39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39" t="str">
        <f>IF(OR(TH!L613=TH!$V$7,M613=TH!$V$7),"x","")</f>
        <v/>
      </c>
      <c r="W613" s="39" t="str">
        <f>IF(AND(B613&gt;='IN-NX'!$P$3,B613&lt;='IN-NX'!$Q$3,'IN-NX'!$D$7=D613,OR(LEFT(L613,2)="15",AND(LEFT(M613,2)&lt;&gt;"15",LEFT(M613,2)&lt;&gt;"33"))),"x","")</f>
        <v/>
      </c>
      <c r="X613" s="39" t="str">
        <f>IF(AND(OR(LEFT(TH!L613,2)="15",LEFT(TH!M613,2)="15"),'152-CT'!$J$8=TH!F613),"x","")</f>
        <v/>
      </c>
      <c r="Y613" s="39" t="str">
        <f>IF(AND(OR(LEFT(TH!L613,2)="15",LEFT(TH!M613,2)="15"),TK!$E$7=TH!F613),"x","")</f>
        <v/>
      </c>
      <c r="Z613" s="39" t="str">
        <f>IF(AND(B613&lt;=NKC!$N$8,B613&gt;=NKC!$M$8),"x","")</f>
        <v/>
      </c>
      <c r="AA613" s="894"/>
      <c r="AB613" s="598" t="e">
        <f t="shared" si="28"/>
        <v>#N/A</v>
      </c>
      <c r="AC613" s="598"/>
    </row>
    <row r="614" spans="1:30" ht="15.75" customHeight="1">
      <c r="A614" s="199" t="str">
        <f>IF(B614&lt;&gt;"",IF(AND(B614&gt;=_TM1,B614&lt;=_TM2,OR(TH!L614="1111",TH!M614="1111")),TH!D614,""),"")</f>
        <v/>
      </c>
      <c r="B614" s="36">
        <f t="shared" si="29"/>
        <v>1</v>
      </c>
      <c r="C614" s="190">
        <f t="shared" si="27"/>
        <v>0</v>
      </c>
      <c r="D614" s="183"/>
      <c r="E614" s="190"/>
      <c r="F614" s="191"/>
      <c r="G614" s="491"/>
      <c r="H614" s="192"/>
      <c r="I614" s="253"/>
      <c r="J614" s="253"/>
      <c r="K614" s="38"/>
      <c r="L614" s="193"/>
      <c r="M614" s="193"/>
      <c r="N614" s="39" t="str">
        <f>IF(AND('331-CT'!$E$7=TH!H614,OR(L614="331",M614="331")),"331",IF(AND(OR(L614="131",M614="131"),H614='131-CT'!$E$7),"131",""))</f>
        <v/>
      </c>
      <c r="O614" s="39" t="str">
        <f>IF(AND($B614&gt;='111'!$N$11,$B614&lt;='111'!$O$11,OR($L614=$O$7,$M614=$O$7)),"x","")</f>
        <v/>
      </c>
      <c r="P614" s="39" t="str">
        <f>IF(AND($L614=$O$7,$B614&lt;'111'!$N$11),"x","")</f>
        <v/>
      </c>
      <c r="Q614" s="39" t="str">
        <f>IF(AND($M614=$O$7,$B614&lt;'111'!$N$11),"x","")</f>
        <v/>
      </c>
      <c r="R614" s="39" t="str">
        <f>IF(ISERROR(FIND('112'!$M$9,G614,1)),"",IF((AND(FIND('112'!$M$9,G614,1)&gt;=1,$B614&gt;='112'!$N$8,$B614&lt;='112'!$O$8,OR($L614='112'!$I$6,$M614='112'!$I$6))),"x",""))</f>
        <v/>
      </c>
      <c r="S614" s="39" t="str">
        <f>IF(ISERROR(FIND('112'!$M$9,G614,1)),"",IF((AND(LEFT(G614,2)=LEFT('112'!$M$9,2),B614&lt;'112'!$N$8,$L614='112'!$I$6)),"x",""))</f>
        <v/>
      </c>
      <c r="T614" s="39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39" t="str">
        <f>IF(OR(TH!L614=TH!$V$7,M614=TH!$V$7),"x","")</f>
        <v/>
      </c>
      <c r="W614" s="39" t="str">
        <f>IF(AND(B614&gt;='IN-NX'!$P$3,B614&lt;='IN-NX'!$Q$3,'IN-NX'!$D$7=D614,OR(LEFT(L614,2)="15",AND(LEFT(M614,2)&lt;&gt;"15",LEFT(M614,2)&lt;&gt;"33"))),"x","")</f>
        <v/>
      </c>
      <c r="X614" s="39" t="str">
        <f>IF(AND(OR(LEFT(TH!L614,2)="15",LEFT(TH!M614,2)="15"),'152-CT'!$J$8=TH!F614),"x","")</f>
        <v/>
      </c>
      <c r="Y614" s="39" t="str">
        <f>IF(AND(OR(LEFT(TH!L614,2)="15",LEFT(TH!M614,2)="15"),TK!$E$7=TH!F614),"x","")</f>
        <v/>
      </c>
      <c r="Z614" s="39" t="str">
        <f>IF(AND(B614&lt;=NKC!$N$8,B614&gt;=NKC!$M$8),"x","")</f>
        <v/>
      </c>
      <c r="AA614" s="894"/>
      <c r="AB614" s="598" t="e">
        <f t="shared" si="28"/>
        <v>#N/A</v>
      </c>
    </row>
    <row r="615" spans="1:30" ht="15.75" customHeight="1">
      <c r="A615" s="199" t="str">
        <f>IF(B615&lt;&gt;"",IF(AND(B615&gt;=_TM1,B615&lt;=_TM2,OR(TH!L615="1111",TH!M615="1111")),TH!D615,""),"")</f>
        <v/>
      </c>
      <c r="B615" s="36">
        <f t="shared" si="29"/>
        <v>1</v>
      </c>
      <c r="C615" s="190">
        <f t="shared" si="27"/>
        <v>0</v>
      </c>
      <c r="D615" s="183"/>
      <c r="E615" s="190"/>
      <c r="F615" s="191"/>
      <c r="G615" s="491"/>
      <c r="H615" s="192"/>
      <c r="I615" s="253"/>
      <c r="J615" s="253"/>
      <c r="K615" s="38"/>
      <c r="L615" s="193"/>
      <c r="M615" s="193"/>
      <c r="N615" s="39" t="str">
        <f>IF(AND('331-CT'!$E$7=TH!H615,OR(L615="331",M615="331")),"331",IF(AND(OR(L615="131",M615="131"),H615='131-CT'!$E$7),"131",""))</f>
        <v/>
      </c>
      <c r="O615" s="39" t="str">
        <f>IF(AND($B615&gt;='111'!$N$11,$B615&lt;='111'!$O$11,OR($L615=$O$7,$M615=$O$7)),"x","")</f>
        <v/>
      </c>
      <c r="P615" s="39" t="str">
        <f>IF(AND($L615=$O$7,$B615&lt;'111'!$N$11),"x","")</f>
        <v/>
      </c>
      <c r="Q615" s="39" t="str">
        <f>IF(AND($M615=$O$7,$B615&lt;'111'!$N$11),"x","")</f>
        <v/>
      </c>
      <c r="R615" s="39" t="str">
        <f>IF(ISERROR(FIND('112'!$M$9,G615,1)),"",IF((AND(FIND('112'!$M$9,G615,1)&gt;=1,$B615&gt;='112'!$N$8,$B615&lt;='112'!$O$8,OR($L615='112'!$I$6,$M615='112'!$I$6))),"x",""))</f>
        <v/>
      </c>
      <c r="S615" s="39" t="str">
        <f>IF(ISERROR(FIND('112'!$M$9,G615,1)),"",IF((AND(LEFT(G615,2)=LEFT('112'!$M$9,2),B615&lt;'112'!$N$8,$L615='112'!$I$6)),"x",""))</f>
        <v/>
      </c>
      <c r="T615" s="39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39" t="str">
        <f>IF(OR(TH!L615=TH!$V$7,M615=TH!$V$7),"x","")</f>
        <v/>
      </c>
      <c r="W615" s="39" t="str">
        <f>IF(AND(B615&gt;='IN-NX'!$P$3,B615&lt;='IN-NX'!$Q$3,'IN-NX'!$D$7=D615,OR(LEFT(L615,2)="15",AND(LEFT(M615,2)&lt;&gt;"15",LEFT(M615,2)&lt;&gt;"33"))),"x","")</f>
        <v/>
      </c>
      <c r="X615" s="39" t="str">
        <f>IF(AND(OR(LEFT(TH!L615,2)="15",LEFT(TH!M615,2)="15"),'152-CT'!$J$8=TH!F615),"x","")</f>
        <v/>
      </c>
      <c r="Y615" s="39" t="str">
        <f>IF(AND(OR(LEFT(TH!L615,2)="15",LEFT(TH!M615,2)="15"),TK!$E$7=TH!F615),"x","")</f>
        <v/>
      </c>
      <c r="Z615" s="39" t="str">
        <f>IF(AND(B615&lt;=NKC!$N$8,B615&gt;=NKC!$M$8),"x","")</f>
        <v/>
      </c>
      <c r="AA615" s="894"/>
      <c r="AB615" s="598" t="e">
        <f t="shared" si="28"/>
        <v>#N/A</v>
      </c>
      <c r="AC615" s="598"/>
    </row>
    <row r="616" spans="1:30" ht="15.75" customHeight="1">
      <c r="A616" s="199" t="str">
        <f>IF(B616&lt;&gt;"",IF(AND(B616&gt;=_TM1,B616&lt;=_TM2,OR(TH!L616="1111",TH!M616="1111")),TH!D616,""),"")</f>
        <v/>
      </c>
      <c r="B616" s="36">
        <f t="shared" si="29"/>
        <v>1</v>
      </c>
      <c r="C616" s="190">
        <f t="shared" si="27"/>
        <v>0</v>
      </c>
      <c r="D616" s="183"/>
      <c r="E616" s="190"/>
      <c r="F616" s="191"/>
      <c r="G616" s="491"/>
      <c r="H616" s="192"/>
      <c r="I616" s="253"/>
      <c r="J616" s="253"/>
      <c r="K616" s="38"/>
      <c r="L616" s="193"/>
      <c r="M616" s="193"/>
      <c r="N616" s="39" t="str">
        <f>IF(AND('331-CT'!$E$7=TH!H616,OR(L616="331",M616="331")),"331",IF(AND(OR(L616="131",M616="131"),H616='131-CT'!$E$7),"131",""))</f>
        <v/>
      </c>
      <c r="O616" s="39" t="str">
        <f>IF(AND($B616&gt;='111'!$N$11,$B616&lt;='111'!$O$11,OR($L616=$O$7,$M616=$O$7)),"x","")</f>
        <v/>
      </c>
      <c r="P616" s="39" t="str">
        <f>IF(AND($L616=$O$7,$B616&lt;'111'!$N$11),"x","")</f>
        <v/>
      </c>
      <c r="Q616" s="39" t="str">
        <f>IF(AND($M616=$O$7,$B616&lt;'111'!$N$11),"x","")</f>
        <v/>
      </c>
      <c r="R616" s="39" t="str">
        <f>IF(ISERROR(FIND('112'!$M$9,G616,1)),"",IF((AND(FIND('112'!$M$9,G616,1)&gt;=1,$B616&gt;='112'!$N$8,$B616&lt;='112'!$O$8,OR($L616='112'!$I$6,$M616='112'!$I$6))),"x",""))</f>
        <v/>
      </c>
      <c r="S616" s="39" t="str">
        <f>IF(ISERROR(FIND('112'!$M$9,G616,1)),"",IF((AND(LEFT(G616,2)=LEFT('112'!$M$9,2),B616&lt;'112'!$N$8,$L616='112'!$I$6)),"x",""))</f>
        <v/>
      </c>
      <c r="T616" s="39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39" t="str">
        <f>IF(OR(TH!L616=TH!$V$7,M616=TH!$V$7),"x","")</f>
        <v/>
      </c>
      <c r="W616" s="39" t="str">
        <f>IF(AND(B616&gt;='IN-NX'!$P$3,B616&lt;='IN-NX'!$Q$3,'IN-NX'!$D$7=D616,OR(LEFT(L616,2)="15",AND(LEFT(M616,2)&lt;&gt;"15",LEFT(M616,2)&lt;&gt;"33"))),"x","")</f>
        <v/>
      </c>
      <c r="X616" s="39" t="str">
        <f>IF(AND(OR(LEFT(TH!L616,2)="15",LEFT(TH!M616,2)="15"),'152-CT'!$J$8=TH!F616),"x","")</f>
        <v/>
      </c>
      <c r="Y616" s="39" t="str">
        <f>IF(AND(OR(LEFT(TH!L616,2)="15",LEFT(TH!M616,2)="15"),TK!$E$7=TH!F616),"x","")</f>
        <v/>
      </c>
      <c r="Z616" s="39" t="str">
        <f>IF(AND(B616&lt;=NKC!$N$8,B616&gt;=NKC!$M$8),"x","")</f>
        <v/>
      </c>
      <c r="AA616" s="894"/>
      <c r="AB616" s="598" t="e">
        <f t="shared" si="28"/>
        <v>#N/A</v>
      </c>
    </row>
    <row r="617" spans="1:30" ht="15.75" customHeight="1">
      <c r="A617" s="199" t="str">
        <f>IF(B617&lt;&gt;"",IF(AND(B617&gt;=_TM1,B617&lt;=_TM2,OR(TH!L617="1111",TH!M617="1111")),TH!D617,""),"")</f>
        <v/>
      </c>
      <c r="B617" s="36">
        <f t="shared" si="29"/>
        <v>1</v>
      </c>
      <c r="C617" s="190">
        <f t="shared" si="27"/>
        <v>0</v>
      </c>
      <c r="D617" s="183"/>
      <c r="E617" s="190"/>
      <c r="F617" s="188"/>
      <c r="G617" s="491"/>
      <c r="H617" s="7"/>
      <c r="I617" s="253"/>
      <c r="J617" s="253"/>
      <c r="K617" s="38"/>
      <c r="L617" s="193"/>
      <c r="M617" s="193"/>
      <c r="N617" s="39" t="str">
        <f>IF(AND('331-CT'!$E$7=TH!H617,OR(L617="331",M617="331")),"331",IF(AND(OR(L617="131",M617="131"),H617='131-CT'!$E$7),"131",""))</f>
        <v/>
      </c>
      <c r="O617" s="39" t="str">
        <f>IF(AND($B617&gt;='111'!$N$11,$B617&lt;='111'!$O$11,OR($L617=$O$7,$M617=$O$7)),"x","")</f>
        <v/>
      </c>
      <c r="P617" s="39" t="str">
        <f>IF(AND($L617=$O$7,$B617&lt;'111'!$N$11),"x","")</f>
        <v/>
      </c>
      <c r="Q617" s="39" t="str">
        <f>IF(AND($M617=$O$7,$B617&lt;'111'!$N$11),"x","")</f>
        <v/>
      </c>
      <c r="R617" s="39" t="str">
        <f>IF(ISERROR(FIND('112'!$M$9,G617,1)),"",IF((AND(FIND('112'!$M$9,G617,1)&gt;=1,$B617&gt;='112'!$N$8,$B617&lt;='112'!$O$8,OR($L617='112'!$I$6,$M617='112'!$I$6))),"x",""))</f>
        <v/>
      </c>
      <c r="S617" s="39" t="str">
        <f>IF(ISERROR(FIND('112'!$M$9,G617,1)),"",IF((AND(LEFT(G617,2)=LEFT('112'!$M$9,2),B617&lt;'112'!$N$8,$L617='112'!$I$6)),"x",""))</f>
        <v/>
      </c>
      <c r="T617" s="39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39" t="str">
        <f>IF(OR(TH!L617=TH!$V$7,M617=TH!$V$7),"x","")</f>
        <v/>
      </c>
      <c r="W617" s="39" t="str">
        <f>IF(AND(B617&gt;='IN-NX'!$P$3,B617&lt;='IN-NX'!$Q$3,'IN-NX'!$D$7=D617,OR(LEFT(L617,2)="15",AND(LEFT(M617,2)&lt;&gt;"15",LEFT(M617,2)&lt;&gt;"33"))),"x","")</f>
        <v/>
      </c>
      <c r="X617" s="39" t="str">
        <f>IF(AND(OR(LEFT(TH!L617,2)="15",LEFT(TH!M617,2)="15"),'152-CT'!$J$8=TH!F617),"x","")</f>
        <v/>
      </c>
      <c r="Y617" s="39" t="str">
        <f>IF(AND(OR(LEFT(TH!L617,2)="15",LEFT(TH!M617,2)="15"),TK!$E$7=TH!F617),"x","")</f>
        <v/>
      </c>
      <c r="Z617" s="39" t="str">
        <f>IF(AND(B617&lt;=NKC!$N$8,B617&gt;=NKC!$M$8),"x","")</f>
        <v/>
      </c>
      <c r="AA617" s="894"/>
      <c r="AB617" s="598" t="e">
        <f t="shared" si="28"/>
        <v>#N/A</v>
      </c>
      <c r="AC617" s="598"/>
      <c r="AD617" s="598"/>
    </row>
    <row r="618" spans="1:30" ht="15.75" customHeight="1">
      <c r="A618" s="199" t="str">
        <f>IF(B618&lt;&gt;"",IF(AND(B618&gt;=_TM1,B618&lt;=_TM2,OR(TH!L618="1111",TH!M618="1111")),TH!D618,""),"")</f>
        <v/>
      </c>
      <c r="B618" s="36">
        <f t="shared" si="29"/>
        <v>1</v>
      </c>
      <c r="C618" s="190">
        <f t="shared" si="27"/>
        <v>0</v>
      </c>
      <c r="D618" s="183"/>
      <c r="E618" s="190"/>
      <c r="F618" s="188"/>
      <c r="G618" s="491"/>
      <c r="H618" s="7"/>
      <c r="I618" s="253"/>
      <c r="J618" s="253"/>
      <c r="K618" s="38"/>
      <c r="L618" s="193"/>
      <c r="M618" s="193"/>
      <c r="N618" s="39" t="str">
        <f>IF(AND('331-CT'!$E$7=TH!H618,OR(L618="331",M618="331")),"331",IF(AND(OR(L618="131",M618="131"),H618='131-CT'!$E$7),"131",""))</f>
        <v/>
      </c>
      <c r="O618" s="39" t="str">
        <f>IF(AND($B618&gt;='111'!$N$11,$B618&lt;='111'!$O$11,OR($L618=$O$7,$M618=$O$7)),"x","")</f>
        <v/>
      </c>
      <c r="P618" s="39" t="str">
        <f>IF(AND($L618=$O$7,$B618&lt;'111'!$N$11),"x","")</f>
        <v/>
      </c>
      <c r="Q618" s="39" t="str">
        <f>IF(AND($M618=$O$7,$B618&lt;'111'!$N$11),"x","")</f>
        <v/>
      </c>
      <c r="R618" s="39" t="str">
        <f>IF(ISERROR(FIND('112'!$M$9,G618,1)),"",IF((AND(FIND('112'!$M$9,G618,1)&gt;=1,$B618&gt;='112'!$N$8,$B618&lt;='112'!$O$8,OR($L618='112'!$I$6,$M618='112'!$I$6))),"x",""))</f>
        <v/>
      </c>
      <c r="S618" s="39" t="str">
        <f>IF(ISERROR(FIND('112'!$M$9,G618,1)),"",IF((AND(LEFT(G618,2)=LEFT('112'!$M$9,2),B618&lt;'112'!$N$8,$L618='112'!$I$6)),"x",""))</f>
        <v/>
      </c>
      <c r="T618" s="39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39" t="str">
        <f>IF(OR(TH!L618=TH!$V$7,M618=TH!$V$7),"x","")</f>
        <v/>
      </c>
      <c r="W618" s="39" t="str">
        <f>IF(AND(B618&gt;='IN-NX'!$P$3,B618&lt;='IN-NX'!$Q$3,'IN-NX'!$D$7=D618,OR(LEFT(L618,2)="15",AND(LEFT(M618,2)&lt;&gt;"15",LEFT(M618,2)&lt;&gt;"33"))),"x","")</f>
        <v/>
      </c>
      <c r="X618" s="39" t="str">
        <f>IF(AND(OR(LEFT(TH!L618,2)="15",LEFT(TH!M618,2)="15"),'152-CT'!$J$8=TH!F618),"x","")</f>
        <v/>
      </c>
      <c r="Y618" s="39" t="str">
        <f>IF(AND(OR(LEFT(TH!L618,2)="15",LEFT(TH!M618,2)="15"),TK!$E$7=TH!F618),"x","")</f>
        <v/>
      </c>
      <c r="Z618" s="39" t="str">
        <f>IF(AND(B618&lt;=NKC!$N$8,B618&gt;=NKC!$M$8),"x","")</f>
        <v/>
      </c>
      <c r="AA618" s="894"/>
      <c r="AB618" s="598" t="e">
        <f t="shared" si="28"/>
        <v>#N/A</v>
      </c>
      <c r="AD618" s="598"/>
    </row>
    <row r="619" spans="1:30" ht="15.75" customHeight="1">
      <c r="A619" s="199" t="str">
        <f>IF(B619&lt;&gt;"",IF(AND(B619&gt;=_TM1,B619&lt;=_TM2,OR(TH!L619="1111",TH!M619="1111")),TH!D619,""),"")</f>
        <v/>
      </c>
      <c r="B619" s="36">
        <f t="shared" si="29"/>
        <v>1</v>
      </c>
      <c r="C619" s="190">
        <f t="shared" si="27"/>
        <v>0</v>
      </c>
      <c r="D619" s="183"/>
      <c r="E619" s="183"/>
      <c r="F619" s="188"/>
      <c r="G619" s="608"/>
      <c r="H619" s="192"/>
      <c r="I619" s="253"/>
      <c r="J619" s="253"/>
      <c r="K619" s="38"/>
      <c r="L619" s="193"/>
      <c r="M619" s="193"/>
      <c r="N619" s="39" t="str">
        <f>IF(AND('331-CT'!$E$7=TH!H619,OR(L619="331",M619="331")),"331",IF(AND(OR(L619="131",M619="131"),H619='131-CT'!$E$7),"131",""))</f>
        <v/>
      </c>
      <c r="O619" s="39" t="str">
        <f>IF(AND($B619&gt;='111'!$N$11,$B619&lt;='111'!$O$11,OR($L619=$O$7,$M619=$O$7)),"x","")</f>
        <v/>
      </c>
      <c r="P619" s="39" t="str">
        <f>IF(AND($L619=$O$7,$B619&lt;'111'!$N$11),"x","")</f>
        <v/>
      </c>
      <c r="Q619" s="39" t="str">
        <f>IF(AND($M619=$O$7,$B619&lt;'111'!$N$11),"x","")</f>
        <v/>
      </c>
      <c r="R619" s="39" t="str">
        <f>IF(ISERROR(FIND('112'!$M$9,G619,1)),"",IF((AND(FIND('112'!$M$9,G619,1)&gt;=1,$B619&gt;='112'!$N$8,$B619&lt;='112'!$O$8,OR($L619='112'!$I$6,$M619='112'!$I$6))),"x",""))</f>
        <v/>
      </c>
      <c r="S619" s="39" t="str">
        <f>IF(ISERROR(FIND('112'!$M$9,G619,1)),"",IF((AND(LEFT(G619,2)=LEFT('112'!$M$9,2),B619&lt;'112'!$N$8,$L619='112'!$I$6)),"x",""))</f>
        <v/>
      </c>
      <c r="T619" s="39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39" t="str">
        <f>IF(OR(TH!L619=TH!$V$7,M619=TH!$V$7),"x","")</f>
        <v/>
      </c>
      <c r="W619" s="39" t="str">
        <f>IF(AND(B619&gt;='IN-NX'!$P$3,B619&lt;='IN-NX'!$Q$3,'IN-NX'!$D$7=D619,OR(LEFT(L619,2)="15",AND(LEFT(M619,2)&lt;&gt;"15",LEFT(M619,2)&lt;&gt;"33"))),"x","")</f>
        <v/>
      </c>
      <c r="X619" s="39" t="str">
        <f>IF(AND(OR(LEFT(TH!L619,2)="15",LEFT(TH!M619,2)="15"),'152-CT'!$J$8=TH!F619),"x","")</f>
        <v/>
      </c>
      <c r="Y619" s="39" t="str">
        <f>IF(AND(OR(LEFT(TH!L619,2)="15",LEFT(TH!M619,2)="15"),TK!$E$7=TH!F619),"x","")</f>
        <v/>
      </c>
      <c r="Z619" s="39" t="str">
        <f>IF(AND(B619&lt;=NKC!$N$8,B619&gt;=NKC!$M$8),"x","")</f>
        <v/>
      </c>
      <c r="AA619" s="894"/>
      <c r="AB619" s="598" t="e">
        <f t="shared" si="28"/>
        <v>#N/A</v>
      </c>
      <c r="AC619" s="598"/>
      <c r="AD619" s="598"/>
    </row>
    <row r="620" spans="1:30" ht="15.75" customHeight="1">
      <c r="A620" s="199" t="str">
        <f>IF(B620&lt;&gt;"",IF(AND(B620&gt;=_TM1,B620&lt;=_TM2,OR(TH!L620="1111",TH!M620="1111")),TH!D620,""),"")</f>
        <v/>
      </c>
      <c r="B620" s="36">
        <f t="shared" si="29"/>
        <v>1</v>
      </c>
      <c r="C620" s="190">
        <f t="shared" si="27"/>
        <v>0</v>
      </c>
      <c r="D620" s="183"/>
      <c r="E620" s="190"/>
      <c r="F620" s="191"/>
      <c r="G620" s="491"/>
      <c r="H620" s="7"/>
      <c r="I620" s="253"/>
      <c r="J620" s="253"/>
      <c r="K620" s="38"/>
      <c r="L620" s="193"/>
      <c r="M620" s="193"/>
      <c r="N620" s="39" t="str">
        <f>IF(AND('331-CT'!$E$7=TH!H620,OR(L620="331",M620="331")),"331",IF(AND(OR(L620="131",M620="131"),H620='131-CT'!$E$7),"131",""))</f>
        <v/>
      </c>
      <c r="O620" s="39" t="str">
        <f>IF(AND($B620&gt;='111'!$N$11,$B620&lt;='111'!$O$11,OR($L620=$O$7,$M620=$O$7)),"x","")</f>
        <v/>
      </c>
      <c r="P620" s="39" t="str">
        <f>IF(AND($L620=$O$7,$B620&lt;'111'!$N$11),"x","")</f>
        <v/>
      </c>
      <c r="Q620" s="39" t="str">
        <f>IF(AND($M620=$O$7,$B620&lt;'111'!$N$11),"x","")</f>
        <v/>
      </c>
      <c r="R620" s="39" t="str">
        <f>IF(ISERROR(FIND('112'!$M$9,G620,1)),"",IF((AND(FIND('112'!$M$9,G620,1)&gt;=1,$B620&gt;='112'!$N$8,$B620&lt;='112'!$O$8,OR($L620='112'!$I$6,$M620='112'!$I$6))),"x",""))</f>
        <v/>
      </c>
      <c r="S620" s="39" t="str">
        <f>IF(ISERROR(FIND('112'!$M$9,G620,1)),"",IF((AND(LEFT(G620,2)=LEFT('112'!$M$9,2),B620&lt;'112'!$N$8,$L620='112'!$I$6)),"x",""))</f>
        <v/>
      </c>
      <c r="T620" s="39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39" t="str">
        <f>IF(OR(TH!L620=TH!$V$7,M620=TH!$V$7),"x","")</f>
        <v/>
      </c>
      <c r="W620" s="39" t="str">
        <f>IF(AND(B620&gt;='IN-NX'!$P$3,B620&lt;='IN-NX'!$Q$3,'IN-NX'!$D$7=D620,OR(LEFT(L620,2)="15",AND(LEFT(M620,2)&lt;&gt;"15",LEFT(M620,2)&lt;&gt;"33"))),"x","")</f>
        <v/>
      </c>
      <c r="X620" s="39" t="str">
        <f>IF(AND(OR(LEFT(TH!L620,2)="15",LEFT(TH!M620,2)="15"),'152-CT'!$J$8=TH!F620),"x","")</f>
        <v/>
      </c>
      <c r="Y620" s="39" t="str">
        <f>IF(AND(OR(LEFT(TH!L620,2)="15",LEFT(TH!M620,2)="15"),TK!$E$7=TH!F620),"x","")</f>
        <v/>
      </c>
      <c r="Z620" s="39" t="str">
        <f>IF(AND(B620&lt;=NKC!$N$8,B620&gt;=NKC!$M$8),"x","")</f>
        <v/>
      </c>
      <c r="AA620" s="894"/>
      <c r="AB620" s="598" t="e">
        <f t="shared" si="28"/>
        <v>#N/A</v>
      </c>
      <c r="AD620" s="598"/>
    </row>
    <row r="621" spans="1:30" ht="15.75" customHeight="1">
      <c r="A621" s="199" t="str">
        <f>IF(B621&lt;&gt;"",IF(AND(B621&gt;=_TM1,B621&lt;=_TM2,OR(TH!L621="1111",TH!M621="1111")),TH!D621,""),"")</f>
        <v/>
      </c>
      <c r="B621" s="36">
        <f t="shared" si="29"/>
        <v>1</v>
      </c>
      <c r="C621" s="190">
        <f t="shared" si="27"/>
        <v>0</v>
      </c>
      <c r="D621" s="183"/>
      <c r="E621" s="190"/>
      <c r="F621" s="191"/>
      <c r="G621" s="491"/>
      <c r="H621" s="7"/>
      <c r="I621" s="253"/>
      <c r="J621" s="253"/>
      <c r="K621" s="38"/>
      <c r="L621" s="193"/>
      <c r="M621" s="193"/>
      <c r="N621" s="39" t="str">
        <f>IF(AND('331-CT'!$E$7=TH!H621,OR(L621="331",M621="331")),"331",IF(AND(OR(L621="131",M621="131"),H621='131-CT'!$E$7),"131",""))</f>
        <v/>
      </c>
      <c r="O621" s="39" t="str">
        <f>IF(AND($B621&gt;='111'!$N$11,$B621&lt;='111'!$O$11,OR($L621=$O$7,$M621=$O$7)),"x","")</f>
        <v/>
      </c>
      <c r="P621" s="39" t="str">
        <f>IF(AND($L621=$O$7,$B621&lt;'111'!$N$11),"x","")</f>
        <v/>
      </c>
      <c r="Q621" s="39" t="str">
        <f>IF(AND($M621=$O$7,$B621&lt;'111'!$N$11),"x","")</f>
        <v/>
      </c>
      <c r="R621" s="39" t="str">
        <f>IF(ISERROR(FIND('112'!$M$9,G621,1)),"",IF((AND(FIND('112'!$M$9,G621,1)&gt;=1,$B621&gt;='112'!$N$8,$B621&lt;='112'!$O$8,OR($L621='112'!$I$6,$M621='112'!$I$6))),"x",""))</f>
        <v/>
      </c>
      <c r="S621" s="39" t="str">
        <f>IF(ISERROR(FIND('112'!$M$9,G621,1)),"",IF((AND(LEFT(G621,2)=LEFT('112'!$M$9,2),B621&lt;'112'!$N$8,$L621='112'!$I$6)),"x",""))</f>
        <v/>
      </c>
      <c r="T621" s="39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39" t="str">
        <f>IF(OR(TH!L621=TH!$V$7,M621=TH!$V$7),"x","")</f>
        <v/>
      </c>
      <c r="W621" s="39" t="str">
        <f>IF(AND(B621&gt;='IN-NX'!$P$3,B621&lt;='IN-NX'!$Q$3,'IN-NX'!$D$7=D621,OR(LEFT(L621,2)="15",AND(LEFT(M621,2)&lt;&gt;"15",LEFT(M621,2)&lt;&gt;"33"))),"x","")</f>
        <v/>
      </c>
      <c r="X621" s="39" t="str">
        <f>IF(AND(OR(LEFT(TH!L621,2)="15",LEFT(TH!M621,2)="15"),'152-CT'!$J$8=TH!F621),"x","")</f>
        <v/>
      </c>
      <c r="Y621" s="39" t="str">
        <f>IF(AND(OR(LEFT(TH!L621,2)="15",LEFT(TH!M621,2)="15"),TK!$E$7=TH!F621),"x","")</f>
        <v/>
      </c>
      <c r="Z621" s="39" t="str">
        <f>IF(AND(B621&lt;=NKC!$N$8,B621&gt;=NKC!$M$8),"x","")</f>
        <v/>
      </c>
      <c r="AA621" s="894"/>
      <c r="AB621" s="598" t="e">
        <f t="shared" si="28"/>
        <v>#N/A</v>
      </c>
      <c r="AC621" s="598"/>
      <c r="AD621" s="598"/>
    </row>
    <row r="622" spans="1:30" ht="15.75" customHeight="1">
      <c r="A622" s="199" t="str">
        <f>IF(B622&lt;&gt;"",IF(AND(B622&gt;=_TM1,B622&lt;=_TM2,OR(TH!L622="1111",TH!M622="1111")),TH!D622,""),"")</f>
        <v/>
      </c>
      <c r="B622" s="36">
        <f t="shared" si="29"/>
        <v>1</v>
      </c>
      <c r="C622" s="190">
        <f t="shared" si="27"/>
        <v>0</v>
      </c>
      <c r="D622" s="190"/>
      <c r="E622" s="190"/>
      <c r="F622" s="191"/>
      <c r="G622" s="491"/>
      <c r="H622" s="192"/>
      <c r="I622" s="253"/>
      <c r="J622" s="253"/>
      <c r="K622" s="38"/>
      <c r="L622" s="193"/>
      <c r="M622" s="193"/>
      <c r="N622" s="39" t="str">
        <f>IF(AND('331-CT'!$E$7=TH!H622,OR(L622="331",M622="331")),"331",IF(AND(OR(L622="131",M622="131"),H622='131-CT'!$E$7),"131",""))</f>
        <v/>
      </c>
      <c r="O622" s="39" t="str">
        <f>IF(AND($B622&gt;='111'!$N$11,$B622&lt;='111'!$O$11,OR($L622=$O$7,$M622=$O$7)),"x","")</f>
        <v/>
      </c>
      <c r="P622" s="39" t="str">
        <f>IF(AND($L622=$O$7,$B622&lt;'111'!$N$11),"x","")</f>
        <v/>
      </c>
      <c r="Q622" s="39" t="str">
        <f>IF(AND($M622=$O$7,$B622&lt;'111'!$N$11),"x","")</f>
        <v/>
      </c>
      <c r="R622" s="39" t="str">
        <f>IF(ISERROR(FIND('112'!$M$9,G622,1)),"",IF((AND(FIND('112'!$M$9,G622,1)&gt;=1,$B622&gt;='112'!$N$8,$B622&lt;='112'!$O$8,OR($L622='112'!$I$6,$M622='112'!$I$6))),"x",""))</f>
        <v/>
      </c>
      <c r="S622" s="39" t="str">
        <f>IF(ISERROR(FIND('112'!$M$9,G622,1)),"",IF((AND(LEFT(G622,2)=LEFT('112'!$M$9,2),B622&lt;'112'!$N$8,$L622='112'!$I$6)),"x",""))</f>
        <v/>
      </c>
      <c r="T622" s="39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39" t="str">
        <f>IF(OR(TH!L622=TH!$V$7,M622=TH!$V$7),"x","")</f>
        <v/>
      </c>
      <c r="W622" s="39" t="str">
        <f>IF(AND(B622&gt;='IN-NX'!$P$3,B622&lt;='IN-NX'!$Q$3,'IN-NX'!$D$7=D622,OR(LEFT(L622,2)="15",AND(LEFT(M622,2)&lt;&gt;"15",LEFT(M622,2)&lt;&gt;"33"))),"x","")</f>
        <v/>
      </c>
      <c r="X622" s="39" t="str">
        <f>IF(AND(OR(LEFT(TH!L622,2)="15",LEFT(TH!M622,2)="15"),'152-CT'!$J$8=TH!F622),"x","")</f>
        <v/>
      </c>
      <c r="Y622" s="39" t="str">
        <f>IF(AND(OR(LEFT(TH!L622,2)="15",LEFT(TH!M622,2)="15"),TK!$E$7=TH!F622),"x","")</f>
        <v/>
      </c>
      <c r="Z622" s="39" t="str">
        <f>IF(AND(B622&lt;=NKC!$N$8,B622&gt;=NKC!$M$8),"x","")</f>
        <v/>
      </c>
      <c r="AA622" s="894"/>
      <c r="AB622" s="598" t="e">
        <f t="shared" si="28"/>
        <v>#N/A</v>
      </c>
      <c r="AC622" s="598"/>
      <c r="AD622" s="598"/>
    </row>
    <row r="623" spans="1:30" ht="15.75" customHeight="1">
      <c r="A623" s="199" t="str">
        <f>IF(B623&lt;&gt;"",IF(AND(B623&gt;=_TM1,B623&lt;=_TM2,OR(TH!L623="1111",TH!M623="1111")),TH!D623,""),"")</f>
        <v/>
      </c>
      <c r="B623" s="36">
        <f t="shared" si="29"/>
        <v>1</v>
      </c>
      <c r="C623" s="190">
        <f t="shared" si="27"/>
        <v>0</v>
      </c>
      <c r="D623" s="190"/>
      <c r="E623" s="190"/>
      <c r="F623" s="191"/>
      <c r="G623" s="491"/>
      <c r="H623" s="192"/>
      <c r="I623" s="253"/>
      <c r="J623" s="253"/>
      <c r="K623" s="38"/>
      <c r="L623" s="193"/>
      <c r="M623" s="193"/>
      <c r="N623" s="39" t="str">
        <f>IF(AND('331-CT'!$E$7=TH!H623,OR(L623="331",M623="331")),"331",IF(AND(OR(L623="131",M623="131"),H623='131-CT'!$E$7),"131",""))</f>
        <v/>
      </c>
      <c r="O623" s="39" t="str">
        <f>IF(AND($B623&gt;='111'!$N$11,$B623&lt;='111'!$O$11,OR($L623=$O$7,$M623=$O$7)),"x","")</f>
        <v/>
      </c>
      <c r="P623" s="39" t="str">
        <f>IF(AND($L623=$O$7,$B623&lt;'111'!$N$11),"x","")</f>
        <v/>
      </c>
      <c r="Q623" s="39" t="str">
        <f>IF(AND($M623=$O$7,$B623&lt;'111'!$N$11),"x","")</f>
        <v/>
      </c>
      <c r="R623" s="39" t="str">
        <f>IF(ISERROR(FIND('112'!$M$9,G623,1)),"",IF((AND(FIND('112'!$M$9,G623,1)&gt;=1,$B623&gt;='112'!$N$8,$B623&lt;='112'!$O$8,OR($L623='112'!$I$6,$M623='112'!$I$6))),"x",""))</f>
        <v/>
      </c>
      <c r="S623" s="39" t="str">
        <f>IF(ISERROR(FIND('112'!$M$9,G623,1)),"",IF((AND(LEFT(G623,2)=LEFT('112'!$M$9,2),B623&lt;'112'!$N$8,$L623='112'!$I$6)),"x",""))</f>
        <v/>
      </c>
      <c r="T623" s="39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39" t="str">
        <f>IF(OR(TH!L623=TH!$V$7,M623=TH!$V$7),"x","")</f>
        <v/>
      </c>
      <c r="W623" s="39" t="str">
        <f>IF(AND(B623&gt;='IN-NX'!$P$3,B623&lt;='IN-NX'!$Q$3,'IN-NX'!$D$7=D623,OR(LEFT(L623,2)="15",AND(LEFT(M623,2)&lt;&gt;"15",LEFT(M623,2)&lt;&gt;"33"))),"x","")</f>
        <v/>
      </c>
      <c r="X623" s="39" t="str">
        <f>IF(AND(OR(LEFT(TH!L623,2)="15",LEFT(TH!M623,2)="15"),'152-CT'!$J$8=TH!F623),"x","")</f>
        <v/>
      </c>
      <c r="Y623" s="39" t="str">
        <f>IF(AND(OR(LEFT(TH!L623,2)="15",LEFT(TH!M623,2)="15"),TK!$E$7=TH!F623),"x","")</f>
        <v/>
      </c>
      <c r="Z623" s="39" t="str">
        <f>IF(AND(B623&lt;=NKC!$N$8,B623&gt;=NKC!$M$8),"x","")</f>
        <v/>
      </c>
      <c r="AA623" s="894"/>
      <c r="AB623" s="598" t="e">
        <f t="shared" si="28"/>
        <v>#N/A</v>
      </c>
      <c r="AC623" s="598"/>
      <c r="AD623" s="598"/>
    </row>
    <row r="624" spans="1:30" ht="15.75" customHeight="1">
      <c r="A624" s="199" t="str">
        <f>IF(B624&lt;&gt;"",IF(AND(B624&gt;=_TM1,B624&lt;=_TM2,OR(TH!L624="1111",TH!M624="1111")),TH!D624,""),"")</f>
        <v/>
      </c>
      <c r="B624" s="36">
        <f t="shared" si="29"/>
        <v>1</v>
      </c>
      <c r="C624" s="190">
        <f t="shared" si="27"/>
        <v>0</v>
      </c>
      <c r="D624" s="183"/>
      <c r="E624" s="190"/>
      <c r="F624" s="188"/>
      <c r="G624" s="491"/>
      <c r="H624" s="7"/>
      <c r="I624" s="253"/>
      <c r="J624" s="253"/>
      <c r="K624" s="38"/>
      <c r="L624" s="193"/>
      <c r="M624" s="193"/>
      <c r="N624" s="39" t="str">
        <f>IF(AND('331-CT'!$E$7=TH!H624,OR(L624="331",M624="331")),"331",IF(AND(OR(L624="131",M624="131"),H624='131-CT'!$E$7),"131",""))</f>
        <v/>
      </c>
      <c r="O624" s="39" t="str">
        <f>IF(AND($B624&gt;='111'!$N$11,$B624&lt;='111'!$O$11,OR($L624=$O$7,$M624=$O$7)),"x","")</f>
        <v/>
      </c>
      <c r="P624" s="39" t="str">
        <f>IF(AND($L624=$O$7,$B624&lt;'111'!$N$11),"x","")</f>
        <v/>
      </c>
      <c r="Q624" s="39" t="str">
        <f>IF(AND($M624=$O$7,$B624&lt;'111'!$N$11),"x","")</f>
        <v/>
      </c>
      <c r="R624" s="39" t="str">
        <f>IF(ISERROR(FIND('112'!$M$9,G624,1)),"",IF((AND(FIND('112'!$M$9,G624,1)&gt;=1,$B624&gt;='112'!$N$8,$B624&lt;='112'!$O$8,OR($L624='112'!$I$6,$M624='112'!$I$6))),"x",""))</f>
        <v/>
      </c>
      <c r="S624" s="39" t="str">
        <f>IF(ISERROR(FIND('112'!$M$9,G624,1)),"",IF((AND(LEFT(G624,2)=LEFT('112'!$M$9,2),B624&lt;'112'!$N$8,$L624='112'!$I$6)),"x",""))</f>
        <v/>
      </c>
      <c r="T624" s="39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39" t="str">
        <f>IF(OR(TH!L624=TH!$V$7,M624=TH!$V$7),"x","")</f>
        <v/>
      </c>
      <c r="W624" s="39" t="str">
        <f>IF(AND(B624&gt;='IN-NX'!$P$3,B624&lt;='IN-NX'!$Q$3,'IN-NX'!$D$7=D624,OR(LEFT(L624,2)="15",AND(LEFT(M624,2)&lt;&gt;"15",LEFT(M624,2)&lt;&gt;"33"))),"x","")</f>
        <v/>
      </c>
      <c r="X624" s="39" t="str">
        <f>IF(AND(OR(LEFT(TH!L624,2)="15",LEFT(TH!M624,2)="15"),'152-CT'!$J$8=TH!F624),"x","")</f>
        <v/>
      </c>
      <c r="Y624" s="39" t="str">
        <f>IF(AND(OR(LEFT(TH!L624,2)="15",LEFT(TH!M624,2)="15"),TK!$E$7=TH!F624),"x","")</f>
        <v/>
      </c>
      <c r="Z624" s="39" t="str">
        <f>IF(AND(B624&lt;=NKC!$N$8,B624&gt;=NKC!$M$8),"x","")</f>
        <v/>
      </c>
      <c r="AA624" s="894"/>
      <c r="AB624" s="598" t="e">
        <f t="shared" si="28"/>
        <v>#N/A</v>
      </c>
    </row>
    <row r="625" spans="1:30" ht="15.75" customHeight="1">
      <c r="A625" s="199" t="str">
        <f>IF(B625&lt;&gt;"",IF(AND(B625&gt;=_TM1,B625&lt;=_TM2,OR(TH!L625="1111",TH!M625="1111")),TH!D625,""),"")</f>
        <v/>
      </c>
      <c r="B625" s="36">
        <f t="shared" si="29"/>
        <v>1</v>
      </c>
      <c r="C625" s="190">
        <f t="shared" si="27"/>
        <v>0</v>
      </c>
      <c r="D625" s="183"/>
      <c r="E625" s="190"/>
      <c r="F625" s="188"/>
      <c r="G625" s="491"/>
      <c r="H625" s="7"/>
      <c r="I625" s="821"/>
      <c r="J625" s="253"/>
      <c r="K625" s="606"/>
      <c r="L625" s="193"/>
      <c r="M625" s="193"/>
      <c r="N625" s="39" t="str">
        <f>IF(AND('331-CT'!$E$7=TH!H625,OR(L625="331",M625="331")),"331",IF(AND(OR(L625="131",M625="131"),H625='131-CT'!$E$7),"131",""))</f>
        <v/>
      </c>
      <c r="O625" s="39" t="str">
        <f>IF(AND($B625&gt;='111'!$N$11,$B625&lt;='111'!$O$11,OR($L625=$O$7,$M625=$O$7)),"x","")</f>
        <v/>
      </c>
      <c r="P625" s="39" t="str">
        <f>IF(AND($L625=$O$7,$B625&lt;'111'!$N$11),"x","")</f>
        <v/>
      </c>
      <c r="Q625" s="39" t="str">
        <f>IF(AND($M625=$O$7,$B625&lt;'111'!$N$11),"x","")</f>
        <v/>
      </c>
      <c r="R625" s="39" t="str">
        <f>IF(ISERROR(FIND('112'!$M$9,G625,1)),"",IF((AND(FIND('112'!$M$9,G625,1)&gt;=1,$B625&gt;='112'!$N$8,$B625&lt;='112'!$O$8,OR($L625='112'!$I$6,$M625='112'!$I$6))),"x",""))</f>
        <v/>
      </c>
      <c r="S625" s="39" t="str">
        <f>IF(ISERROR(FIND('112'!$M$9,G625,1)),"",IF((AND(LEFT(G625,2)=LEFT('112'!$M$9,2),B625&lt;'112'!$N$8,$L625='112'!$I$6)),"x",""))</f>
        <v/>
      </c>
      <c r="T625" s="39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39" t="str">
        <f>IF(OR(TH!L625=TH!$V$7,M625=TH!$V$7),"x","")</f>
        <v/>
      </c>
      <c r="W625" s="39" t="str">
        <f>IF(AND(B625&gt;='IN-NX'!$P$3,B625&lt;='IN-NX'!$Q$3,'IN-NX'!$D$7=D625,OR(LEFT(L625,2)="15",AND(LEFT(M625,2)&lt;&gt;"15",LEFT(M625,2)&lt;&gt;"33"))),"x","")</f>
        <v/>
      </c>
      <c r="X625" s="39" t="str">
        <f>IF(AND(OR(LEFT(TH!L625,2)="15",LEFT(TH!M625,2)="15"),'152-CT'!$J$8=TH!F625),"x","")</f>
        <v/>
      </c>
      <c r="Y625" s="39" t="str">
        <f>IF(AND(OR(LEFT(TH!L625,2)="15",LEFT(TH!M625,2)="15"),TK!$E$7=TH!F625),"x","")</f>
        <v/>
      </c>
      <c r="Z625" s="39" t="str">
        <f>IF(AND(B625&lt;=NKC!$N$8,B625&gt;=NKC!$M$8),"x","")</f>
        <v/>
      </c>
      <c r="AA625" s="894"/>
      <c r="AB625" s="598" t="e">
        <f t="shared" si="28"/>
        <v>#N/A</v>
      </c>
    </row>
    <row r="626" spans="1:30" ht="15.75" customHeight="1">
      <c r="A626" s="199" t="str">
        <f>IF(B626&lt;&gt;"",IF(AND(B626&gt;=_TM1,B626&lt;=_TM2,OR(TH!L626="1111",TH!M626="1111")),TH!D626,""),"")</f>
        <v/>
      </c>
      <c r="B626" s="36">
        <f t="shared" si="29"/>
        <v>1</v>
      </c>
      <c r="C626" s="190">
        <f t="shared" si="27"/>
        <v>0</v>
      </c>
      <c r="D626" s="183"/>
      <c r="E626" s="190"/>
      <c r="F626" s="293"/>
      <c r="G626" s="491"/>
      <c r="H626" s="7"/>
      <c r="I626" s="253"/>
      <c r="J626" s="253"/>
      <c r="K626" s="38"/>
      <c r="L626" s="193"/>
      <c r="M626" s="193"/>
      <c r="N626" s="39" t="str">
        <f>IF(AND('331-CT'!$E$7=TH!H626,OR(L626="331",M626="331")),"331",IF(AND(OR(L626="131",M626="131"),H626='131-CT'!$E$7),"131",""))</f>
        <v/>
      </c>
      <c r="O626" s="39" t="str">
        <f>IF(AND($B626&gt;='111'!$N$11,$B626&lt;='111'!$O$11,OR($L626=$O$7,$M626=$O$7)),"x","")</f>
        <v/>
      </c>
      <c r="P626" s="39" t="str">
        <f>IF(AND($L626=$O$7,$B626&lt;'111'!$N$11),"x","")</f>
        <v/>
      </c>
      <c r="Q626" s="39" t="str">
        <f>IF(AND($M626=$O$7,$B626&lt;'111'!$N$11),"x","")</f>
        <v/>
      </c>
      <c r="R626" s="39" t="str">
        <f>IF(ISERROR(FIND('112'!$M$9,G626,1)),"",IF((AND(FIND('112'!$M$9,G626,1)&gt;=1,$B626&gt;='112'!$N$8,$B626&lt;='112'!$O$8,OR($L626='112'!$I$6,$M626='112'!$I$6))),"x",""))</f>
        <v/>
      </c>
      <c r="S626" s="39" t="str">
        <f>IF(ISERROR(FIND('112'!$M$9,G626,1)),"",IF((AND(LEFT(G626,2)=LEFT('112'!$M$9,2),B626&lt;'112'!$N$8,$L626='112'!$I$6)),"x",""))</f>
        <v/>
      </c>
      <c r="T626" s="39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39" t="str">
        <f>IF(OR(TH!L626=TH!$V$7,M626=TH!$V$7),"x","")</f>
        <v/>
      </c>
      <c r="W626" s="39" t="str">
        <f>IF(AND(B626&gt;='IN-NX'!$P$3,B626&lt;='IN-NX'!$Q$3,'IN-NX'!$D$7=D626,OR(LEFT(L626,2)="15",AND(LEFT(M626,2)&lt;&gt;"15",LEFT(M626,2)&lt;&gt;"33"))),"x","")</f>
        <v/>
      </c>
      <c r="X626" s="39" t="str">
        <f>IF(AND(OR(LEFT(TH!L626,2)="15",LEFT(TH!M626,2)="15"),'152-CT'!$J$8=TH!F626),"x","")</f>
        <v/>
      </c>
      <c r="Y626" s="39" t="str">
        <f>IF(AND(OR(LEFT(TH!L626,2)="15",LEFT(TH!M626,2)="15"),TK!$E$7=TH!F626),"x","")</f>
        <v/>
      </c>
      <c r="Z626" s="39" t="str">
        <f>IF(AND(B626&lt;=NKC!$N$8,B626&gt;=NKC!$M$8),"x","")</f>
        <v/>
      </c>
      <c r="AA626" s="894"/>
      <c r="AB626" s="598" t="e">
        <f t="shared" si="28"/>
        <v>#N/A</v>
      </c>
    </row>
    <row r="627" spans="1:30" ht="15.75" customHeight="1">
      <c r="A627" s="199" t="str">
        <f>IF(B627&lt;&gt;"",IF(AND(B627&gt;=_TM1,B627&lt;=_TM2,OR(TH!L627="1111",TH!M627="1111")),TH!D627,""),"")</f>
        <v/>
      </c>
      <c r="B627" s="36">
        <f t="shared" si="29"/>
        <v>1</v>
      </c>
      <c r="C627" s="190">
        <f t="shared" si="27"/>
        <v>0</v>
      </c>
      <c r="D627" s="183"/>
      <c r="E627" s="190"/>
      <c r="F627" s="188"/>
      <c r="G627" s="491"/>
      <c r="H627" s="7"/>
      <c r="I627" s="253"/>
      <c r="J627" s="253"/>
      <c r="K627" s="606"/>
      <c r="L627" s="193"/>
      <c r="M627" s="193"/>
      <c r="N627" s="39" t="str">
        <f>IF(AND('331-CT'!$E$7=TH!H627,OR(L627="331",M627="331")),"331",IF(AND(OR(L627="131",M627="131"),H627='131-CT'!$E$7),"131",""))</f>
        <v/>
      </c>
      <c r="O627" s="39" t="str">
        <f>IF(AND($B627&gt;='111'!$N$11,$B627&lt;='111'!$O$11,OR($L627=$O$7,$M627=$O$7)),"x","")</f>
        <v/>
      </c>
      <c r="P627" s="39" t="str">
        <f>IF(AND($L627=$O$7,$B627&lt;'111'!$N$11),"x","")</f>
        <v/>
      </c>
      <c r="Q627" s="39" t="str">
        <f>IF(AND($M627=$O$7,$B627&lt;'111'!$N$11),"x","")</f>
        <v/>
      </c>
      <c r="R627" s="39" t="str">
        <f>IF(ISERROR(FIND('112'!$M$9,G627,1)),"",IF((AND(FIND('112'!$M$9,G627,1)&gt;=1,$B627&gt;='112'!$N$8,$B627&lt;='112'!$O$8,OR($L627='112'!$I$6,$M627='112'!$I$6))),"x",""))</f>
        <v/>
      </c>
      <c r="S627" s="39" t="str">
        <f>IF(ISERROR(FIND('112'!$M$9,G627,1)),"",IF((AND(LEFT(G627,2)=LEFT('112'!$M$9,2),B627&lt;'112'!$N$8,$L627='112'!$I$6)),"x",""))</f>
        <v/>
      </c>
      <c r="T627" s="39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39" t="str">
        <f>IF(OR(TH!L627=TH!$V$7,M627=TH!$V$7),"x","")</f>
        <v/>
      </c>
      <c r="W627" s="39" t="str">
        <f>IF(AND(B627&gt;='IN-NX'!$P$3,B627&lt;='IN-NX'!$Q$3,'IN-NX'!$D$7=D627,OR(LEFT(L627,2)="15",AND(LEFT(M627,2)&lt;&gt;"15",LEFT(M627,2)&lt;&gt;"33"))),"x","")</f>
        <v/>
      </c>
      <c r="X627" s="39" t="str">
        <f>IF(AND(OR(LEFT(TH!L627,2)="15",LEFT(TH!M627,2)="15"),'152-CT'!$J$8=TH!F627),"x","")</f>
        <v/>
      </c>
      <c r="Y627" s="39" t="str">
        <f>IF(AND(OR(LEFT(TH!L627,2)="15",LEFT(TH!M627,2)="15"),TK!$E$7=TH!F627),"x","")</f>
        <v/>
      </c>
      <c r="Z627" s="39" t="str">
        <f>IF(AND(B627&lt;=NKC!$N$8,B627&gt;=NKC!$M$8),"x","")</f>
        <v/>
      </c>
      <c r="AA627" s="894"/>
      <c r="AB627" s="598" t="e">
        <f t="shared" si="28"/>
        <v>#N/A</v>
      </c>
    </row>
    <row r="628" spans="1:30" ht="15.75" customHeight="1">
      <c r="A628" s="199" t="str">
        <f>IF(B628&lt;&gt;"",IF(AND(B628&gt;=_TM1,B628&lt;=_TM2,OR(TH!L628="1111",TH!M628="1111")),TH!D628,""),"")</f>
        <v/>
      </c>
      <c r="B628" s="36">
        <f t="shared" si="29"/>
        <v>1</v>
      </c>
      <c r="C628" s="190">
        <f t="shared" si="27"/>
        <v>0</v>
      </c>
      <c r="D628" s="183"/>
      <c r="E628" s="190"/>
      <c r="F628" s="293"/>
      <c r="G628" s="491"/>
      <c r="H628" s="7"/>
      <c r="I628" s="253"/>
      <c r="J628" s="253"/>
      <c r="K628" s="38"/>
      <c r="L628" s="193"/>
      <c r="M628" s="193"/>
      <c r="N628" s="39" t="str">
        <f>IF(AND('331-CT'!$E$7=TH!H628,OR(L628="331",M628="331")),"331",IF(AND(OR(L628="131",M628="131"),H628='131-CT'!$E$7),"131",""))</f>
        <v/>
      </c>
      <c r="O628" s="39" t="str">
        <f>IF(AND($B628&gt;='111'!$N$11,$B628&lt;='111'!$O$11,OR($L628=$O$7,$M628=$O$7)),"x","")</f>
        <v/>
      </c>
      <c r="P628" s="39" t="str">
        <f>IF(AND($L628=$O$7,$B628&lt;'111'!$N$11),"x","")</f>
        <v/>
      </c>
      <c r="Q628" s="39" t="str">
        <f>IF(AND($M628=$O$7,$B628&lt;'111'!$N$11),"x","")</f>
        <v/>
      </c>
      <c r="R628" s="39" t="str">
        <f>IF(ISERROR(FIND('112'!$M$9,G628,1)),"",IF((AND(FIND('112'!$M$9,G628,1)&gt;=1,$B628&gt;='112'!$N$8,$B628&lt;='112'!$O$8,OR($L628='112'!$I$6,$M628='112'!$I$6))),"x",""))</f>
        <v/>
      </c>
      <c r="S628" s="39" t="str">
        <f>IF(ISERROR(FIND('112'!$M$9,G628,1)),"",IF((AND(LEFT(G628,2)=LEFT('112'!$M$9,2),B628&lt;'112'!$N$8,$L628='112'!$I$6)),"x",""))</f>
        <v/>
      </c>
      <c r="T628" s="39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39" t="str">
        <f>IF(OR(TH!L628=TH!$V$7,M628=TH!$V$7),"x","")</f>
        <v/>
      </c>
      <c r="W628" s="39" t="str">
        <f>IF(AND(B628&gt;='IN-NX'!$P$3,B628&lt;='IN-NX'!$Q$3,'IN-NX'!$D$7=D628,OR(LEFT(L628,2)="15",AND(LEFT(M628,2)&lt;&gt;"15",LEFT(M628,2)&lt;&gt;"33"))),"x","")</f>
        <v/>
      </c>
      <c r="X628" s="39" t="str">
        <f>IF(AND(OR(LEFT(TH!L628,2)="15",LEFT(TH!M628,2)="15"),'152-CT'!$J$8=TH!F628),"x","")</f>
        <v/>
      </c>
      <c r="Y628" s="39" t="str">
        <f>IF(AND(OR(LEFT(TH!L628,2)="15",LEFT(TH!M628,2)="15"),TK!$E$7=TH!F628),"x","")</f>
        <v/>
      </c>
      <c r="Z628" s="39" t="str">
        <f>IF(AND(B628&lt;=NKC!$N$8,B628&gt;=NKC!$M$8),"x","")</f>
        <v/>
      </c>
      <c r="AA628" s="894"/>
      <c r="AB628" s="598" t="e">
        <f t="shared" si="28"/>
        <v>#N/A</v>
      </c>
    </row>
    <row r="629" spans="1:30" ht="15.75" customHeight="1">
      <c r="A629" s="199" t="str">
        <f>IF(B629&lt;&gt;"",IF(AND(B629&gt;=_TM1,B629&lt;=_TM2,OR(TH!L629="1111",TH!M629="1111")),TH!D629,""),"")</f>
        <v/>
      </c>
      <c r="B629" s="36">
        <f t="shared" si="29"/>
        <v>1</v>
      </c>
      <c r="C629" s="190">
        <f t="shared" ref="C629:C692" si="30">E629</f>
        <v>0</v>
      </c>
      <c r="D629" s="183"/>
      <c r="E629" s="190"/>
      <c r="F629" s="188"/>
      <c r="G629" s="491"/>
      <c r="H629" s="7"/>
      <c r="I629" s="253"/>
      <c r="J629" s="253"/>
      <c r="K629" s="38"/>
      <c r="L629" s="193"/>
      <c r="M629" s="193"/>
      <c r="N629" s="39" t="str">
        <f>IF(AND('331-CT'!$E$7=TH!H629,OR(L629="331",M629="331")),"331",IF(AND(OR(L629="131",M629="131"),H629='131-CT'!$E$7),"131",""))</f>
        <v/>
      </c>
      <c r="O629" s="39" t="str">
        <f>IF(AND($B629&gt;='111'!$N$11,$B629&lt;='111'!$O$11,OR($L629=$O$7,$M629=$O$7)),"x","")</f>
        <v/>
      </c>
      <c r="P629" s="39" t="str">
        <f>IF(AND($L629=$O$7,$B629&lt;'111'!$N$11),"x","")</f>
        <v/>
      </c>
      <c r="Q629" s="39" t="str">
        <f>IF(AND($M629=$O$7,$B629&lt;'111'!$N$11),"x","")</f>
        <v/>
      </c>
      <c r="R629" s="39" t="str">
        <f>IF(ISERROR(FIND('112'!$M$9,G629,1)),"",IF((AND(FIND('112'!$M$9,G629,1)&gt;=1,$B629&gt;='112'!$N$8,$B629&lt;='112'!$O$8,OR($L629='112'!$I$6,$M629='112'!$I$6))),"x",""))</f>
        <v/>
      </c>
      <c r="S629" s="39" t="str">
        <f>IF(ISERROR(FIND('112'!$M$9,G629,1)),"",IF((AND(LEFT(G629,2)=LEFT('112'!$M$9,2),B629&lt;'112'!$N$8,$L629='112'!$I$6)),"x",""))</f>
        <v/>
      </c>
      <c r="T629" s="39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39" t="str">
        <f>IF(OR(TH!L629=TH!$V$7,M629=TH!$V$7),"x","")</f>
        <v/>
      </c>
      <c r="W629" s="39" t="str">
        <f>IF(AND(B629&gt;='IN-NX'!$P$3,B629&lt;='IN-NX'!$Q$3,'IN-NX'!$D$7=D629,OR(LEFT(L629,2)="15",AND(LEFT(M629,2)&lt;&gt;"15",LEFT(M629,2)&lt;&gt;"33"))),"x","")</f>
        <v/>
      </c>
      <c r="X629" s="39" t="str">
        <f>IF(AND(OR(LEFT(TH!L629,2)="15",LEFT(TH!M629,2)="15"),'152-CT'!$J$8=TH!F629),"x","")</f>
        <v/>
      </c>
      <c r="Y629" s="39" t="str">
        <f>IF(AND(OR(LEFT(TH!L629,2)="15",LEFT(TH!M629,2)="15"),TK!$E$7=TH!F629),"x","")</f>
        <v/>
      </c>
      <c r="Z629" s="39" t="str">
        <f>IF(AND(B629&lt;=NKC!$N$8,B629&gt;=NKC!$M$8),"x","")</f>
        <v/>
      </c>
      <c r="AA629" s="894"/>
      <c r="AB629" s="598" t="e">
        <f t="shared" si="28"/>
        <v>#N/A</v>
      </c>
    </row>
    <row r="630" spans="1:30" ht="15.75" customHeight="1">
      <c r="A630" s="199" t="str">
        <f>IF(B630&lt;&gt;"",IF(AND(B630&gt;=_TM1,B630&lt;=_TM2,OR(TH!L630="1111",TH!M630="1111")),TH!D630,""),"")</f>
        <v/>
      </c>
      <c r="B630" s="36">
        <f t="shared" si="29"/>
        <v>1</v>
      </c>
      <c r="C630" s="190">
        <f t="shared" si="30"/>
        <v>0</v>
      </c>
      <c r="D630" s="183"/>
      <c r="E630" s="190"/>
      <c r="F630" s="188"/>
      <c r="G630" s="491"/>
      <c r="H630" s="7"/>
      <c r="I630" s="253"/>
      <c r="J630" s="253"/>
      <c r="K630" s="38"/>
      <c r="L630" s="193"/>
      <c r="M630" s="193"/>
      <c r="N630" s="39" t="str">
        <f>IF(AND('331-CT'!$E$7=TH!H630,OR(L630="331",M630="331")),"331",IF(AND(OR(L630="131",M630="131"),H630='131-CT'!$E$7),"131",""))</f>
        <v/>
      </c>
      <c r="O630" s="39" t="str">
        <f>IF(AND($B630&gt;='111'!$N$11,$B630&lt;='111'!$O$11,OR($L630=$O$7,$M630=$O$7)),"x","")</f>
        <v/>
      </c>
      <c r="P630" s="39" t="str">
        <f>IF(AND($L630=$O$7,$B630&lt;'111'!$N$11),"x","")</f>
        <v/>
      </c>
      <c r="Q630" s="39" t="str">
        <f>IF(AND($M630=$O$7,$B630&lt;'111'!$N$11),"x","")</f>
        <v/>
      </c>
      <c r="R630" s="39" t="str">
        <f>IF(ISERROR(FIND('112'!$M$9,G630,1)),"",IF((AND(FIND('112'!$M$9,G630,1)&gt;=1,$B630&gt;='112'!$N$8,$B630&lt;='112'!$O$8,OR($L630='112'!$I$6,$M630='112'!$I$6))),"x",""))</f>
        <v/>
      </c>
      <c r="S630" s="39" t="str">
        <f>IF(ISERROR(FIND('112'!$M$9,G630,1)),"",IF((AND(LEFT(G630,2)=LEFT('112'!$M$9,2),B630&lt;'112'!$N$8,$L630='112'!$I$6)),"x",""))</f>
        <v/>
      </c>
      <c r="T630" s="39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39" t="str">
        <f>IF(OR(TH!L630=TH!$V$7,M630=TH!$V$7),"x","")</f>
        <v/>
      </c>
      <c r="W630" s="39" t="str">
        <f>IF(AND(B630&gt;='IN-NX'!$P$3,B630&lt;='IN-NX'!$Q$3,'IN-NX'!$D$7=D630,OR(LEFT(L630,2)="15",AND(LEFT(M630,2)&lt;&gt;"15",LEFT(M630,2)&lt;&gt;"33"))),"x","")</f>
        <v/>
      </c>
      <c r="X630" s="39" t="str">
        <f>IF(AND(OR(LEFT(TH!L630,2)="15",LEFT(TH!M630,2)="15"),'152-CT'!$J$8=TH!F630),"x","")</f>
        <v/>
      </c>
      <c r="Y630" s="39" t="str">
        <f>IF(AND(OR(LEFT(TH!L630,2)="15",LEFT(TH!M630,2)="15"),TK!$E$7=TH!F630),"x","")</f>
        <v/>
      </c>
      <c r="Z630" s="39" t="str">
        <f>IF(AND(B630&lt;=NKC!$N$8,B630&gt;=NKC!$M$8),"x","")</f>
        <v/>
      </c>
      <c r="AA630" s="894"/>
      <c r="AB630" s="598" t="e">
        <f t="shared" si="28"/>
        <v>#N/A</v>
      </c>
    </row>
    <row r="631" spans="1:30" ht="15.75" customHeight="1">
      <c r="A631" s="199" t="str">
        <f>IF(B631&lt;&gt;"",IF(AND(B631&gt;=_TM1,B631&lt;=_TM2,OR(TH!L631="1111",TH!M631="1111")),TH!D631,""),"")</f>
        <v/>
      </c>
      <c r="B631" s="36">
        <f t="shared" si="29"/>
        <v>1</v>
      </c>
      <c r="C631" s="190">
        <f t="shared" si="30"/>
        <v>0</v>
      </c>
      <c r="D631" s="183"/>
      <c r="E631" s="190"/>
      <c r="F631" s="188"/>
      <c r="G631" s="491"/>
      <c r="H631" s="7"/>
      <c r="I631" s="253"/>
      <c r="J631" s="253"/>
      <c r="K631" s="606"/>
      <c r="L631" s="193"/>
      <c r="M631" s="193"/>
      <c r="N631" s="39" t="str">
        <f>IF(AND('331-CT'!$E$7=TH!H631,OR(L631="331",M631="331")),"331",IF(AND(OR(L631="131",M631="131"),H631='131-CT'!$E$7),"131",""))</f>
        <v/>
      </c>
      <c r="O631" s="39" t="str">
        <f>IF(AND($B631&gt;='111'!$N$11,$B631&lt;='111'!$O$11,OR($L631=$O$7,$M631=$O$7)),"x","")</f>
        <v/>
      </c>
      <c r="P631" s="39" t="str">
        <f>IF(AND($L631=$O$7,$B631&lt;'111'!$N$11),"x","")</f>
        <v/>
      </c>
      <c r="Q631" s="39" t="str">
        <f>IF(AND($M631=$O$7,$B631&lt;'111'!$N$11),"x","")</f>
        <v/>
      </c>
      <c r="R631" s="39" t="str">
        <f>IF(ISERROR(FIND('112'!$M$9,G631,1)),"",IF((AND(FIND('112'!$M$9,G631,1)&gt;=1,$B631&gt;='112'!$N$8,$B631&lt;='112'!$O$8,OR($L631='112'!$I$6,$M631='112'!$I$6))),"x",""))</f>
        <v/>
      </c>
      <c r="S631" s="39" t="str">
        <f>IF(ISERROR(FIND('112'!$M$9,G631,1)),"",IF((AND(LEFT(G631,2)=LEFT('112'!$M$9,2),B631&lt;'112'!$N$8,$L631='112'!$I$6)),"x",""))</f>
        <v/>
      </c>
      <c r="T631" s="39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39" t="str">
        <f>IF(OR(TH!L631=TH!$V$7,M631=TH!$V$7),"x","")</f>
        <v/>
      </c>
      <c r="W631" s="39" t="str">
        <f>IF(AND(B631&gt;='IN-NX'!$P$3,B631&lt;='IN-NX'!$Q$3,'IN-NX'!$D$7=D631,OR(LEFT(L631,2)="15",AND(LEFT(M631,2)&lt;&gt;"15",LEFT(M631,2)&lt;&gt;"33"))),"x","")</f>
        <v/>
      </c>
      <c r="X631" s="39" t="str">
        <f>IF(AND(OR(LEFT(TH!L631,2)="15",LEFT(TH!M631,2)="15"),'152-CT'!$J$8=TH!F631),"x","")</f>
        <v/>
      </c>
      <c r="Y631" s="39" t="str">
        <f>IF(AND(OR(LEFT(TH!L631,2)="15",LEFT(TH!M631,2)="15"),TK!$E$7=TH!F631),"x","")</f>
        <v/>
      </c>
      <c r="Z631" s="39" t="str">
        <f>IF(AND(B631&lt;=NKC!$N$8,B631&gt;=NKC!$M$8),"x","")</f>
        <v/>
      </c>
      <c r="AA631" s="894"/>
      <c r="AB631" s="598" t="e">
        <f t="shared" si="28"/>
        <v>#N/A</v>
      </c>
    </row>
    <row r="632" spans="1:30" ht="15.75" customHeight="1">
      <c r="A632" s="199" t="str">
        <f>IF(B632&lt;&gt;"",IF(AND(B632&gt;=_TM1,B632&lt;=_TM2,OR(TH!L632="1111",TH!M632="1111")),TH!D632,""),"")</f>
        <v/>
      </c>
      <c r="B632" s="36">
        <f t="shared" si="29"/>
        <v>1</v>
      </c>
      <c r="C632" s="190">
        <f t="shared" si="30"/>
        <v>0</v>
      </c>
      <c r="D632" s="183"/>
      <c r="E632" s="190"/>
      <c r="F632" s="188"/>
      <c r="G632" s="491"/>
      <c r="H632" s="7"/>
      <c r="I632" s="253"/>
      <c r="J632" s="253"/>
      <c r="K632" s="38"/>
      <c r="L632" s="193"/>
      <c r="M632" s="193"/>
      <c r="N632" s="39" t="str">
        <f>IF(AND('331-CT'!$E$7=TH!H632,OR(L632="331",M632="331")),"331",IF(AND(OR(L632="131",M632="131"),H632='131-CT'!$E$7),"131",""))</f>
        <v/>
      </c>
      <c r="O632" s="39" t="str">
        <f>IF(AND($B632&gt;='111'!$N$11,$B632&lt;='111'!$O$11,OR($L632=$O$7,$M632=$O$7)),"x","")</f>
        <v/>
      </c>
      <c r="P632" s="39" t="str">
        <f>IF(AND($L632=$O$7,$B632&lt;'111'!$N$11),"x","")</f>
        <v/>
      </c>
      <c r="Q632" s="39" t="str">
        <f>IF(AND($M632=$O$7,$B632&lt;'111'!$N$11),"x","")</f>
        <v/>
      </c>
      <c r="R632" s="39" t="str">
        <f>IF(ISERROR(FIND('112'!$M$9,G632,1)),"",IF((AND(FIND('112'!$M$9,G632,1)&gt;=1,$B632&gt;='112'!$N$8,$B632&lt;='112'!$O$8,OR($L632='112'!$I$6,$M632='112'!$I$6))),"x",""))</f>
        <v/>
      </c>
      <c r="S632" s="39" t="str">
        <f>IF(ISERROR(FIND('112'!$M$9,G632,1)),"",IF((AND(LEFT(G632,2)=LEFT('112'!$M$9,2),B632&lt;'112'!$N$8,$L632='112'!$I$6)),"x",""))</f>
        <v/>
      </c>
      <c r="T632" s="39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39" t="str">
        <f>IF(OR(TH!L632=TH!$V$7,M632=TH!$V$7),"x","")</f>
        <v/>
      </c>
      <c r="W632" s="39" t="str">
        <f>IF(AND(B632&gt;='IN-NX'!$P$3,B632&lt;='IN-NX'!$Q$3,'IN-NX'!$D$7=D632,OR(LEFT(L632,2)="15",AND(LEFT(M632,2)&lt;&gt;"15",LEFT(M632,2)&lt;&gt;"33"))),"x","")</f>
        <v/>
      </c>
      <c r="X632" s="39" t="str">
        <f>IF(AND(OR(LEFT(TH!L632,2)="15",LEFT(TH!M632,2)="15"),'152-CT'!$J$8=TH!F632),"x","")</f>
        <v/>
      </c>
      <c r="Y632" s="39" t="str">
        <f>IF(AND(OR(LEFT(TH!L632,2)="15",LEFT(TH!M632,2)="15"),TK!$E$7=TH!F632),"x","")</f>
        <v/>
      </c>
      <c r="Z632" s="39" t="str">
        <f>IF(AND(B632&lt;=NKC!$N$8,B632&gt;=NKC!$M$8),"x","")</f>
        <v/>
      </c>
      <c r="AA632" s="894"/>
      <c r="AB632" s="598" t="e">
        <f t="shared" si="28"/>
        <v>#N/A</v>
      </c>
    </row>
    <row r="633" spans="1:30" ht="15.75" customHeight="1">
      <c r="A633" s="199" t="str">
        <f>IF(B633&lt;&gt;"",IF(AND(B633&gt;=_TM1,B633&lt;=_TM2,OR(TH!L633="1111",TH!M633="1111")),TH!D633,""),"")</f>
        <v/>
      </c>
      <c r="B633" s="36">
        <f t="shared" si="29"/>
        <v>1</v>
      </c>
      <c r="C633" s="190">
        <f t="shared" si="30"/>
        <v>0</v>
      </c>
      <c r="D633" s="183"/>
      <c r="E633" s="183"/>
      <c r="F633" s="188"/>
      <c r="G633" s="608"/>
      <c r="H633" s="192"/>
      <c r="I633" s="253"/>
      <c r="J633" s="253"/>
      <c r="K633" s="38"/>
      <c r="L633" s="193"/>
      <c r="M633" s="193"/>
      <c r="N633" s="39" t="str">
        <f>IF(AND('331-CT'!$E$7=TH!H633,OR(L633="331",M633="331")),"331",IF(AND(OR(L633="131",M633="131"),H633='131-CT'!$E$7),"131",""))</f>
        <v/>
      </c>
      <c r="O633" s="39" t="str">
        <f>IF(AND($B633&gt;='111'!$N$11,$B633&lt;='111'!$O$11,OR($L633=$O$7,$M633=$O$7)),"x","")</f>
        <v/>
      </c>
      <c r="P633" s="39" t="str">
        <f>IF(AND($L633=$O$7,$B633&lt;'111'!$N$11),"x","")</f>
        <v/>
      </c>
      <c r="Q633" s="39" t="str">
        <f>IF(AND($M633=$O$7,$B633&lt;'111'!$N$11),"x","")</f>
        <v/>
      </c>
      <c r="R633" s="39" t="str">
        <f>IF(ISERROR(FIND('112'!$M$9,G633,1)),"",IF((AND(FIND('112'!$M$9,G633,1)&gt;=1,$B633&gt;='112'!$N$8,$B633&lt;='112'!$O$8,OR($L633='112'!$I$6,$M633='112'!$I$6))),"x",""))</f>
        <v/>
      </c>
      <c r="S633" s="39" t="str">
        <f>IF(ISERROR(FIND('112'!$M$9,G633,1)),"",IF((AND(LEFT(G633,2)=LEFT('112'!$M$9,2),B633&lt;'112'!$N$8,$L633='112'!$I$6)),"x",""))</f>
        <v/>
      </c>
      <c r="T633" s="39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39" t="str">
        <f>IF(OR(TH!L633=TH!$V$7,M633=TH!$V$7),"x","")</f>
        <v/>
      </c>
      <c r="W633" s="39" t="str">
        <f>IF(AND(B633&gt;='IN-NX'!$P$3,B633&lt;='IN-NX'!$Q$3,'IN-NX'!$D$7=D633,OR(LEFT(L633,2)="15",AND(LEFT(M633,2)&lt;&gt;"15",LEFT(M633,2)&lt;&gt;"33"))),"x","")</f>
        <v/>
      </c>
      <c r="X633" s="39" t="str">
        <f>IF(AND(OR(LEFT(TH!L633,2)="15",LEFT(TH!M633,2)="15"),'152-CT'!$J$8=TH!F633),"x","")</f>
        <v/>
      </c>
      <c r="Y633" s="39" t="str">
        <f>IF(AND(OR(LEFT(TH!L633,2)="15",LEFT(TH!M633,2)="15"),TK!$E$7=TH!F633),"x","")</f>
        <v/>
      </c>
      <c r="Z633" s="39" t="str">
        <f>IF(AND(B633&lt;=NKC!$N$8,B633&gt;=NKC!$M$8),"x","")</f>
        <v/>
      </c>
      <c r="AA633" s="894"/>
      <c r="AB633" s="598" t="e">
        <f t="shared" si="28"/>
        <v>#N/A</v>
      </c>
      <c r="AC633" s="598"/>
      <c r="AD633" s="598"/>
    </row>
    <row r="634" spans="1:30" ht="15.75" customHeight="1">
      <c r="A634" s="199" t="str">
        <f>IF(B634&lt;&gt;"",IF(AND(B634&gt;=_TM1,B634&lt;=_TM2,OR(TH!L634="1111",TH!M634="1111")),TH!D634,""),"")</f>
        <v/>
      </c>
      <c r="B634" s="36">
        <f t="shared" si="29"/>
        <v>1</v>
      </c>
      <c r="C634" s="190">
        <f t="shared" si="30"/>
        <v>0</v>
      </c>
      <c r="D634" s="183"/>
      <c r="E634" s="183"/>
      <c r="F634" s="188"/>
      <c r="G634" s="608"/>
      <c r="H634" s="7"/>
      <c r="I634" s="253"/>
      <c r="J634" s="253"/>
      <c r="K634" s="606"/>
      <c r="L634" s="193"/>
      <c r="M634" s="193"/>
      <c r="N634" s="39" t="str">
        <f>IF(AND('331-CT'!$E$7=TH!H634,OR(L634="331",M634="331")),"331",IF(AND(OR(L634="131",M634="131"),H634='131-CT'!$E$7),"131",""))</f>
        <v/>
      </c>
      <c r="O634" s="39" t="str">
        <f>IF(AND($B634&gt;='111'!$N$11,$B634&lt;='111'!$O$11,OR($L634=$O$7,$M634=$O$7)),"x","")</f>
        <v/>
      </c>
      <c r="P634" s="39" t="str">
        <f>IF(AND($L634=$O$7,$B634&lt;'111'!$N$11),"x","")</f>
        <v/>
      </c>
      <c r="Q634" s="39" t="str">
        <f>IF(AND($M634=$O$7,$B634&lt;'111'!$N$11),"x","")</f>
        <v/>
      </c>
      <c r="R634" s="39" t="str">
        <f>IF(ISERROR(FIND('112'!$M$9,G634,1)),"",IF((AND(FIND('112'!$M$9,G634,1)&gt;=1,$B634&gt;='112'!$N$8,$B634&lt;='112'!$O$8,OR($L634='112'!$I$6,$M634='112'!$I$6))),"x",""))</f>
        <v/>
      </c>
      <c r="S634" s="39" t="str">
        <f>IF(ISERROR(FIND('112'!$M$9,G634,1)),"",IF((AND(LEFT(G634,2)=LEFT('112'!$M$9,2),B634&lt;'112'!$N$8,$L634='112'!$I$6)),"x",""))</f>
        <v/>
      </c>
      <c r="T634" s="39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39" t="str">
        <f>IF(OR(TH!L634=TH!$V$7,M634=TH!$V$7),"x","")</f>
        <v/>
      </c>
      <c r="W634" s="39" t="str">
        <f>IF(AND(B634&gt;='IN-NX'!$P$3,B634&lt;='IN-NX'!$Q$3,'IN-NX'!$D$7=D634,OR(LEFT(L634,2)="15",AND(LEFT(M634,2)&lt;&gt;"15",LEFT(M634,2)&lt;&gt;"33"))),"x","")</f>
        <v/>
      </c>
      <c r="X634" s="39" t="str">
        <f>IF(AND(OR(LEFT(TH!L634,2)="15",LEFT(TH!M634,2)="15"),'152-CT'!$J$8=TH!F634),"x","")</f>
        <v/>
      </c>
      <c r="Y634" s="39" t="str">
        <f>IF(AND(OR(LEFT(TH!L634,2)="15",LEFT(TH!M634,2)="15"),TK!$E$7=TH!F634),"x","")</f>
        <v/>
      </c>
      <c r="Z634" s="39" t="str">
        <f>IF(AND(B634&lt;=NKC!$N$8,B634&gt;=NKC!$M$8),"x","")</f>
        <v/>
      </c>
      <c r="AA634" s="894"/>
      <c r="AB634" s="598" t="e">
        <f t="shared" si="28"/>
        <v>#N/A</v>
      </c>
      <c r="AD634" s="598"/>
    </row>
    <row r="635" spans="1:30" ht="15.75" customHeight="1">
      <c r="A635" s="199" t="str">
        <f>IF(B635&lt;&gt;"",IF(AND(B635&gt;=_TM1,B635&lt;=_TM2,OR(TH!L635="1111",TH!M635="1111")),TH!D635,""),"")</f>
        <v/>
      </c>
      <c r="B635" s="36">
        <f t="shared" si="29"/>
        <v>1</v>
      </c>
      <c r="C635" s="190">
        <f t="shared" si="30"/>
        <v>0</v>
      </c>
      <c r="D635" s="183"/>
      <c r="E635" s="183"/>
      <c r="F635" s="188"/>
      <c r="G635" s="608"/>
      <c r="H635" s="7"/>
      <c r="I635" s="253"/>
      <c r="J635" s="253"/>
      <c r="K635" s="38"/>
      <c r="L635" s="193"/>
      <c r="M635" s="193"/>
      <c r="N635" s="39" t="str">
        <f>IF(AND('331-CT'!$E$7=TH!H635,OR(L635="331",M635="331")),"331",IF(AND(OR(L635="131",M635="131"),H635='131-CT'!$E$7),"131",""))</f>
        <v/>
      </c>
      <c r="O635" s="39" t="str">
        <f>IF(AND($B635&gt;='111'!$N$11,$B635&lt;='111'!$O$11,OR($L635=$O$7,$M635=$O$7)),"x","")</f>
        <v/>
      </c>
      <c r="P635" s="39" t="str">
        <f>IF(AND($L635=$O$7,$B635&lt;'111'!$N$11),"x","")</f>
        <v/>
      </c>
      <c r="Q635" s="39" t="str">
        <f>IF(AND($M635=$O$7,$B635&lt;'111'!$N$11),"x","")</f>
        <v/>
      </c>
      <c r="R635" s="39" t="str">
        <f>IF(ISERROR(FIND('112'!$M$9,G635,1)),"",IF((AND(FIND('112'!$M$9,G635,1)&gt;=1,$B635&gt;='112'!$N$8,$B635&lt;='112'!$O$8,OR($L635='112'!$I$6,$M635='112'!$I$6))),"x",""))</f>
        <v/>
      </c>
      <c r="S635" s="39" t="str">
        <f>IF(ISERROR(FIND('112'!$M$9,G635,1)),"",IF((AND(LEFT(G635,2)=LEFT('112'!$M$9,2),B635&lt;'112'!$N$8,$L635='112'!$I$6)),"x",""))</f>
        <v/>
      </c>
      <c r="T635" s="39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39" t="str">
        <f>IF(OR(TH!L635=TH!$V$7,M635=TH!$V$7),"x","")</f>
        <v/>
      </c>
      <c r="W635" s="39" t="str">
        <f>IF(AND(B635&gt;='IN-NX'!$P$3,B635&lt;='IN-NX'!$Q$3,'IN-NX'!$D$7=D635,OR(LEFT(L635,2)="15",AND(LEFT(M635,2)&lt;&gt;"15",LEFT(M635,2)&lt;&gt;"33"))),"x","")</f>
        <v/>
      </c>
      <c r="X635" s="39" t="str">
        <f>IF(AND(OR(LEFT(TH!L635,2)="15",LEFT(TH!M635,2)="15"),'152-CT'!$J$8=TH!F635),"x","")</f>
        <v/>
      </c>
      <c r="Y635" s="39" t="str">
        <f>IF(AND(OR(LEFT(TH!L635,2)="15",LEFT(TH!M635,2)="15"),TK!$E$7=TH!F635),"x","")</f>
        <v/>
      </c>
      <c r="Z635" s="39" t="str">
        <f>IF(AND(B635&lt;=NKC!$N$8,B635&gt;=NKC!$M$8),"x","")</f>
        <v/>
      </c>
      <c r="AA635" s="894"/>
      <c r="AB635" s="598" t="e">
        <f t="shared" si="28"/>
        <v>#N/A</v>
      </c>
      <c r="AD635" s="598"/>
    </row>
    <row r="636" spans="1:30" ht="15.75" customHeight="1">
      <c r="A636" s="199" t="str">
        <f>IF(B636&lt;&gt;"",IF(AND(B636&gt;=_TM1,B636&lt;=_TM2,OR(TH!L636="1111",TH!M636="1111")),TH!D636,""),"")</f>
        <v/>
      </c>
      <c r="B636" s="36">
        <f t="shared" si="29"/>
        <v>1</v>
      </c>
      <c r="C636" s="190">
        <f t="shared" si="30"/>
        <v>0</v>
      </c>
      <c r="D636" s="183"/>
      <c r="E636" s="183"/>
      <c r="F636" s="188"/>
      <c r="G636" s="608"/>
      <c r="H636" s="7"/>
      <c r="I636" s="253"/>
      <c r="J636" s="253"/>
      <c r="K636" s="38"/>
      <c r="L636" s="193"/>
      <c r="M636" s="193"/>
      <c r="N636" s="39" t="str">
        <f>IF(AND('331-CT'!$E$7=TH!H636,OR(L636="331",M636="331")),"331",IF(AND(OR(L636="131",M636="131"),H636='131-CT'!$E$7),"131",""))</f>
        <v/>
      </c>
      <c r="O636" s="39" t="str">
        <f>IF(AND($B636&gt;='111'!$N$11,$B636&lt;='111'!$O$11,OR($L636=$O$7,$M636=$O$7)),"x","")</f>
        <v/>
      </c>
      <c r="P636" s="39" t="str">
        <f>IF(AND($L636=$O$7,$B636&lt;'111'!$N$11),"x","")</f>
        <v/>
      </c>
      <c r="Q636" s="39" t="str">
        <f>IF(AND($M636=$O$7,$B636&lt;'111'!$N$11),"x","")</f>
        <v/>
      </c>
      <c r="R636" s="39" t="str">
        <f>IF(ISERROR(FIND('112'!$M$9,G636,1)),"",IF((AND(FIND('112'!$M$9,G636,1)&gt;=1,$B636&gt;='112'!$N$8,$B636&lt;='112'!$O$8,OR($L636='112'!$I$6,$M636='112'!$I$6))),"x",""))</f>
        <v/>
      </c>
      <c r="S636" s="39" t="str">
        <f>IF(ISERROR(FIND('112'!$M$9,G636,1)),"",IF((AND(LEFT(G636,2)=LEFT('112'!$M$9,2),B636&lt;'112'!$N$8,$L636='112'!$I$6)),"x",""))</f>
        <v/>
      </c>
      <c r="T636" s="39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39" t="str">
        <f>IF(OR(TH!L636=TH!$V$7,M636=TH!$V$7),"x","")</f>
        <v/>
      </c>
      <c r="W636" s="39" t="str">
        <f>IF(AND(B636&gt;='IN-NX'!$P$3,B636&lt;='IN-NX'!$Q$3,'IN-NX'!$D$7=D636,OR(LEFT(L636,2)="15",AND(LEFT(M636,2)&lt;&gt;"15",LEFT(M636,2)&lt;&gt;"33"))),"x","")</f>
        <v/>
      </c>
      <c r="X636" s="39" t="str">
        <f>IF(AND(OR(LEFT(TH!L636,2)="15",LEFT(TH!M636,2)="15"),'152-CT'!$J$8=TH!F636),"x","")</f>
        <v/>
      </c>
      <c r="Y636" s="39" t="str">
        <f>IF(AND(OR(LEFT(TH!L636,2)="15",LEFT(TH!M636,2)="15"),TK!$E$7=TH!F636),"x","")</f>
        <v/>
      </c>
      <c r="Z636" s="39" t="str">
        <f>IF(AND(B636&lt;=NKC!$N$8,B636&gt;=NKC!$M$8),"x","")</f>
        <v/>
      </c>
      <c r="AA636" s="894"/>
      <c r="AB636" s="598" t="e">
        <f t="shared" si="28"/>
        <v>#N/A</v>
      </c>
      <c r="AC636" s="598"/>
      <c r="AD636" s="598"/>
    </row>
    <row r="637" spans="1:30" ht="15.75" customHeight="1">
      <c r="A637" s="199" t="str">
        <f>IF(B637&lt;&gt;"",IF(AND(B637&gt;=_TM1,B637&lt;=_TM2,OR(TH!L637="1111",TH!M637="1111")),TH!D637,""),"")</f>
        <v/>
      </c>
      <c r="B637" s="36">
        <f t="shared" si="29"/>
        <v>1</v>
      </c>
      <c r="C637" s="190">
        <f t="shared" si="30"/>
        <v>0</v>
      </c>
      <c r="D637" s="183"/>
      <c r="E637" s="190"/>
      <c r="F637" s="188"/>
      <c r="G637" s="491"/>
      <c r="H637" s="7"/>
      <c r="I637" s="253"/>
      <c r="J637" s="253"/>
      <c r="K637" s="606"/>
      <c r="L637" s="193"/>
      <c r="M637" s="193"/>
      <c r="N637" s="39" t="str">
        <f>IF(AND('331-CT'!$E$7=TH!H637,OR(L637="331",M637="331")),"331",IF(AND(OR(L637="131",M637="131"),H637='131-CT'!$E$7),"131",""))</f>
        <v/>
      </c>
      <c r="O637" s="39" t="str">
        <f>IF(AND($B637&gt;='111'!$N$11,$B637&lt;='111'!$O$11,OR($L637=$O$7,$M637=$O$7)),"x","")</f>
        <v/>
      </c>
      <c r="P637" s="39" t="str">
        <f>IF(AND($L637=$O$7,$B637&lt;'111'!$N$11),"x","")</f>
        <v/>
      </c>
      <c r="Q637" s="39" t="str">
        <f>IF(AND($M637=$O$7,$B637&lt;'111'!$N$11),"x","")</f>
        <v/>
      </c>
      <c r="R637" s="39" t="str">
        <f>IF(ISERROR(FIND('112'!$M$9,G637,1)),"",IF((AND(FIND('112'!$M$9,G637,1)&gt;=1,$B637&gt;='112'!$N$8,$B637&lt;='112'!$O$8,OR($L637='112'!$I$6,$M637='112'!$I$6))),"x",""))</f>
        <v/>
      </c>
      <c r="S637" s="39" t="str">
        <f>IF(ISERROR(FIND('112'!$M$9,G637,1)),"",IF((AND(LEFT(G637,2)=LEFT('112'!$M$9,2),B637&lt;'112'!$N$8,$L637='112'!$I$6)),"x",""))</f>
        <v/>
      </c>
      <c r="T637" s="39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39" t="str">
        <f>IF(OR(TH!L637=TH!$V$7,M637=TH!$V$7),"x","")</f>
        <v/>
      </c>
      <c r="W637" s="39" t="str">
        <f>IF(AND(B637&gt;='IN-NX'!$P$3,B637&lt;='IN-NX'!$Q$3,'IN-NX'!$D$7=D637,OR(LEFT(L637,2)="15",AND(LEFT(M637,2)&lt;&gt;"15",LEFT(M637,2)&lt;&gt;"33"))),"x","")</f>
        <v/>
      </c>
      <c r="X637" s="39" t="str">
        <f>IF(AND(OR(LEFT(TH!L637,2)="15",LEFT(TH!M637,2)="15"),'152-CT'!$J$8=TH!F637),"x","")</f>
        <v/>
      </c>
      <c r="Y637" s="39" t="str">
        <f>IF(AND(OR(LEFT(TH!L637,2)="15",LEFT(TH!M637,2)="15"),TK!$E$7=TH!F637),"x","")</f>
        <v/>
      </c>
      <c r="Z637" s="39" t="str">
        <f>IF(AND(B637&lt;=NKC!$N$8,B637&gt;=NKC!$M$8),"x","")</f>
        <v/>
      </c>
      <c r="AA637" s="894"/>
      <c r="AB637" s="598" t="e">
        <f t="shared" si="28"/>
        <v>#N/A</v>
      </c>
      <c r="AD637" s="598"/>
    </row>
    <row r="638" spans="1:30" ht="15.75" customHeight="1">
      <c r="A638" s="199" t="str">
        <f>IF(B638&lt;&gt;"",IF(AND(B638&gt;=_TM1,B638&lt;=_TM2,OR(TH!L638="1111",TH!M638="1111")),TH!D638,""),"")</f>
        <v/>
      </c>
      <c r="B638" s="36">
        <f t="shared" si="29"/>
        <v>1</v>
      </c>
      <c r="C638" s="190">
        <f t="shared" si="30"/>
        <v>0</v>
      </c>
      <c r="D638" s="183"/>
      <c r="E638" s="190"/>
      <c r="F638" s="188"/>
      <c r="G638" s="491"/>
      <c r="H638" s="7"/>
      <c r="I638" s="253"/>
      <c r="J638" s="253"/>
      <c r="K638" s="38"/>
      <c r="L638" s="193"/>
      <c r="M638" s="193"/>
      <c r="N638" s="39" t="str">
        <f>IF(AND('331-CT'!$E$7=TH!H638,OR(L638="331",M638="331")),"331",IF(AND(OR(L638="131",M638="131"),H638='131-CT'!$E$7),"131",""))</f>
        <v/>
      </c>
      <c r="O638" s="39" t="str">
        <f>IF(AND($B638&gt;='111'!$N$11,$B638&lt;='111'!$O$11,OR($L638=$O$7,$M638=$O$7)),"x","")</f>
        <v/>
      </c>
      <c r="P638" s="39" t="str">
        <f>IF(AND($L638=$O$7,$B638&lt;'111'!$N$11),"x","")</f>
        <v/>
      </c>
      <c r="Q638" s="39" t="str">
        <f>IF(AND($M638=$O$7,$B638&lt;'111'!$N$11),"x","")</f>
        <v/>
      </c>
      <c r="R638" s="39" t="str">
        <f>IF(ISERROR(FIND('112'!$M$9,G638,1)),"",IF((AND(FIND('112'!$M$9,G638,1)&gt;=1,$B638&gt;='112'!$N$8,$B638&lt;='112'!$O$8,OR($L638='112'!$I$6,$M638='112'!$I$6))),"x",""))</f>
        <v/>
      </c>
      <c r="S638" s="39" t="str">
        <f>IF(ISERROR(FIND('112'!$M$9,G638,1)),"",IF((AND(LEFT(G638,2)=LEFT('112'!$M$9,2),B638&lt;'112'!$N$8,$L638='112'!$I$6)),"x",""))</f>
        <v/>
      </c>
      <c r="T638" s="39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39" t="str">
        <f>IF(OR(TH!L638=TH!$V$7,M638=TH!$V$7),"x","")</f>
        <v/>
      </c>
      <c r="W638" s="39" t="str">
        <f>IF(AND(B638&gt;='IN-NX'!$P$3,B638&lt;='IN-NX'!$Q$3,'IN-NX'!$D$7=D638,OR(LEFT(L638,2)="15",AND(LEFT(M638,2)&lt;&gt;"15",LEFT(M638,2)&lt;&gt;"33"))),"x","")</f>
        <v/>
      </c>
      <c r="X638" s="39" t="str">
        <f>IF(AND(OR(LEFT(TH!L638,2)="15",LEFT(TH!M638,2)="15"),'152-CT'!$J$8=TH!F638),"x","")</f>
        <v/>
      </c>
      <c r="Y638" s="39" t="str">
        <f>IF(AND(OR(LEFT(TH!L638,2)="15",LEFT(TH!M638,2)="15"),TK!$E$7=TH!F638),"x","")</f>
        <v/>
      </c>
      <c r="Z638" s="39" t="str">
        <f>IF(AND(B638&lt;=NKC!$N$8,B638&gt;=NKC!$M$8),"x","")</f>
        <v/>
      </c>
      <c r="AA638" s="894"/>
      <c r="AB638" s="598" t="e">
        <f t="shared" si="28"/>
        <v>#N/A</v>
      </c>
      <c r="AD638" s="598"/>
    </row>
    <row r="639" spans="1:30" ht="15.75" customHeight="1">
      <c r="A639" s="199" t="str">
        <f>IF(B639&lt;&gt;"",IF(AND(B639&gt;=_TM1,B639&lt;=_TM2,OR(TH!L639="1111",TH!M639="1111")),TH!D639,""),"")</f>
        <v/>
      </c>
      <c r="B639" s="36">
        <f t="shared" si="29"/>
        <v>1</v>
      </c>
      <c r="C639" s="190">
        <f t="shared" si="30"/>
        <v>0</v>
      </c>
      <c r="D639" s="183"/>
      <c r="E639" s="190"/>
      <c r="F639" s="188"/>
      <c r="G639" s="491"/>
      <c r="H639" s="7"/>
      <c r="I639" s="253"/>
      <c r="J639" s="253"/>
      <c r="K639" s="38"/>
      <c r="L639" s="193"/>
      <c r="M639" s="193"/>
      <c r="N639" s="39" t="str">
        <f>IF(AND('331-CT'!$E$7=TH!H639,OR(L639="331",M639="331")),"331",IF(AND(OR(L639="131",M639="131"),H639='131-CT'!$E$7),"131",""))</f>
        <v/>
      </c>
      <c r="O639" s="39" t="str">
        <f>IF(AND($B639&gt;='111'!$N$11,$B639&lt;='111'!$O$11,OR($L639=$O$7,$M639=$O$7)),"x","")</f>
        <v/>
      </c>
      <c r="P639" s="39" t="str">
        <f>IF(AND($L639=$O$7,$B639&lt;'111'!$N$11),"x","")</f>
        <v/>
      </c>
      <c r="Q639" s="39" t="str">
        <f>IF(AND($M639=$O$7,$B639&lt;'111'!$N$11),"x","")</f>
        <v/>
      </c>
      <c r="R639" s="39" t="str">
        <f>IF(ISERROR(FIND('112'!$M$9,G639,1)),"",IF((AND(FIND('112'!$M$9,G639,1)&gt;=1,$B639&gt;='112'!$N$8,$B639&lt;='112'!$O$8,OR($L639='112'!$I$6,$M639='112'!$I$6))),"x",""))</f>
        <v/>
      </c>
      <c r="S639" s="39" t="str">
        <f>IF(ISERROR(FIND('112'!$M$9,G639,1)),"",IF((AND(LEFT(G639,2)=LEFT('112'!$M$9,2),B639&lt;'112'!$N$8,$L639='112'!$I$6)),"x",""))</f>
        <v/>
      </c>
      <c r="T639" s="39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39" t="str">
        <f>IF(OR(TH!L639=TH!$V$7,M639=TH!$V$7),"x","")</f>
        <v/>
      </c>
      <c r="W639" s="39" t="str">
        <f>IF(AND(B639&gt;='IN-NX'!$P$3,B639&lt;='IN-NX'!$Q$3,'IN-NX'!$D$7=D639,OR(LEFT(L639,2)="15",AND(LEFT(M639,2)&lt;&gt;"15",LEFT(M639,2)&lt;&gt;"33"))),"x","")</f>
        <v/>
      </c>
      <c r="X639" s="39" t="str">
        <f>IF(AND(OR(LEFT(TH!L639,2)="15",LEFT(TH!M639,2)="15"),'152-CT'!$J$8=TH!F639),"x","")</f>
        <v/>
      </c>
      <c r="Y639" s="39" t="str">
        <f>IF(AND(OR(LEFT(TH!L639,2)="15",LEFT(TH!M639,2)="15"),TK!$E$7=TH!F639),"x","")</f>
        <v/>
      </c>
      <c r="Z639" s="39" t="str">
        <f>IF(AND(B639&lt;=NKC!$N$8,B639&gt;=NKC!$M$8),"x","")</f>
        <v/>
      </c>
      <c r="AA639" s="894"/>
      <c r="AB639" s="598" t="e">
        <f t="shared" si="28"/>
        <v>#N/A</v>
      </c>
      <c r="AC639" s="598"/>
    </row>
    <row r="640" spans="1:30" ht="15.75" customHeight="1">
      <c r="A640" s="199" t="str">
        <f>IF(B640&lt;&gt;"",IF(AND(B640&gt;=_TM1,B640&lt;=_TM2,OR(TH!L640="1111",TH!M640="1111")),TH!D640,""),"")</f>
        <v/>
      </c>
      <c r="B640" s="36">
        <f t="shared" si="29"/>
        <v>1</v>
      </c>
      <c r="C640" s="190">
        <f t="shared" si="30"/>
        <v>0</v>
      </c>
      <c r="D640" s="183"/>
      <c r="E640" s="190"/>
      <c r="F640" s="188"/>
      <c r="G640" s="491"/>
      <c r="H640" s="7"/>
      <c r="I640" s="253"/>
      <c r="J640" s="253"/>
      <c r="K640" s="606"/>
      <c r="L640" s="193"/>
      <c r="M640" s="193"/>
      <c r="N640" s="39" t="str">
        <f>IF(AND('331-CT'!$E$7=TH!H640,OR(L640="331",M640="331")),"331",IF(AND(OR(L640="131",M640="131"),H640='131-CT'!$E$7),"131",""))</f>
        <v/>
      </c>
      <c r="O640" s="39" t="str">
        <f>IF(AND($B640&gt;='111'!$N$11,$B640&lt;='111'!$O$11,OR($L640=$O$7,$M640=$O$7)),"x","")</f>
        <v/>
      </c>
      <c r="P640" s="39" t="str">
        <f>IF(AND($L640=$O$7,$B640&lt;'111'!$N$11),"x","")</f>
        <v/>
      </c>
      <c r="Q640" s="39" t="str">
        <f>IF(AND($M640=$O$7,$B640&lt;'111'!$N$11),"x","")</f>
        <v/>
      </c>
      <c r="R640" s="39" t="str">
        <f>IF(ISERROR(FIND('112'!$M$9,G640,1)),"",IF((AND(FIND('112'!$M$9,G640,1)&gt;=1,$B640&gt;='112'!$N$8,$B640&lt;='112'!$O$8,OR($L640='112'!$I$6,$M640='112'!$I$6))),"x",""))</f>
        <v/>
      </c>
      <c r="S640" s="39" t="str">
        <f>IF(ISERROR(FIND('112'!$M$9,G640,1)),"",IF((AND(LEFT(G640,2)=LEFT('112'!$M$9,2),B640&lt;'112'!$N$8,$L640='112'!$I$6)),"x",""))</f>
        <v/>
      </c>
      <c r="T640" s="39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39" t="str">
        <f>IF(OR(TH!L640=TH!$V$7,M640=TH!$V$7),"x","")</f>
        <v/>
      </c>
      <c r="W640" s="39" t="str">
        <f>IF(AND(B640&gt;='IN-NX'!$P$3,B640&lt;='IN-NX'!$Q$3,'IN-NX'!$D$7=D640,OR(LEFT(L640,2)="15",AND(LEFT(M640,2)&lt;&gt;"15",LEFT(M640,2)&lt;&gt;"33"))),"x","")</f>
        <v/>
      </c>
      <c r="X640" s="39" t="str">
        <f>IF(AND(OR(LEFT(TH!L640,2)="15",LEFT(TH!M640,2)="15"),'152-CT'!$J$8=TH!F640),"x","")</f>
        <v/>
      </c>
      <c r="Y640" s="39" t="str">
        <f>IF(AND(OR(LEFT(TH!L640,2)="15",LEFT(TH!M640,2)="15"),TK!$E$7=TH!F640),"x","")</f>
        <v/>
      </c>
      <c r="Z640" s="39" t="str">
        <f>IF(AND(B640&lt;=NKC!$N$8,B640&gt;=NKC!$M$8),"x","")</f>
        <v/>
      </c>
      <c r="AA640" s="894"/>
      <c r="AB640" s="598" t="e">
        <f t="shared" si="28"/>
        <v>#N/A</v>
      </c>
    </row>
    <row r="641" spans="1:30" ht="15.75" customHeight="1">
      <c r="A641" s="199" t="str">
        <f>IF(B641&lt;&gt;"",IF(AND(B641&gt;=_TM1,B641&lt;=_TM2,OR(TH!L641="1111",TH!M641="1111")),TH!D641,""),"")</f>
        <v/>
      </c>
      <c r="B641" s="36">
        <f t="shared" si="29"/>
        <v>1</v>
      </c>
      <c r="C641" s="190">
        <f t="shared" si="30"/>
        <v>0</v>
      </c>
      <c r="D641" s="183"/>
      <c r="E641" s="190"/>
      <c r="F641" s="188"/>
      <c r="G641" s="491"/>
      <c r="H641" s="7"/>
      <c r="I641" s="253"/>
      <c r="J641" s="253"/>
      <c r="K641" s="38"/>
      <c r="L641" s="193"/>
      <c r="M641" s="193"/>
      <c r="N641" s="39" t="str">
        <f>IF(AND('331-CT'!$E$7=TH!H641,OR(L641="331",M641="331")),"331",IF(AND(OR(L641="131",M641="131"),H641='131-CT'!$E$7),"131",""))</f>
        <v/>
      </c>
      <c r="O641" s="39" t="str">
        <f>IF(AND($B641&gt;='111'!$N$11,$B641&lt;='111'!$O$11,OR($L641=$O$7,$M641=$O$7)),"x","")</f>
        <v/>
      </c>
      <c r="P641" s="39" t="str">
        <f>IF(AND($L641=$O$7,$B641&lt;'111'!$N$11),"x","")</f>
        <v/>
      </c>
      <c r="Q641" s="39" t="str">
        <f>IF(AND($M641=$O$7,$B641&lt;'111'!$N$11),"x","")</f>
        <v/>
      </c>
      <c r="R641" s="39" t="str">
        <f>IF(ISERROR(FIND('112'!$M$9,G641,1)),"",IF((AND(FIND('112'!$M$9,G641,1)&gt;=1,$B641&gt;='112'!$N$8,$B641&lt;='112'!$O$8,OR($L641='112'!$I$6,$M641='112'!$I$6))),"x",""))</f>
        <v/>
      </c>
      <c r="S641" s="39" t="str">
        <f>IF(ISERROR(FIND('112'!$M$9,G641,1)),"",IF((AND(LEFT(G641,2)=LEFT('112'!$M$9,2),B641&lt;'112'!$N$8,$L641='112'!$I$6)),"x",""))</f>
        <v/>
      </c>
      <c r="T641" s="39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39" t="str">
        <f>IF(OR(TH!L641=TH!$V$7,M641=TH!$V$7),"x","")</f>
        <v/>
      </c>
      <c r="W641" s="39" t="str">
        <f>IF(AND(B641&gt;='IN-NX'!$P$3,B641&lt;='IN-NX'!$Q$3,'IN-NX'!$D$7=D641,OR(LEFT(L641,2)="15",AND(LEFT(M641,2)&lt;&gt;"15",LEFT(M641,2)&lt;&gt;"33"))),"x","")</f>
        <v/>
      </c>
      <c r="X641" s="39" t="str">
        <f>IF(AND(OR(LEFT(TH!L641,2)="15",LEFT(TH!M641,2)="15"),'152-CT'!$J$8=TH!F641),"x","")</f>
        <v/>
      </c>
      <c r="Y641" s="39" t="str">
        <f>IF(AND(OR(LEFT(TH!L641,2)="15",LEFT(TH!M641,2)="15"),TK!$E$7=TH!F641),"x","")</f>
        <v/>
      </c>
      <c r="Z641" s="39" t="str">
        <f>IF(AND(B641&lt;=NKC!$N$8,B641&gt;=NKC!$M$8),"x","")</f>
        <v/>
      </c>
      <c r="AA641" s="894"/>
      <c r="AB641" s="598" t="e">
        <f t="shared" si="28"/>
        <v>#N/A</v>
      </c>
      <c r="AC641" s="598"/>
    </row>
    <row r="642" spans="1:30" ht="15.75" customHeight="1">
      <c r="A642" s="199" t="str">
        <f>IF(B642&lt;&gt;"",IF(AND(B642&gt;=_TM1,B642&lt;=_TM2,OR(TH!L642="1111",TH!M642="1111")),TH!D642,""),"")</f>
        <v/>
      </c>
      <c r="B642" s="36">
        <f t="shared" si="29"/>
        <v>1</v>
      </c>
      <c r="C642" s="190">
        <f t="shared" si="30"/>
        <v>0</v>
      </c>
      <c r="D642" s="183"/>
      <c r="E642" s="190"/>
      <c r="F642" s="188"/>
      <c r="G642" s="491"/>
      <c r="H642" s="7"/>
      <c r="I642" s="253"/>
      <c r="J642" s="253"/>
      <c r="K642" s="38"/>
      <c r="L642" s="193"/>
      <c r="M642" s="193"/>
      <c r="N642" s="39" t="str">
        <f>IF(AND('331-CT'!$E$7=TH!H642,OR(L642="331",M642="331")),"331",IF(AND(OR(L642="131",M642="131"),H642='131-CT'!$E$7),"131",""))</f>
        <v/>
      </c>
      <c r="O642" s="39" t="str">
        <f>IF(AND($B642&gt;='111'!$N$11,$B642&lt;='111'!$O$11,OR($L642=$O$7,$M642=$O$7)),"x","")</f>
        <v/>
      </c>
      <c r="P642" s="39" t="str">
        <f>IF(AND($L642=$O$7,$B642&lt;'111'!$N$11),"x","")</f>
        <v/>
      </c>
      <c r="Q642" s="39" t="str">
        <f>IF(AND($M642=$O$7,$B642&lt;'111'!$N$11),"x","")</f>
        <v/>
      </c>
      <c r="R642" s="39" t="str">
        <f>IF(ISERROR(FIND('112'!$M$9,G642,1)),"",IF((AND(FIND('112'!$M$9,G642,1)&gt;=1,$B642&gt;='112'!$N$8,$B642&lt;='112'!$O$8,OR($L642='112'!$I$6,$M642='112'!$I$6))),"x",""))</f>
        <v/>
      </c>
      <c r="S642" s="39" t="str">
        <f>IF(ISERROR(FIND('112'!$M$9,G642,1)),"",IF((AND(LEFT(G642,2)=LEFT('112'!$M$9,2),B642&lt;'112'!$N$8,$L642='112'!$I$6)),"x",""))</f>
        <v/>
      </c>
      <c r="T642" s="39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39" t="str">
        <f>IF(OR(TH!L642=TH!$V$7,M642=TH!$V$7),"x","")</f>
        <v/>
      </c>
      <c r="W642" s="39" t="str">
        <f>IF(AND(B642&gt;='IN-NX'!$P$3,B642&lt;='IN-NX'!$Q$3,'IN-NX'!$D$7=D642,OR(LEFT(L642,2)="15",AND(LEFT(M642,2)&lt;&gt;"15",LEFT(M642,2)&lt;&gt;"33"))),"x","")</f>
        <v/>
      </c>
      <c r="X642" s="39" t="str">
        <f>IF(AND(OR(LEFT(TH!L642,2)="15",LEFT(TH!M642,2)="15"),'152-CT'!$J$8=TH!F642),"x","")</f>
        <v/>
      </c>
      <c r="Y642" s="39" t="str">
        <f>IF(AND(OR(LEFT(TH!L642,2)="15",LEFT(TH!M642,2)="15"),TK!$E$7=TH!F642),"x","")</f>
        <v/>
      </c>
      <c r="Z642" s="39" t="str">
        <f>IF(AND(B642&lt;=NKC!$N$8,B642&gt;=NKC!$M$8),"x","")</f>
        <v/>
      </c>
      <c r="AA642" s="894"/>
      <c r="AB642" s="598" t="e">
        <f t="shared" si="28"/>
        <v>#N/A</v>
      </c>
    </row>
    <row r="643" spans="1:30" ht="15.75" customHeight="1">
      <c r="A643" s="199" t="str">
        <f>IF(B643&lt;&gt;"",IF(AND(B643&gt;=_TM1,B643&lt;=_TM2,OR(TH!L643="1111",TH!M643="1111")),TH!D643,""),"")</f>
        <v/>
      </c>
      <c r="B643" s="36">
        <f t="shared" si="29"/>
        <v>1</v>
      </c>
      <c r="C643" s="190">
        <f t="shared" si="30"/>
        <v>0</v>
      </c>
      <c r="D643" s="183"/>
      <c r="E643" s="190"/>
      <c r="F643" s="188"/>
      <c r="G643" s="491"/>
      <c r="H643" s="7"/>
      <c r="I643" s="253"/>
      <c r="J643" s="253"/>
      <c r="K643" s="38"/>
      <c r="L643" s="193"/>
      <c r="M643" s="193"/>
      <c r="N643" s="39" t="str">
        <f>IF(AND('331-CT'!$E$7=TH!H643,OR(L643="331",M643="331")),"331",IF(AND(OR(L643="131",M643="131"),H643='131-CT'!$E$7),"131",""))</f>
        <v/>
      </c>
      <c r="O643" s="39" t="str">
        <f>IF(AND($B643&gt;='111'!$N$11,$B643&lt;='111'!$O$11,OR($L643=$O$7,$M643=$O$7)),"x","")</f>
        <v/>
      </c>
      <c r="P643" s="39" t="str">
        <f>IF(AND($L643=$O$7,$B643&lt;'111'!$N$11),"x","")</f>
        <v/>
      </c>
      <c r="Q643" s="39" t="str">
        <f>IF(AND($M643=$O$7,$B643&lt;'111'!$N$11),"x","")</f>
        <v/>
      </c>
      <c r="R643" s="39" t="str">
        <f>IF(ISERROR(FIND('112'!$M$9,G643,1)),"",IF((AND(FIND('112'!$M$9,G643,1)&gt;=1,$B643&gt;='112'!$N$8,$B643&lt;='112'!$O$8,OR($L643='112'!$I$6,$M643='112'!$I$6))),"x",""))</f>
        <v/>
      </c>
      <c r="S643" s="39" t="str">
        <f>IF(ISERROR(FIND('112'!$M$9,G643,1)),"",IF((AND(LEFT(G643,2)=LEFT('112'!$M$9,2),B643&lt;'112'!$N$8,$L643='112'!$I$6)),"x",""))</f>
        <v/>
      </c>
      <c r="T643" s="39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39" t="str">
        <f>IF(OR(TH!L643=TH!$V$7,M643=TH!$V$7),"x","")</f>
        <v/>
      </c>
      <c r="W643" s="39" t="str">
        <f>IF(AND(B643&gt;='IN-NX'!$P$3,B643&lt;='IN-NX'!$Q$3,'IN-NX'!$D$7=D643,OR(LEFT(L643,2)="15",AND(LEFT(M643,2)&lt;&gt;"15",LEFT(M643,2)&lt;&gt;"33"))),"x","")</f>
        <v/>
      </c>
      <c r="X643" s="39" t="str">
        <f>IF(AND(OR(LEFT(TH!L643,2)="15",LEFT(TH!M643,2)="15"),'152-CT'!$J$8=TH!F643),"x","")</f>
        <v/>
      </c>
      <c r="Y643" s="39" t="str">
        <f>IF(AND(OR(LEFT(TH!L643,2)="15",LEFT(TH!M643,2)="15"),TK!$E$7=TH!F643),"x","")</f>
        <v/>
      </c>
      <c r="Z643" s="39" t="str">
        <f>IF(AND(B643&lt;=NKC!$N$8,B643&gt;=NKC!$M$8),"x","")</f>
        <v/>
      </c>
      <c r="AA643" s="894"/>
      <c r="AB643" s="598" t="e">
        <f t="shared" si="28"/>
        <v>#N/A</v>
      </c>
      <c r="AC643" s="598"/>
    </row>
    <row r="644" spans="1:30" ht="15.75" customHeight="1">
      <c r="A644" s="199" t="str">
        <f>IF(B644&lt;&gt;"",IF(AND(B644&gt;=_TM1,B644&lt;=_TM2,OR(TH!L644="1111",TH!M644="1111")),TH!D644,""),"")</f>
        <v/>
      </c>
      <c r="B644" s="36">
        <f t="shared" si="29"/>
        <v>1</v>
      </c>
      <c r="C644" s="190">
        <f t="shared" si="30"/>
        <v>0</v>
      </c>
      <c r="D644" s="183"/>
      <c r="E644" s="190"/>
      <c r="F644" s="188"/>
      <c r="G644" s="491"/>
      <c r="H644" s="7"/>
      <c r="I644" s="844"/>
      <c r="J644" s="253"/>
      <c r="K644" s="606"/>
      <c r="L644" s="193"/>
      <c r="M644" s="193"/>
      <c r="N644" s="39" t="str">
        <f>IF(AND('331-CT'!$E$7=TH!H644,OR(L644="331",M644="331")),"331",IF(AND(OR(L644="131",M644="131"),H644='131-CT'!$E$7),"131",""))</f>
        <v/>
      </c>
      <c r="O644" s="39" t="str">
        <f>IF(AND($B644&gt;='111'!$N$11,$B644&lt;='111'!$O$11,OR($L644=$O$7,$M644=$O$7)),"x","")</f>
        <v/>
      </c>
      <c r="P644" s="39" t="str">
        <f>IF(AND($L644=$O$7,$B644&lt;'111'!$N$11),"x","")</f>
        <v/>
      </c>
      <c r="Q644" s="39" t="str">
        <f>IF(AND($M644=$O$7,$B644&lt;'111'!$N$11),"x","")</f>
        <v/>
      </c>
      <c r="R644" s="39" t="str">
        <f>IF(ISERROR(FIND('112'!$M$9,G644,1)),"",IF((AND(FIND('112'!$M$9,G644,1)&gt;=1,$B644&gt;='112'!$N$8,$B644&lt;='112'!$O$8,OR($L644='112'!$I$6,$M644='112'!$I$6))),"x",""))</f>
        <v/>
      </c>
      <c r="S644" s="39" t="str">
        <f>IF(ISERROR(FIND('112'!$M$9,G644,1)),"",IF((AND(LEFT(G644,2)=LEFT('112'!$M$9,2),B644&lt;'112'!$N$8,$L644='112'!$I$6)),"x",""))</f>
        <v/>
      </c>
      <c r="T644" s="39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39" t="str">
        <f>IF(OR(TH!L644=TH!$V$7,M644=TH!$V$7),"x","")</f>
        <v/>
      </c>
      <c r="W644" s="39" t="str">
        <f>IF(AND(B644&gt;='IN-NX'!$P$3,B644&lt;='IN-NX'!$Q$3,'IN-NX'!$D$7=D644,OR(LEFT(L644,2)="15",AND(LEFT(M644,2)&lt;&gt;"15",LEFT(M644,2)&lt;&gt;"33"))),"x","")</f>
        <v/>
      </c>
      <c r="X644" s="39" t="str">
        <f>IF(AND(OR(LEFT(TH!L644,2)="15",LEFT(TH!M644,2)="15"),'152-CT'!$J$8=TH!F644),"x","")</f>
        <v/>
      </c>
      <c r="Y644" s="39" t="str">
        <f>IF(AND(OR(LEFT(TH!L644,2)="15",LEFT(TH!M644,2)="15"),TK!$E$7=TH!F644),"x","")</f>
        <v/>
      </c>
      <c r="Z644" s="39" t="str">
        <f>IF(AND(B644&lt;=NKC!$N$8,B644&gt;=NKC!$M$8),"x","")</f>
        <v/>
      </c>
      <c r="AA644" s="894"/>
      <c r="AB644" s="598" t="e">
        <f t="shared" si="28"/>
        <v>#N/A</v>
      </c>
    </row>
    <row r="645" spans="1:30" ht="15.75" customHeight="1">
      <c r="A645" s="199" t="str">
        <f>IF(B645&lt;&gt;"",IF(AND(B645&gt;=_TM1,B645&lt;=_TM2,OR(TH!L645="1111",TH!M645="1111")),TH!D645,""),"")</f>
        <v/>
      </c>
      <c r="B645" s="36">
        <f t="shared" si="29"/>
        <v>1</v>
      </c>
      <c r="C645" s="190">
        <f t="shared" si="30"/>
        <v>0</v>
      </c>
      <c r="D645" s="183"/>
      <c r="E645" s="190"/>
      <c r="F645" s="188"/>
      <c r="G645" s="491"/>
      <c r="H645" s="7"/>
      <c r="I645" s="253"/>
      <c r="J645" s="253"/>
      <c r="K645" s="38"/>
      <c r="L645" s="193"/>
      <c r="M645" s="193"/>
      <c r="N645" s="39" t="str">
        <f>IF(AND('331-CT'!$E$7=TH!H645,OR(L645="331",M645="331")),"331",IF(AND(OR(L645="131",M645="131"),H645='131-CT'!$E$7),"131",""))</f>
        <v/>
      </c>
      <c r="O645" s="39" t="str">
        <f>IF(AND($B645&gt;='111'!$N$11,$B645&lt;='111'!$O$11,OR($L645=$O$7,$M645=$O$7)),"x","")</f>
        <v/>
      </c>
      <c r="P645" s="39" t="str">
        <f>IF(AND($L645=$O$7,$B645&lt;'111'!$N$11),"x","")</f>
        <v/>
      </c>
      <c r="Q645" s="39" t="str">
        <f>IF(AND($M645=$O$7,$B645&lt;'111'!$N$11),"x","")</f>
        <v/>
      </c>
      <c r="R645" s="39" t="str">
        <f>IF(ISERROR(FIND('112'!$M$9,G645,1)),"",IF((AND(FIND('112'!$M$9,G645,1)&gt;=1,$B645&gt;='112'!$N$8,$B645&lt;='112'!$O$8,OR($L645='112'!$I$6,$M645='112'!$I$6))),"x",""))</f>
        <v/>
      </c>
      <c r="S645" s="39" t="str">
        <f>IF(ISERROR(FIND('112'!$M$9,G645,1)),"",IF((AND(LEFT(G645,2)=LEFT('112'!$M$9,2),B645&lt;'112'!$N$8,$L645='112'!$I$6)),"x",""))</f>
        <v/>
      </c>
      <c r="T645" s="39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39" t="str">
        <f>IF(OR(TH!L645=TH!$V$7,M645=TH!$V$7),"x","")</f>
        <v/>
      </c>
      <c r="W645" s="39" t="str">
        <f>IF(AND(B645&gt;='IN-NX'!$P$3,B645&lt;='IN-NX'!$Q$3,'IN-NX'!$D$7=D645,OR(LEFT(L645,2)="15",AND(LEFT(M645,2)&lt;&gt;"15",LEFT(M645,2)&lt;&gt;"33"))),"x","")</f>
        <v/>
      </c>
      <c r="X645" s="39" t="str">
        <f>IF(AND(OR(LEFT(TH!L645,2)="15",LEFT(TH!M645,2)="15"),'152-CT'!$J$8=TH!F645),"x","")</f>
        <v/>
      </c>
      <c r="Y645" s="39" t="str">
        <f>IF(AND(OR(LEFT(TH!L645,2)="15",LEFT(TH!M645,2)="15"),TK!$E$7=TH!F645),"x","")</f>
        <v/>
      </c>
      <c r="Z645" s="39" t="str">
        <f>IF(AND(B645&lt;=NKC!$N$8,B645&gt;=NKC!$M$8),"x","")</f>
        <v/>
      </c>
      <c r="AA645" s="894"/>
      <c r="AB645" s="598" t="e">
        <f t="shared" si="28"/>
        <v>#N/A</v>
      </c>
    </row>
    <row r="646" spans="1:30" ht="15.75" customHeight="1">
      <c r="A646" s="199" t="str">
        <f>IF(B646&lt;&gt;"",IF(AND(B646&gt;=_TM1,B646&lt;=_TM2,OR(TH!L646="1111",TH!M646="1111")),TH!D646,""),"")</f>
        <v/>
      </c>
      <c r="B646" s="36">
        <f t="shared" si="29"/>
        <v>1</v>
      </c>
      <c r="C646" s="190">
        <f t="shared" si="30"/>
        <v>0</v>
      </c>
      <c r="D646" s="183"/>
      <c r="E646" s="190"/>
      <c r="F646" s="40"/>
      <c r="G646" s="491"/>
      <c r="H646" s="7"/>
      <c r="I646" s="253"/>
      <c r="J646" s="253"/>
      <c r="K646" s="38"/>
      <c r="L646" s="193"/>
      <c r="M646" s="193"/>
      <c r="N646" s="39" t="str">
        <f>IF(AND('331-CT'!$E$7=TH!H646,OR(L646="331",M646="331")),"331",IF(AND(OR(L646="131",M646="131"),H646='131-CT'!$E$7),"131",""))</f>
        <v/>
      </c>
      <c r="O646" s="39" t="str">
        <f>IF(AND($B646&gt;='111'!$N$11,$B646&lt;='111'!$O$11,OR($L646=$O$7,$M646=$O$7)),"x","")</f>
        <v/>
      </c>
      <c r="P646" s="39" t="str">
        <f>IF(AND($L646=$O$7,$B646&lt;'111'!$N$11),"x","")</f>
        <v/>
      </c>
      <c r="Q646" s="39" t="str">
        <f>IF(AND($M646=$O$7,$B646&lt;'111'!$N$11),"x","")</f>
        <v/>
      </c>
      <c r="R646" s="39" t="str">
        <f>IF(ISERROR(FIND('112'!$M$9,G646,1)),"",IF((AND(FIND('112'!$M$9,G646,1)&gt;=1,$B646&gt;='112'!$N$8,$B646&lt;='112'!$O$8,OR($L646='112'!$I$6,$M646='112'!$I$6))),"x",""))</f>
        <v/>
      </c>
      <c r="S646" s="39" t="str">
        <f>IF(ISERROR(FIND('112'!$M$9,G646,1)),"",IF((AND(LEFT(G646,2)=LEFT('112'!$M$9,2),B646&lt;'112'!$N$8,$L646='112'!$I$6)),"x",""))</f>
        <v/>
      </c>
      <c r="T646" s="39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39" t="str">
        <f>IF(OR(TH!L646=TH!$V$7,M646=TH!$V$7),"x","")</f>
        <v/>
      </c>
      <c r="W646" s="39" t="str">
        <f>IF(AND(B646&gt;='IN-NX'!$P$3,B646&lt;='IN-NX'!$Q$3,'IN-NX'!$D$7=D646,OR(LEFT(L646,2)="15",AND(LEFT(M646,2)&lt;&gt;"15",LEFT(M646,2)&lt;&gt;"33"))),"x","")</f>
        <v/>
      </c>
      <c r="X646" s="39" t="str">
        <f>IF(AND(OR(LEFT(TH!L646,2)="15",LEFT(TH!M646,2)="15"),'152-CT'!$J$8=TH!F646),"x","")</f>
        <v/>
      </c>
      <c r="Y646" s="39" t="str">
        <f>IF(AND(OR(LEFT(TH!L646,2)="15",LEFT(TH!M646,2)="15"),TK!$E$7=TH!F646),"x","")</f>
        <v/>
      </c>
      <c r="Z646" s="39" t="str">
        <f>IF(AND(B646&lt;=NKC!$N$8,B646&gt;=NKC!$M$8),"x","")</f>
        <v/>
      </c>
      <c r="AA646" s="894"/>
      <c r="AB646" s="598" t="e">
        <f t="shared" si="28"/>
        <v>#N/A</v>
      </c>
    </row>
    <row r="647" spans="1:30" ht="15.75" customHeight="1">
      <c r="A647" s="199" t="str">
        <f>IF(B647&lt;&gt;"",IF(AND(B647&gt;=_TM1,B647&lt;=_TM2,OR(TH!L647="1111",TH!M647="1111")),TH!D647,""),"")</f>
        <v/>
      </c>
      <c r="B647" s="36">
        <f t="shared" si="29"/>
        <v>1</v>
      </c>
      <c r="C647" s="190">
        <f t="shared" si="30"/>
        <v>0</v>
      </c>
      <c r="D647" s="183"/>
      <c r="E647" s="190"/>
      <c r="F647" s="40"/>
      <c r="G647" s="491"/>
      <c r="H647" s="7"/>
      <c r="I647" s="253"/>
      <c r="J647" s="253"/>
      <c r="K647" s="606"/>
      <c r="L647" s="193"/>
      <c r="M647" s="193"/>
      <c r="N647" s="39" t="str">
        <f>IF(AND('331-CT'!$E$7=TH!H647,OR(L647="331",M647="331")),"331",IF(AND(OR(L647="131",M647="131"),H647='131-CT'!$E$7),"131",""))</f>
        <v/>
      </c>
      <c r="O647" s="39" t="str">
        <f>IF(AND($B647&gt;='111'!$N$11,$B647&lt;='111'!$O$11,OR($L647=$O$7,$M647=$O$7)),"x","")</f>
        <v/>
      </c>
      <c r="P647" s="39" t="str">
        <f>IF(AND($L647=$O$7,$B647&lt;'111'!$N$11),"x","")</f>
        <v/>
      </c>
      <c r="Q647" s="39" t="str">
        <f>IF(AND($M647=$O$7,$B647&lt;'111'!$N$11),"x","")</f>
        <v/>
      </c>
      <c r="R647" s="39" t="str">
        <f>IF(ISERROR(FIND('112'!$M$9,G647,1)),"",IF((AND(FIND('112'!$M$9,G647,1)&gt;=1,$B647&gt;='112'!$N$8,$B647&lt;='112'!$O$8,OR($L647='112'!$I$6,$M647='112'!$I$6))),"x",""))</f>
        <v/>
      </c>
      <c r="S647" s="39" t="str">
        <f>IF(ISERROR(FIND('112'!$M$9,G647,1)),"",IF((AND(LEFT(G647,2)=LEFT('112'!$M$9,2),B647&lt;'112'!$N$8,$L647='112'!$I$6)),"x",""))</f>
        <v/>
      </c>
      <c r="T647" s="39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39" t="str">
        <f>IF(OR(TH!L647=TH!$V$7,M647=TH!$V$7),"x","")</f>
        <v/>
      </c>
      <c r="W647" s="39" t="str">
        <f>IF(AND(B647&gt;='IN-NX'!$P$3,B647&lt;='IN-NX'!$Q$3,'IN-NX'!$D$7=D647,OR(LEFT(L647,2)="15",AND(LEFT(M647,2)&lt;&gt;"15",LEFT(M647,2)&lt;&gt;"33"))),"x","")</f>
        <v/>
      </c>
      <c r="X647" s="39" t="str">
        <f>IF(AND(OR(LEFT(TH!L647,2)="15",LEFT(TH!M647,2)="15"),'152-CT'!$J$8=TH!F647),"x","")</f>
        <v/>
      </c>
      <c r="Y647" s="39" t="str">
        <f>IF(AND(OR(LEFT(TH!L647,2)="15",LEFT(TH!M647,2)="15"),TK!$E$7=TH!F647),"x","")</f>
        <v/>
      </c>
      <c r="Z647" s="39" t="str">
        <f>IF(AND(B647&lt;=NKC!$N$8,B647&gt;=NKC!$M$8),"x","")</f>
        <v/>
      </c>
      <c r="AA647" s="894"/>
      <c r="AB647" s="598" t="e">
        <f t="shared" si="28"/>
        <v>#N/A</v>
      </c>
    </row>
    <row r="648" spans="1:30" ht="15.75" customHeight="1">
      <c r="A648" s="199" t="str">
        <f>IF(B648&lt;&gt;"",IF(AND(B648&gt;=_TM1,B648&lt;=_TM2,OR(TH!L648="1111",TH!M648="1111")),TH!D648,""),"")</f>
        <v/>
      </c>
      <c r="B648" s="36">
        <f t="shared" si="29"/>
        <v>1</v>
      </c>
      <c r="C648" s="190">
        <f t="shared" si="30"/>
        <v>0</v>
      </c>
      <c r="D648" s="183"/>
      <c r="E648" s="190"/>
      <c r="F648" s="188"/>
      <c r="G648" s="491"/>
      <c r="H648" s="7"/>
      <c r="I648" s="821"/>
      <c r="J648" s="253"/>
      <c r="K648" s="38"/>
      <c r="L648" s="193"/>
      <c r="M648" s="193"/>
      <c r="N648" s="39" t="str">
        <f>IF(AND('331-CT'!$E$7=TH!H648,OR(L648="331",M648="331")),"331",IF(AND(OR(L648="131",M648="131"),H648='131-CT'!$E$7),"131",""))</f>
        <v/>
      </c>
      <c r="O648" s="39" t="str">
        <f>IF(AND($B648&gt;='111'!$N$11,$B648&lt;='111'!$O$11,OR($L648=$O$7,$M648=$O$7)),"x","")</f>
        <v/>
      </c>
      <c r="P648" s="39" t="str">
        <f>IF(AND($L648=$O$7,$B648&lt;'111'!$N$11),"x","")</f>
        <v/>
      </c>
      <c r="Q648" s="39" t="str">
        <f>IF(AND($M648=$O$7,$B648&lt;'111'!$N$11),"x","")</f>
        <v/>
      </c>
      <c r="R648" s="39" t="str">
        <f>IF(ISERROR(FIND('112'!$M$9,G648,1)),"",IF((AND(FIND('112'!$M$9,G648,1)&gt;=1,$B648&gt;='112'!$N$8,$B648&lt;='112'!$O$8,OR($L648='112'!$I$6,$M648='112'!$I$6))),"x",""))</f>
        <v/>
      </c>
      <c r="S648" s="39" t="str">
        <f>IF(ISERROR(FIND('112'!$M$9,G648,1)),"",IF((AND(LEFT(G648,2)=LEFT('112'!$M$9,2),B648&lt;'112'!$N$8,$L648='112'!$I$6)),"x",""))</f>
        <v/>
      </c>
      <c r="T648" s="39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39" t="str">
        <f>IF(OR(TH!L648=TH!$V$7,M648=TH!$V$7),"x","")</f>
        <v/>
      </c>
      <c r="W648" s="39" t="str">
        <f>IF(AND(B648&gt;='IN-NX'!$P$3,B648&lt;='IN-NX'!$Q$3,'IN-NX'!$D$7=D648,OR(LEFT(L648,2)="15",AND(LEFT(M648,2)&lt;&gt;"15",LEFT(M648,2)&lt;&gt;"33"))),"x","")</f>
        <v/>
      </c>
      <c r="X648" s="39" t="str">
        <f>IF(AND(OR(LEFT(TH!L648,2)="15",LEFT(TH!M648,2)="15"),'152-CT'!$J$8=TH!F648),"x","")</f>
        <v/>
      </c>
      <c r="Y648" s="39" t="str">
        <f>IF(AND(OR(LEFT(TH!L648,2)="15",LEFT(TH!M648,2)="15"),TK!$E$7=TH!F648),"x","")</f>
        <v/>
      </c>
      <c r="Z648" s="39" t="str">
        <f>IF(AND(B648&lt;=NKC!$N$8,B648&gt;=NKC!$M$8),"x","")</f>
        <v/>
      </c>
      <c r="AA648" s="894"/>
      <c r="AB648" s="598" t="e">
        <f t="shared" si="28"/>
        <v>#N/A</v>
      </c>
    </row>
    <row r="649" spans="1:30" ht="15.75" customHeight="1">
      <c r="A649" s="199" t="str">
        <f>IF(B649&lt;&gt;"",IF(AND(B649&gt;=_TM1,B649&lt;=_TM2,OR(TH!L649="1111",TH!M649="1111")),TH!D649,""),"")</f>
        <v/>
      </c>
      <c r="B649" s="36">
        <f t="shared" si="29"/>
        <v>1</v>
      </c>
      <c r="C649" s="190">
        <f t="shared" si="30"/>
        <v>0</v>
      </c>
      <c r="D649" s="183"/>
      <c r="E649" s="190"/>
      <c r="F649" s="293"/>
      <c r="G649" s="491"/>
      <c r="H649" s="7"/>
      <c r="I649" s="253"/>
      <c r="J649" s="253"/>
      <c r="K649" s="38"/>
      <c r="L649" s="193"/>
      <c r="M649" s="193"/>
      <c r="N649" s="39" t="str">
        <f>IF(AND('331-CT'!$E$7=TH!H649,OR(L649="331",M649="331")),"331",IF(AND(OR(L649="131",M649="131"),H649='131-CT'!$E$7),"131",""))</f>
        <v/>
      </c>
      <c r="O649" s="39" t="str">
        <f>IF(AND($B649&gt;='111'!$N$11,$B649&lt;='111'!$O$11,OR($L649=$O$7,$M649=$O$7)),"x","")</f>
        <v/>
      </c>
      <c r="P649" s="39" t="str">
        <f>IF(AND($L649=$O$7,$B649&lt;'111'!$N$11),"x","")</f>
        <v/>
      </c>
      <c r="Q649" s="39" t="str">
        <f>IF(AND($M649=$O$7,$B649&lt;'111'!$N$11),"x","")</f>
        <v/>
      </c>
      <c r="R649" s="39" t="str">
        <f>IF(ISERROR(FIND('112'!$M$9,G649,1)),"",IF((AND(FIND('112'!$M$9,G649,1)&gt;=1,$B649&gt;='112'!$N$8,$B649&lt;='112'!$O$8,OR($L649='112'!$I$6,$M649='112'!$I$6))),"x",""))</f>
        <v/>
      </c>
      <c r="S649" s="39" t="str">
        <f>IF(ISERROR(FIND('112'!$M$9,G649,1)),"",IF((AND(LEFT(G649,2)=LEFT('112'!$M$9,2),B649&lt;'112'!$N$8,$L649='112'!$I$6)),"x",""))</f>
        <v/>
      </c>
      <c r="T649" s="39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39" t="str">
        <f>IF(OR(TH!L649=TH!$V$7,M649=TH!$V$7),"x","")</f>
        <v/>
      </c>
      <c r="W649" s="39" t="str">
        <f>IF(AND(B649&gt;='IN-NX'!$P$3,B649&lt;='IN-NX'!$Q$3,'IN-NX'!$D$7=D649,OR(LEFT(L649,2)="15",AND(LEFT(M649,2)&lt;&gt;"15",LEFT(M649,2)&lt;&gt;"33"))),"x","")</f>
        <v/>
      </c>
      <c r="X649" s="39" t="str">
        <f>IF(AND(OR(LEFT(TH!L649,2)="15",LEFT(TH!M649,2)="15"),'152-CT'!$J$8=TH!F649),"x","")</f>
        <v/>
      </c>
      <c r="Y649" s="39" t="str">
        <f>IF(AND(OR(LEFT(TH!L649,2)="15",LEFT(TH!M649,2)="15"),TK!$E$7=TH!F649),"x","")</f>
        <v/>
      </c>
      <c r="Z649" s="39" t="str">
        <f>IF(AND(B649&lt;=NKC!$N$8,B649&gt;=NKC!$M$8),"x","")</f>
        <v/>
      </c>
      <c r="AA649" s="894"/>
      <c r="AB649" s="598" t="e">
        <f t="shared" si="28"/>
        <v>#N/A</v>
      </c>
    </row>
    <row r="650" spans="1:30" ht="15.75" customHeight="1">
      <c r="A650" s="199" t="str">
        <f>IF(B650&lt;&gt;"",IF(AND(B650&gt;=_TM1,B650&lt;=_TM2,OR(TH!L650="1111",TH!M650="1111")),TH!D650,""),"")</f>
        <v/>
      </c>
      <c r="B650" s="36">
        <f t="shared" si="29"/>
        <v>1</v>
      </c>
      <c r="C650" s="190">
        <f t="shared" si="30"/>
        <v>0</v>
      </c>
      <c r="D650" s="183"/>
      <c r="E650" s="190"/>
      <c r="F650" s="188"/>
      <c r="G650" s="491"/>
      <c r="H650" s="7"/>
      <c r="I650" s="821"/>
      <c r="J650" s="253"/>
      <c r="K650" s="606"/>
      <c r="L650" s="193"/>
      <c r="M650" s="193"/>
      <c r="N650" s="39" t="str">
        <f>IF(AND('331-CT'!$E$7=TH!H650,OR(L650="331",M650="331")),"331",IF(AND(OR(L650="131",M650="131"),H650='131-CT'!$E$7),"131",""))</f>
        <v/>
      </c>
      <c r="O650" s="39" t="str">
        <f>IF(AND($B650&gt;='111'!$N$11,$B650&lt;='111'!$O$11,OR($L650=$O$7,$M650=$O$7)),"x","")</f>
        <v/>
      </c>
      <c r="P650" s="39" t="str">
        <f>IF(AND($L650=$O$7,$B650&lt;'111'!$N$11),"x","")</f>
        <v/>
      </c>
      <c r="Q650" s="39" t="str">
        <f>IF(AND($M650=$O$7,$B650&lt;'111'!$N$11),"x","")</f>
        <v/>
      </c>
      <c r="R650" s="39" t="str">
        <f>IF(ISERROR(FIND('112'!$M$9,G650,1)),"",IF((AND(FIND('112'!$M$9,G650,1)&gt;=1,$B650&gt;='112'!$N$8,$B650&lt;='112'!$O$8,OR($L650='112'!$I$6,$M650='112'!$I$6))),"x",""))</f>
        <v/>
      </c>
      <c r="S650" s="39" t="str">
        <f>IF(ISERROR(FIND('112'!$M$9,G650,1)),"",IF((AND(LEFT(G650,2)=LEFT('112'!$M$9,2),B650&lt;'112'!$N$8,$L650='112'!$I$6)),"x",""))</f>
        <v/>
      </c>
      <c r="T650" s="39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39" t="str">
        <f>IF(OR(TH!L650=TH!$V$7,M650=TH!$V$7),"x","")</f>
        <v/>
      </c>
      <c r="W650" s="39" t="str">
        <f>IF(AND(B650&gt;='IN-NX'!$P$3,B650&lt;='IN-NX'!$Q$3,'IN-NX'!$D$7=D650,OR(LEFT(L650,2)="15",AND(LEFT(M650,2)&lt;&gt;"15",LEFT(M650,2)&lt;&gt;"33"))),"x","")</f>
        <v/>
      </c>
      <c r="X650" s="39" t="str">
        <f>IF(AND(OR(LEFT(TH!L650,2)="15",LEFT(TH!M650,2)="15"),'152-CT'!$J$8=TH!F650),"x","")</f>
        <v/>
      </c>
      <c r="Y650" s="39" t="str">
        <f>IF(AND(OR(LEFT(TH!L650,2)="15",LEFT(TH!M650,2)="15"),TK!$E$7=TH!F650),"x","")</f>
        <v/>
      </c>
      <c r="Z650" s="39" t="str">
        <f>IF(AND(B650&lt;=NKC!$N$8,B650&gt;=NKC!$M$8),"x","")</f>
        <v/>
      </c>
      <c r="AA650" s="894"/>
      <c r="AB650" s="598" t="e">
        <f t="shared" si="28"/>
        <v>#N/A</v>
      </c>
    </row>
    <row r="651" spans="1:30" ht="15.75" customHeight="1">
      <c r="A651" s="199" t="str">
        <f>IF(B651&lt;&gt;"",IF(AND(B651&gt;=_TM1,B651&lt;=_TM2,OR(TH!L651="1111",TH!M651="1111")),TH!D651,""),"")</f>
        <v/>
      </c>
      <c r="B651" s="36">
        <f t="shared" si="29"/>
        <v>1</v>
      </c>
      <c r="C651" s="190">
        <f t="shared" si="30"/>
        <v>0</v>
      </c>
      <c r="D651" s="183"/>
      <c r="E651" s="190"/>
      <c r="F651" s="188"/>
      <c r="G651" s="491"/>
      <c r="H651" s="7"/>
      <c r="I651" s="253"/>
      <c r="J651" s="253"/>
      <c r="K651" s="38"/>
      <c r="L651" s="193"/>
      <c r="M651" s="193"/>
      <c r="N651" s="39" t="str">
        <f>IF(AND('331-CT'!$E$7=TH!H651,OR(L651="331",M651="331")),"331",IF(AND(OR(L651="131",M651="131"),H651='131-CT'!$E$7),"131",""))</f>
        <v/>
      </c>
      <c r="O651" s="39" t="str">
        <f>IF(AND($B651&gt;='111'!$N$11,$B651&lt;='111'!$O$11,OR($L651=$O$7,$M651=$O$7)),"x","")</f>
        <v/>
      </c>
      <c r="P651" s="39" t="str">
        <f>IF(AND($L651=$O$7,$B651&lt;'111'!$N$11),"x","")</f>
        <v/>
      </c>
      <c r="Q651" s="39" t="str">
        <f>IF(AND($M651=$O$7,$B651&lt;'111'!$N$11),"x","")</f>
        <v/>
      </c>
      <c r="R651" s="39" t="str">
        <f>IF(ISERROR(FIND('112'!$M$9,G651,1)),"",IF((AND(FIND('112'!$M$9,G651,1)&gt;=1,$B651&gt;='112'!$N$8,$B651&lt;='112'!$O$8,OR($L651='112'!$I$6,$M651='112'!$I$6))),"x",""))</f>
        <v/>
      </c>
      <c r="S651" s="39" t="str">
        <f>IF(ISERROR(FIND('112'!$M$9,G651,1)),"",IF((AND(LEFT(G651,2)=LEFT('112'!$M$9,2),B651&lt;'112'!$N$8,$L651='112'!$I$6)),"x",""))</f>
        <v/>
      </c>
      <c r="T651" s="39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39" t="str">
        <f>IF(OR(TH!L651=TH!$V$7,M651=TH!$V$7),"x","")</f>
        <v/>
      </c>
      <c r="W651" s="39" t="str">
        <f>IF(AND(B651&gt;='IN-NX'!$P$3,B651&lt;='IN-NX'!$Q$3,'IN-NX'!$D$7=D651,OR(LEFT(L651,2)="15",AND(LEFT(M651,2)&lt;&gt;"15",LEFT(M651,2)&lt;&gt;"33"))),"x","")</f>
        <v/>
      </c>
      <c r="X651" s="39" t="str">
        <f>IF(AND(OR(LEFT(TH!L651,2)="15",LEFT(TH!M651,2)="15"),'152-CT'!$J$8=TH!F651),"x","")</f>
        <v/>
      </c>
      <c r="Y651" s="39" t="str">
        <f>IF(AND(OR(LEFT(TH!L651,2)="15",LEFT(TH!M651,2)="15"),TK!$E$7=TH!F651),"x","")</f>
        <v/>
      </c>
      <c r="Z651" s="39" t="str">
        <f>IF(AND(B651&lt;=NKC!$N$8,B651&gt;=NKC!$M$8),"x","")</f>
        <v/>
      </c>
      <c r="AA651" s="894"/>
      <c r="AB651" s="598" t="e">
        <f t="shared" si="28"/>
        <v>#N/A</v>
      </c>
    </row>
    <row r="652" spans="1:30" ht="15.75" customHeight="1">
      <c r="A652" s="199" t="str">
        <f>IF(B652&lt;&gt;"",IF(AND(B652&gt;=_TM1,B652&lt;=_TM2,OR(TH!L652="1111",TH!M652="1111")),TH!D652,""),"")</f>
        <v/>
      </c>
      <c r="B652" s="36">
        <f t="shared" si="29"/>
        <v>1</v>
      </c>
      <c r="C652" s="190">
        <f t="shared" si="30"/>
        <v>0</v>
      </c>
      <c r="D652" s="183"/>
      <c r="E652" s="190"/>
      <c r="F652" s="188"/>
      <c r="G652" s="491"/>
      <c r="H652" s="7"/>
      <c r="I652" s="253"/>
      <c r="J652" s="253"/>
      <c r="K652" s="38"/>
      <c r="L652" s="193"/>
      <c r="M652" s="193"/>
      <c r="N652" s="39" t="str">
        <f>IF(AND('331-CT'!$E$7=TH!H652,OR(L652="331",M652="331")),"331",IF(AND(OR(L652="131",M652="131"),H652='131-CT'!$E$7),"131",""))</f>
        <v/>
      </c>
      <c r="O652" s="39" t="str">
        <f>IF(AND($B652&gt;='111'!$N$11,$B652&lt;='111'!$O$11,OR($L652=$O$7,$M652=$O$7)),"x","")</f>
        <v/>
      </c>
      <c r="P652" s="39" t="str">
        <f>IF(AND($L652=$O$7,$B652&lt;'111'!$N$11),"x","")</f>
        <v/>
      </c>
      <c r="Q652" s="39" t="str">
        <f>IF(AND($M652=$O$7,$B652&lt;'111'!$N$11),"x","")</f>
        <v/>
      </c>
      <c r="R652" s="39" t="str">
        <f>IF(ISERROR(FIND('112'!$M$9,G652,1)),"",IF((AND(FIND('112'!$M$9,G652,1)&gt;=1,$B652&gt;='112'!$N$8,$B652&lt;='112'!$O$8,OR($L652='112'!$I$6,$M652='112'!$I$6))),"x",""))</f>
        <v/>
      </c>
      <c r="S652" s="39" t="str">
        <f>IF(ISERROR(FIND('112'!$M$9,G652,1)),"",IF((AND(LEFT(G652,2)=LEFT('112'!$M$9,2),B652&lt;'112'!$N$8,$L652='112'!$I$6)),"x",""))</f>
        <v/>
      </c>
      <c r="T652" s="39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39" t="str">
        <f>IF(OR(TH!L652=TH!$V$7,M652=TH!$V$7),"x","")</f>
        <v/>
      </c>
      <c r="W652" s="39" t="str">
        <f>IF(AND(B652&gt;='IN-NX'!$P$3,B652&lt;='IN-NX'!$Q$3,'IN-NX'!$D$7=D652,OR(LEFT(L652,2)="15",AND(LEFT(M652,2)&lt;&gt;"15",LEFT(M652,2)&lt;&gt;"33"))),"x","")</f>
        <v/>
      </c>
      <c r="X652" s="39" t="str">
        <f>IF(AND(OR(LEFT(TH!L652,2)="15",LEFT(TH!M652,2)="15"),'152-CT'!$J$8=TH!F652),"x","")</f>
        <v/>
      </c>
      <c r="Y652" s="39" t="str">
        <f>IF(AND(OR(LEFT(TH!L652,2)="15",LEFT(TH!M652,2)="15"),TK!$E$7=TH!F652),"x","")</f>
        <v/>
      </c>
      <c r="Z652" s="39" t="str">
        <f>IF(AND(B652&lt;=NKC!$N$8,B652&gt;=NKC!$M$8),"x","")</f>
        <v/>
      </c>
      <c r="AA652" s="894"/>
      <c r="AB652" s="598" t="e">
        <f t="shared" ref="AB652:AB715" si="31">IF(VLOOKUP(H652,DS_131,1,0)&lt;&gt;"","","x")</f>
        <v>#N/A</v>
      </c>
    </row>
    <row r="653" spans="1:30" ht="15.75" customHeight="1">
      <c r="A653" s="199" t="str">
        <f>IF(B653&lt;&gt;"",IF(AND(B653&gt;=_TM1,B653&lt;=_TM2,OR(TH!L653="1111",TH!M653="1111")),TH!D653,""),"")</f>
        <v/>
      </c>
      <c r="B653" s="36">
        <f t="shared" si="29"/>
        <v>1</v>
      </c>
      <c r="C653" s="190">
        <f t="shared" si="30"/>
        <v>0</v>
      </c>
      <c r="D653" s="183"/>
      <c r="E653" s="183"/>
      <c r="F653" s="188"/>
      <c r="G653" s="608"/>
      <c r="H653" s="192"/>
      <c r="I653" s="253"/>
      <c r="J653" s="253"/>
      <c r="K653" s="606"/>
      <c r="L653" s="193"/>
      <c r="M653" s="193"/>
      <c r="N653" s="39" t="str">
        <f>IF(AND('331-CT'!$E$7=TH!H653,OR(L653="331",M653="331")),"331",IF(AND(OR(L653="131",M653="131"),H653='131-CT'!$E$7),"131",""))</f>
        <v/>
      </c>
      <c r="O653" s="39" t="str">
        <f>IF(AND($B653&gt;='111'!$N$11,$B653&lt;='111'!$O$11,OR($L653=$O$7,$M653=$O$7)),"x","")</f>
        <v/>
      </c>
      <c r="P653" s="39" t="str">
        <f>IF(AND($L653=$O$7,$B653&lt;'111'!$N$11),"x","")</f>
        <v/>
      </c>
      <c r="Q653" s="39" t="str">
        <f>IF(AND($M653=$O$7,$B653&lt;'111'!$N$11),"x","")</f>
        <v/>
      </c>
      <c r="R653" s="39" t="str">
        <f>IF(ISERROR(FIND('112'!$M$9,G653,1)),"",IF((AND(FIND('112'!$M$9,G653,1)&gt;=1,$B653&gt;='112'!$N$8,$B653&lt;='112'!$O$8,OR($L653='112'!$I$6,$M653='112'!$I$6))),"x",""))</f>
        <v/>
      </c>
      <c r="S653" s="39" t="str">
        <f>IF(ISERROR(FIND('112'!$M$9,G653,1)),"",IF((AND(LEFT(G653,2)=LEFT('112'!$M$9,2),B653&lt;'112'!$N$8,$L653='112'!$I$6)),"x",""))</f>
        <v/>
      </c>
      <c r="T653" s="39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39" t="str">
        <f>IF(OR(TH!L653=TH!$V$7,M653=TH!$V$7),"x","")</f>
        <v/>
      </c>
      <c r="W653" s="39" t="str">
        <f>IF(AND(B653&gt;='IN-NX'!$P$3,B653&lt;='IN-NX'!$Q$3,'IN-NX'!$D$7=D653,OR(LEFT(L653,2)="15",AND(LEFT(M653,2)&lt;&gt;"15",LEFT(M653,2)&lt;&gt;"33"))),"x","")</f>
        <v/>
      </c>
      <c r="X653" s="39" t="str">
        <f>IF(AND(OR(LEFT(TH!L653,2)="15",LEFT(TH!M653,2)="15"),'152-CT'!$J$8=TH!F653),"x","")</f>
        <v/>
      </c>
      <c r="Y653" s="39" t="str">
        <f>IF(AND(OR(LEFT(TH!L653,2)="15",LEFT(TH!M653,2)="15"),TK!$E$7=TH!F653),"x","")</f>
        <v/>
      </c>
      <c r="Z653" s="39" t="str">
        <f>IF(AND(B653&lt;=NKC!$N$8,B653&gt;=NKC!$M$8),"x","")</f>
        <v/>
      </c>
      <c r="AA653" s="894"/>
      <c r="AB653" s="598" t="e">
        <f t="shared" si="31"/>
        <v>#N/A</v>
      </c>
      <c r="AC653" s="598"/>
      <c r="AD653" s="598"/>
    </row>
    <row r="654" spans="1:30" ht="15.75" customHeight="1">
      <c r="A654" s="199" t="str">
        <f>IF(B654&lt;&gt;"",IF(AND(B654&gt;=_TM1,B654&lt;=_TM2,OR(TH!L654="1111",TH!M654="1111")),TH!D654,""),"")</f>
        <v/>
      </c>
      <c r="B654" s="36">
        <f t="shared" si="29"/>
        <v>1</v>
      </c>
      <c r="C654" s="190">
        <f t="shared" si="30"/>
        <v>0</v>
      </c>
      <c r="D654" s="183"/>
      <c r="E654" s="183"/>
      <c r="F654" s="188"/>
      <c r="G654" s="608"/>
      <c r="H654" s="7"/>
      <c r="I654" s="253"/>
      <c r="J654" s="253"/>
      <c r="K654" s="38"/>
      <c r="L654" s="193"/>
      <c r="M654" s="193"/>
      <c r="N654" s="39" t="str">
        <f>IF(AND('331-CT'!$E$7=TH!H654,OR(L654="331",M654="331")),"331",IF(AND(OR(L654="131",M654="131"),H654='131-CT'!$E$7),"131",""))</f>
        <v/>
      </c>
      <c r="O654" s="39" t="str">
        <f>IF(AND($B654&gt;='111'!$N$11,$B654&lt;='111'!$O$11,OR($L654=$O$7,$M654=$O$7)),"x","")</f>
        <v/>
      </c>
      <c r="P654" s="39" t="str">
        <f>IF(AND($L654=$O$7,$B654&lt;'111'!$N$11),"x","")</f>
        <v/>
      </c>
      <c r="Q654" s="39" t="str">
        <f>IF(AND($M654=$O$7,$B654&lt;'111'!$N$11),"x","")</f>
        <v/>
      </c>
      <c r="R654" s="39" t="str">
        <f>IF(ISERROR(FIND('112'!$M$9,G654,1)),"",IF((AND(FIND('112'!$M$9,G654,1)&gt;=1,$B654&gt;='112'!$N$8,$B654&lt;='112'!$O$8,OR($L654='112'!$I$6,$M654='112'!$I$6))),"x",""))</f>
        <v/>
      </c>
      <c r="S654" s="39" t="str">
        <f>IF(ISERROR(FIND('112'!$M$9,G654,1)),"",IF((AND(LEFT(G654,2)=LEFT('112'!$M$9,2),B654&lt;'112'!$N$8,$L654='112'!$I$6)),"x",""))</f>
        <v/>
      </c>
      <c r="T654" s="39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39" t="str">
        <f>IF(OR(TH!L654=TH!$V$7,M654=TH!$V$7),"x","")</f>
        <v/>
      </c>
      <c r="W654" s="39" t="str">
        <f>IF(AND(B654&gt;='IN-NX'!$P$3,B654&lt;='IN-NX'!$Q$3,'IN-NX'!$D$7=D654,OR(LEFT(L654,2)="15",AND(LEFT(M654,2)&lt;&gt;"15",LEFT(M654,2)&lt;&gt;"33"))),"x","")</f>
        <v/>
      </c>
      <c r="X654" s="39" t="str">
        <f>IF(AND(OR(LEFT(TH!L654,2)="15",LEFT(TH!M654,2)="15"),'152-CT'!$J$8=TH!F654),"x","")</f>
        <v/>
      </c>
      <c r="Y654" s="39" t="str">
        <f>IF(AND(OR(LEFT(TH!L654,2)="15",LEFT(TH!M654,2)="15"),TK!$E$7=TH!F654),"x","")</f>
        <v/>
      </c>
      <c r="Z654" s="39" t="str">
        <f>IF(AND(B654&lt;=NKC!$N$8,B654&gt;=NKC!$M$8),"x","")</f>
        <v/>
      </c>
      <c r="AA654" s="894"/>
      <c r="AB654" s="598" t="e">
        <f t="shared" si="31"/>
        <v>#N/A</v>
      </c>
      <c r="AC654" s="598"/>
      <c r="AD654" s="598"/>
    </row>
    <row r="655" spans="1:30" ht="15.75" customHeight="1">
      <c r="A655" s="199" t="str">
        <f>IF(B655&lt;&gt;"",IF(AND(B655&gt;=_TM1,B655&lt;=_TM2,OR(TH!L655="1111",TH!M655="1111")),TH!D655,""),"")</f>
        <v/>
      </c>
      <c r="B655" s="36">
        <f t="shared" si="29"/>
        <v>1</v>
      </c>
      <c r="C655" s="190">
        <f t="shared" si="30"/>
        <v>0</v>
      </c>
      <c r="D655" s="183"/>
      <c r="E655" s="190"/>
      <c r="F655" s="188"/>
      <c r="G655" s="491"/>
      <c r="H655" s="7"/>
      <c r="I655" s="821"/>
      <c r="J655" s="253"/>
      <c r="K655" s="38"/>
      <c r="L655" s="193"/>
      <c r="M655" s="193"/>
      <c r="N655" s="39" t="str">
        <f>IF(AND('331-CT'!$E$7=TH!H655,OR(L655="331",M655="331")),"331",IF(AND(OR(L655="131",M655="131"),H655='131-CT'!$E$7),"131",""))</f>
        <v/>
      </c>
      <c r="O655" s="39" t="str">
        <f>IF(AND($B655&gt;='111'!$N$11,$B655&lt;='111'!$O$11,OR($L655=$O$7,$M655=$O$7)),"x","")</f>
        <v/>
      </c>
      <c r="P655" s="39" t="str">
        <f>IF(AND($L655=$O$7,$B655&lt;'111'!$N$11),"x","")</f>
        <v/>
      </c>
      <c r="Q655" s="39" t="str">
        <f>IF(AND($M655=$O$7,$B655&lt;'111'!$N$11),"x","")</f>
        <v/>
      </c>
      <c r="R655" s="39" t="str">
        <f>IF(ISERROR(FIND('112'!$M$9,G655,1)),"",IF((AND(FIND('112'!$M$9,G655,1)&gt;=1,$B655&gt;='112'!$N$8,$B655&lt;='112'!$O$8,OR($L655='112'!$I$6,$M655='112'!$I$6))),"x",""))</f>
        <v/>
      </c>
      <c r="S655" s="39" t="str">
        <f>IF(ISERROR(FIND('112'!$M$9,G655,1)),"",IF((AND(LEFT(G655,2)=LEFT('112'!$M$9,2),B655&lt;'112'!$N$8,$L655='112'!$I$6)),"x",""))</f>
        <v/>
      </c>
      <c r="T655" s="39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39" t="str">
        <f>IF(OR(TH!L655=TH!$V$7,M655=TH!$V$7),"x","")</f>
        <v/>
      </c>
      <c r="W655" s="39" t="str">
        <f>IF(AND(B655&gt;='IN-NX'!$P$3,B655&lt;='IN-NX'!$Q$3,'IN-NX'!$D$7=D655,OR(LEFT(L655,2)="15",AND(LEFT(M655,2)&lt;&gt;"15",LEFT(M655,2)&lt;&gt;"33"))),"x","")</f>
        <v/>
      </c>
      <c r="X655" s="39" t="str">
        <f>IF(AND(OR(LEFT(TH!L655,2)="15",LEFT(TH!M655,2)="15"),'152-CT'!$J$8=TH!F655),"x","")</f>
        <v/>
      </c>
      <c r="Y655" s="39" t="str">
        <f>IF(AND(OR(LEFT(TH!L655,2)="15",LEFT(TH!M655,2)="15"),TK!$E$7=TH!F655),"x","")</f>
        <v/>
      </c>
      <c r="Z655" s="39" t="str">
        <f>IF(AND(B655&lt;=NKC!$N$8,B655&gt;=NKC!$M$8),"x","")</f>
        <v/>
      </c>
      <c r="AA655" s="894"/>
      <c r="AB655" s="598" t="e">
        <f t="shared" si="31"/>
        <v>#N/A</v>
      </c>
    </row>
    <row r="656" spans="1:30" ht="15.75" customHeight="1">
      <c r="A656" s="199" t="str">
        <f>IF(B656&lt;&gt;"",IF(AND(B656&gt;=_TM1,B656&lt;=_TM2,OR(TH!L656="1111",TH!M656="1111")),TH!D656,""),"")</f>
        <v/>
      </c>
      <c r="B656" s="36">
        <f t="shared" si="29"/>
        <v>1</v>
      </c>
      <c r="C656" s="190">
        <f t="shared" si="30"/>
        <v>0</v>
      </c>
      <c r="D656" s="183"/>
      <c r="E656" s="190"/>
      <c r="F656" s="188"/>
      <c r="G656" s="491"/>
      <c r="H656" s="7"/>
      <c r="I656" s="821"/>
      <c r="J656" s="253"/>
      <c r="K656" s="38"/>
      <c r="L656" s="193"/>
      <c r="M656" s="193"/>
      <c r="N656" s="39" t="str">
        <f>IF(AND('331-CT'!$E$7=TH!H656,OR(L656="331",M656="331")),"331",IF(AND(OR(L656="131",M656="131"),H656='131-CT'!$E$7),"131",""))</f>
        <v/>
      </c>
      <c r="O656" s="39" t="str">
        <f>IF(AND($B656&gt;='111'!$N$11,$B656&lt;='111'!$O$11,OR($L656=$O$7,$M656=$O$7)),"x","")</f>
        <v/>
      </c>
      <c r="P656" s="39" t="str">
        <f>IF(AND($L656=$O$7,$B656&lt;'111'!$N$11),"x","")</f>
        <v/>
      </c>
      <c r="Q656" s="39" t="str">
        <f>IF(AND($M656=$O$7,$B656&lt;'111'!$N$11),"x","")</f>
        <v/>
      </c>
      <c r="R656" s="39" t="str">
        <f>IF(ISERROR(FIND('112'!$M$9,G656,1)),"",IF((AND(FIND('112'!$M$9,G656,1)&gt;=1,$B656&gt;='112'!$N$8,$B656&lt;='112'!$O$8,OR($L656='112'!$I$6,$M656='112'!$I$6))),"x",""))</f>
        <v/>
      </c>
      <c r="S656" s="39" t="str">
        <f>IF(ISERROR(FIND('112'!$M$9,G656,1)),"",IF((AND(LEFT(G656,2)=LEFT('112'!$M$9,2),B656&lt;'112'!$N$8,$L656='112'!$I$6)),"x",""))</f>
        <v/>
      </c>
      <c r="T656" s="39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39" t="str">
        <f>IF(OR(TH!L656=TH!$V$7,M656=TH!$V$7),"x","")</f>
        <v/>
      </c>
      <c r="W656" s="39" t="str">
        <f>IF(AND(B656&gt;='IN-NX'!$P$3,B656&lt;='IN-NX'!$Q$3,'IN-NX'!$D$7=D656,OR(LEFT(L656,2)="15",AND(LEFT(M656,2)&lt;&gt;"15",LEFT(M656,2)&lt;&gt;"33"))),"x","")</f>
        <v/>
      </c>
      <c r="X656" s="39" t="str">
        <f>IF(AND(OR(LEFT(TH!L656,2)="15",LEFT(TH!M656,2)="15"),'152-CT'!$J$8=TH!F656),"x","")</f>
        <v/>
      </c>
      <c r="Y656" s="39" t="str">
        <f>IF(AND(OR(LEFT(TH!L656,2)="15",LEFT(TH!M656,2)="15"),TK!$E$7=TH!F656),"x","")</f>
        <v/>
      </c>
      <c r="Z656" s="39" t="str">
        <f>IF(AND(B656&lt;=NKC!$N$8,B656&gt;=NKC!$M$8),"x","")</f>
        <v/>
      </c>
      <c r="AA656" s="894"/>
      <c r="AB656" s="598" t="e">
        <f t="shared" si="31"/>
        <v>#N/A</v>
      </c>
    </row>
    <row r="657" spans="1:30" ht="15.75" customHeight="1">
      <c r="A657" s="199" t="str">
        <f>IF(B657&lt;&gt;"",IF(AND(B657&gt;=_TM1,B657&lt;=_TM2,OR(TH!L657="1111",TH!M657="1111")),TH!D657,""),"")</f>
        <v/>
      </c>
      <c r="B657" s="36">
        <f t="shared" si="29"/>
        <v>1</v>
      </c>
      <c r="C657" s="190">
        <f t="shared" si="30"/>
        <v>0</v>
      </c>
      <c r="D657" s="183"/>
      <c r="E657" s="190"/>
      <c r="F657" s="188"/>
      <c r="G657" s="491"/>
      <c r="H657" s="7"/>
      <c r="I657" s="253"/>
      <c r="J657" s="253"/>
      <c r="K657" s="606"/>
      <c r="L657" s="193"/>
      <c r="M657" s="193"/>
      <c r="N657" s="39" t="str">
        <f>IF(AND('331-CT'!$E$7=TH!H657,OR(L657="331",M657="331")),"331",IF(AND(OR(L657="131",M657="131"),H657='131-CT'!$E$7),"131",""))</f>
        <v/>
      </c>
      <c r="O657" s="39" t="str">
        <f>IF(AND($B657&gt;='111'!$N$11,$B657&lt;='111'!$O$11,OR($L657=$O$7,$M657=$O$7)),"x","")</f>
        <v/>
      </c>
      <c r="P657" s="39" t="str">
        <f>IF(AND($L657=$O$7,$B657&lt;'111'!$N$11),"x","")</f>
        <v/>
      </c>
      <c r="Q657" s="39" t="str">
        <f>IF(AND($M657=$O$7,$B657&lt;'111'!$N$11),"x","")</f>
        <v/>
      </c>
      <c r="R657" s="39" t="str">
        <f>IF(ISERROR(FIND('112'!$M$9,G657,1)),"",IF((AND(FIND('112'!$M$9,G657,1)&gt;=1,$B657&gt;='112'!$N$8,$B657&lt;='112'!$O$8,OR($L657='112'!$I$6,$M657='112'!$I$6))),"x",""))</f>
        <v/>
      </c>
      <c r="S657" s="39" t="str">
        <f>IF(ISERROR(FIND('112'!$M$9,G657,1)),"",IF((AND(LEFT(G657,2)=LEFT('112'!$M$9,2),B657&lt;'112'!$N$8,$L657='112'!$I$6)),"x",""))</f>
        <v/>
      </c>
      <c r="T657" s="39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39" t="str">
        <f>IF(OR(TH!L657=TH!$V$7,M657=TH!$V$7),"x","")</f>
        <v/>
      </c>
      <c r="W657" s="39" t="str">
        <f>IF(AND(B657&gt;='IN-NX'!$P$3,B657&lt;='IN-NX'!$Q$3,'IN-NX'!$D$7=D657,OR(LEFT(L657,2)="15",AND(LEFT(M657,2)&lt;&gt;"15",LEFT(M657,2)&lt;&gt;"33"))),"x","")</f>
        <v/>
      </c>
      <c r="X657" s="39" t="str">
        <f>IF(AND(OR(LEFT(TH!L657,2)="15",LEFT(TH!M657,2)="15"),'152-CT'!$J$8=TH!F657),"x","")</f>
        <v/>
      </c>
      <c r="Y657" s="39" t="str">
        <f>IF(AND(OR(LEFT(TH!L657,2)="15",LEFT(TH!M657,2)="15"),TK!$E$7=TH!F657),"x","")</f>
        <v/>
      </c>
      <c r="Z657" s="39" t="str">
        <f>IF(AND(B657&lt;=NKC!$N$8,B657&gt;=NKC!$M$8),"x","")</f>
        <v/>
      </c>
      <c r="AA657" s="894"/>
      <c r="AB657" s="598" t="e">
        <f t="shared" si="31"/>
        <v>#N/A</v>
      </c>
    </row>
    <row r="658" spans="1:30" ht="15.75" customHeight="1">
      <c r="A658" s="199" t="str">
        <f>IF(B658&lt;&gt;"",IF(AND(B658&gt;=_TM1,B658&lt;=_TM2,OR(TH!L658="1111",TH!M658="1111")),TH!D658,""),"")</f>
        <v/>
      </c>
      <c r="B658" s="36">
        <f t="shared" si="29"/>
        <v>1</v>
      </c>
      <c r="C658" s="190">
        <f t="shared" si="30"/>
        <v>0</v>
      </c>
      <c r="D658" s="183"/>
      <c r="E658" s="190"/>
      <c r="F658" s="188"/>
      <c r="G658" s="491"/>
      <c r="H658" s="7"/>
      <c r="I658" s="821"/>
      <c r="J658" s="253"/>
      <c r="K658" s="38"/>
      <c r="L658" s="193"/>
      <c r="M658" s="193"/>
      <c r="N658" s="39" t="str">
        <f>IF(AND('331-CT'!$E$7=TH!H658,OR(L658="331",M658="331")),"331",IF(AND(OR(L658="131",M658="131"),H658='131-CT'!$E$7),"131",""))</f>
        <v/>
      </c>
      <c r="O658" s="39" t="str">
        <f>IF(AND($B658&gt;='111'!$N$11,$B658&lt;='111'!$O$11,OR($L658=$O$7,$M658=$O$7)),"x","")</f>
        <v/>
      </c>
      <c r="P658" s="39" t="str">
        <f>IF(AND($L658=$O$7,$B658&lt;'111'!$N$11),"x","")</f>
        <v/>
      </c>
      <c r="Q658" s="39" t="str">
        <f>IF(AND($M658=$O$7,$B658&lt;'111'!$N$11),"x","")</f>
        <v/>
      </c>
      <c r="R658" s="39" t="str">
        <f>IF(ISERROR(FIND('112'!$M$9,G658,1)),"",IF((AND(FIND('112'!$M$9,G658,1)&gt;=1,$B658&gt;='112'!$N$8,$B658&lt;='112'!$O$8,OR($L658='112'!$I$6,$M658='112'!$I$6))),"x",""))</f>
        <v/>
      </c>
      <c r="S658" s="39" t="str">
        <f>IF(ISERROR(FIND('112'!$M$9,G658,1)),"",IF((AND(LEFT(G658,2)=LEFT('112'!$M$9,2),B658&lt;'112'!$N$8,$L658='112'!$I$6)),"x",""))</f>
        <v/>
      </c>
      <c r="T658" s="39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39" t="str">
        <f>IF(OR(TH!L658=TH!$V$7,M658=TH!$V$7),"x","")</f>
        <v/>
      </c>
      <c r="W658" s="39" t="str">
        <f>IF(AND(B658&gt;='IN-NX'!$P$3,B658&lt;='IN-NX'!$Q$3,'IN-NX'!$D$7=D658,OR(LEFT(L658,2)="15",AND(LEFT(M658,2)&lt;&gt;"15",LEFT(M658,2)&lt;&gt;"33"))),"x","")</f>
        <v/>
      </c>
      <c r="X658" s="39" t="str">
        <f>IF(AND(OR(LEFT(TH!L658,2)="15",LEFT(TH!M658,2)="15"),'152-CT'!$J$8=TH!F658),"x","")</f>
        <v/>
      </c>
      <c r="Y658" s="39" t="str">
        <f>IF(AND(OR(LEFT(TH!L658,2)="15",LEFT(TH!M658,2)="15"),TK!$E$7=TH!F658),"x","")</f>
        <v/>
      </c>
      <c r="Z658" s="39" t="str">
        <f>IF(AND(B658&lt;=NKC!$N$8,B658&gt;=NKC!$M$8),"x","")</f>
        <v/>
      </c>
      <c r="AA658" s="894"/>
      <c r="AB658" s="598" t="e">
        <f t="shared" si="31"/>
        <v>#N/A</v>
      </c>
    </row>
    <row r="659" spans="1:30" ht="15.75" customHeight="1">
      <c r="A659" s="199" t="str">
        <f>IF(B659&lt;&gt;"",IF(AND(B659&gt;=_TM1,B659&lt;=_TM2,OR(TH!L659="1111",TH!M659="1111")),TH!D659,""),"")</f>
        <v/>
      </c>
      <c r="B659" s="36">
        <f t="shared" si="29"/>
        <v>1</v>
      </c>
      <c r="C659" s="190">
        <f t="shared" si="30"/>
        <v>0</v>
      </c>
      <c r="D659" s="183"/>
      <c r="E659" s="190"/>
      <c r="F659" s="188"/>
      <c r="G659" s="491"/>
      <c r="H659" s="7"/>
      <c r="I659" s="821"/>
      <c r="J659" s="253"/>
      <c r="K659" s="606"/>
      <c r="L659" s="193"/>
      <c r="M659" s="193"/>
      <c r="N659" s="39" t="str">
        <f>IF(AND('331-CT'!$E$7=TH!H659,OR(L659="331",M659="331")),"331",IF(AND(OR(L659="131",M659="131"),H659='131-CT'!$E$7),"131",""))</f>
        <v/>
      </c>
      <c r="O659" s="39" t="str">
        <f>IF(AND($B659&gt;='111'!$N$11,$B659&lt;='111'!$O$11,OR($L659=$O$7,$M659=$O$7)),"x","")</f>
        <v/>
      </c>
      <c r="P659" s="39" t="str">
        <f>IF(AND($L659=$O$7,$B659&lt;'111'!$N$11),"x","")</f>
        <v/>
      </c>
      <c r="Q659" s="39" t="str">
        <f>IF(AND($M659=$O$7,$B659&lt;'111'!$N$11),"x","")</f>
        <v/>
      </c>
      <c r="R659" s="39" t="str">
        <f>IF(ISERROR(FIND('112'!$M$9,G659,1)),"",IF((AND(FIND('112'!$M$9,G659,1)&gt;=1,$B659&gt;='112'!$N$8,$B659&lt;='112'!$O$8,OR($L659='112'!$I$6,$M659='112'!$I$6))),"x",""))</f>
        <v/>
      </c>
      <c r="S659" s="39" t="str">
        <f>IF(ISERROR(FIND('112'!$M$9,G659,1)),"",IF((AND(LEFT(G659,2)=LEFT('112'!$M$9,2),B659&lt;'112'!$N$8,$L659='112'!$I$6)),"x",""))</f>
        <v/>
      </c>
      <c r="T659" s="39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39" t="str">
        <f>IF(OR(TH!L659=TH!$V$7,M659=TH!$V$7),"x","")</f>
        <v/>
      </c>
      <c r="W659" s="39" t="str">
        <f>IF(AND(B659&gt;='IN-NX'!$P$3,B659&lt;='IN-NX'!$Q$3,'IN-NX'!$D$7=D659,OR(LEFT(L659,2)="15",AND(LEFT(M659,2)&lt;&gt;"15",LEFT(M659,2)&lt;&gt;"33"))),"x","")</f>
        <v/>
      </c>
      <c r="X659" s="39" t="str">
        <f>IF(AND(OR(LEFT(TH!L659,2)="15",LEFT(TH!M659,2)="15"),'152-CT'!$J$8=TH!F659),"x","")</f>
        <v/>
      </c>
      <c r="Y659" s="39" t="str">
        <f>IF(AND(OR(LEFT(TH!L659,2)="15",LEFT(TH!M659,2)="15"),TK!$E$7=TH!F659),"x","")</f>
        <v/>
      </c>
      <c r="Z659" s="39" t="str">
        <f>IF(AND(B659&lt;=NKC!$N$8,B659&gt;=NKC!$M$8),"x","")</f>
        <v/>
      </c>
      <c r="AA659" s="894"/>
      <c r="AB659" s="598" t="e">
        <f t="shared" si="31"/>
        <v>#N/A</v>
      </c>
    </row>
    <row r="660" spans="1:30" ht="15.75" customHeight="1">
      <c r="A660" s="199" t="str">
        <f>IF(B660&lt;&gt;"",IF(AND(B660&gt;=_TM1,B660&lt;=_TM2,OR(TH!L660="1111",TH!M660="1111")),TH!D660,""),"")</f>
        <v/>
      </c>
      <c r="B660" s="36">
        <f t="shared" si="29"/>
        <v>1</v>
      </c>
      <c r="C660" s="190">
        <f t="shared" si="30"/>
        <v>0</v>
      </c>
      <c r="D660" s="183"/>
      <c r="E660" s="190"/>
      <c r="F660" s="40"/>
      <c r="G660" s="491"/>
      <c r="H660" s="7"/>
      <c r="I660" s="253"/>
      <c r="J660" s="253"/>
      <c r="K660" s="38"/>
      <c r="L660" s="193"/>
      <c r="M660" s="193"/>
      <c r="N660" s="39" t="str">
        <f>IF(AND('331-CT'!$E$7=TH!H660,OR(L660="331",M660="331")),"331",IF(AND(OR(L660="131",M660="131"),H660='131-CT'!$E$7),"131",""))</f>
        <v/>
      </c>
      <c r="O660" s="39" t="str">
        <f>IF(AND($B660&gt;='111'!$N$11,$B660&lt;='111'!$O$11,OR($L660=$O$7,$M660=$O$7)),"x","")</f>
        <v/>
      </c>
      <c r="P660" s="39" t="str">
        <f>IF(AND($L660=$O$7,$B660&lt;'111'!$N$11),"x","")</f>
        <v/>
      </c>
      <c r="Q660" s="39" t="str">
        <f>IF(AND($M660=$O$7,$B660&lt;'111'!$N$11),"x","")</f>
        <v/>
      </c>
      <c r="R660" s="39" t="str">
        <f>IF(ISERROR(FIND('112'!$M$9,G660,1)),"",IF((AND(FIND('112'!$M$9,G660,1)&gt;=1,$B660&gt;='112'!$N$8,$B660&lt;='112'!$O$8,OR($L660='112'!$I$6,$M660='112'!$I$6))),"x",""))</f>
        <v/>
      </c>
      <c r="S660" s="39" t="str">
        <f>IF(ISERROR(FIND('112'!$M$9,G660,1)),"",IF((AND(LEFT(G660,2)=LEFT('112'!$M$9,2),B660&lt;'112'!$N$8,$L660='112'!$I$6)),"x",""))</f>
        <v/>
      </c>
      <c r="T660" s="39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39" t="str">
        <f>IF(OR(TH!L660=TH!$V$7,M660=TH!$V$7),"x","")</f>
        <v/>
      </c>
      <c r="W660" s="39" t="str">
        <f>IF(AND(B660&gt;='IN-NX'!$P$3,B660&lt;='IN-NX'!$Q$3,'IN-NX'!$D$7=D660,OR(LEFT(L660,2)="15",AND(LEFT(M660,2)&lt;&gt;"15",LEFT(M660,2)&lt;&gt;"33"))),"x","")</f>
        <v/>
      </c>
      <c r="X660" s="39" t="str">
        <f>IF(AND(OR(LEFT(TH!L660,2)="15",LEFT(TH!M660,2)="15"),'152-CT'!$J$8=TH!F660),"x","")</f>
        <v/>
      </c>
      <c r="Y660" s="39" t="str">
        <f>IF(AND(OR(LEFT(TH!L660,2)="15",LEFT(TH!M660,2)="15"),TK!$E$7=TH!F660),"x","")</f>
        <v/>
      </c>
      <c r="Z660" s="39" t="str">
        <f>IF(AND(B660&lt;=NKC!$N$8,B660&gt;=NKC!$M$8),"x","")</f>
        <v/>
      </c>
      <c r="AA660" s="894"/>
      <c r="AB660" s="598" t="e">
        <f t="shared" si="31"/>
        <v>#N/A</v>
      </c>
    </row>
    <row r="661" spans="1:30" ht="15.75" customHeight="1">
      <c r="A661" s="199" t="str">
        <f>IF(B661&lt;&gt;"",IF(AND(B661&gt;=_TM1,B661&lt;=_TM2,OR(TH!L661="1111",TH!M661="1111")),TH!D661,""),"")</f>
        <v/>
      </c>
      <c r="B661" s="36">
        <f t="shared" si="29"/>
        <v>1</v>
      </c>
      <c r="C661" s="190">
        <f t="shared" si="30"/>
        <v>0</v>
      </c>
      <c r="D661" s="183"/>
      <c r="E661" s="190"/>
      <c r="F661" s="40"/>
      <c r="G661" s="491"/>
      <c r="H661" s="7"/>
      <c r="I661" s="253"/>
      <c r="J661" s="253"/>
      <c r="K661" s="606"/>
      <c r="L661" s="193"/>
      <c r="M661" s="193"/>
      <c r="N661" s="39" t="str">
        <f>IF(AND('331-CT'!$E$7=TH!H661,OR(L661="331",M661="331")),"331",IF(AND(OR(L661="131",M661="131"),H661='131-CT'!$E$7),"131",""))</f>
        <v/>
      </c>
      <c r="O661" s="39" t="str">
        <f>IF(AND($B661&gt;='111'!$N$11,$B661&lt;='111'!$O$11,OR($L661=$O$7,$M661=$O$7)),"x","")</f>
        <v/>
      </c>
      <c r="P661" s="39" t="str">
        <f>IF(AND($L661=$O$7,$B661&lt;'111'!$N$11),"x","")</f>
        <v/>
      </c>
      <c r="Q661" s="39" t="str">
        <f>IF(AND($M661=$O$7,$B661&lt;'111'!$N$11),"x","")</f>
        <v/>
      </c>
      <c r="R661" s="39" t="str">
        <f>IF(ISERROR(FIND('112'!$M$9,G661,1)),"",IF((AND(FIND('112'!$M$9,G661,1)&gt;=1,$B661&gt;='112'!$N$8,$B661&lt;='112'!$O$8,OR($L661='112'!$I$6,$M661='112'!$I$6))),"x",""))</f>
        <v/>
      </c>
      <c r="S661" s="39" t="str">
        <f>IF(ISERROR(FIND('112'!$M$9,G661,1)),"",IF((AND(LEFT(G661,2)=LEFT('112'!$M$9,2),B661&lt;'112'!$N$8,$L661='112'!$I$6)),"x",""))</f>
        <v/>
      </c>
      <c r="T661" s="39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39" t="str">
        <f>IF(OR(TH!L661=TH!$V$7,M661=TH!$V$7),"x","")</f>
        <v/>
      </c>
      <c r="W661" s="39" t="str">
        <f>IF(AND(B661&gt;='IN-NX'!$P$3,B661&lt;='IN-NX'!$Q$3,'IN-NX'!$D$7=D661,OR(LEFT(L661,2)="15",AND(LEFT(M661,2)&lt;&gt;"15",LEFT(M661,2)&lt;&gt;"33"))),"x","")</f>
        <v/>
      </c>
      <c r="X661" s="39" t="str">
        <f>IF(AND(OR(LEFT(TH!L661,2)="15",LEFT(TH!M661,2)="15"),'152-CT'!$J$8=TH!F661),"x","")</f>
        <v/>
      </c>
      <c r="Y661" s="39" t="str">
        <f>IF(AND(OR(LEFT(TH!L661,2)="15",LEFT(TH!M661,2)="15"),TK!$E$7=TH!F661),"x","")</f>
        <v/>
      </c>
      <c r="Z661" s="39" t="str">
        <f>IF(AND(B661&lt;=NKC!$N$8,B661&gt;=NKC!$M$8),"x","")</f>
        <v/>
      </c>
      <c r="AA661" s="894"/>
      <c r="AB661" s="598" t="e">
        <f t="shared" si="31"/>
        <v>#N/A</v>
      </c>
    </row>
    <row r="662" spans="1:30" ht="15.75" customHeight="1">
      <c r="A662" s="199" t="str">
        <f>IF(B662&lt;&gt;"",IF(AND(B662&gt;=_TM1,B662&lt;=_TM2,OR(TH!L662="1111",TH!M662="1111")),TH!D662,""),"")</f>
        <v/>
      </c>
      <c r="B662" s="36">
        <f t="shared" si="29"/>
        <v>1</v>
      </c>
      <c r="C662" s="190">
        <f t="shared" si="30"/>
        <v>0</v>
      </c>
      <c r="D662" s="183"/>
      <c r="E662" s="190"/>
      <c r="F662" s="40"/>
      <c r="G662" s="491"/>
      <c r="H662" s="7"/>
      <c r="I662" s="253"/>
      <c r="J662" s="253"/>
      <c r="K662" s="38"/>
      <c r="L662" s="193"/>
      <c r="M662" s="193"/>
      <c r="N662" s="39" t="str">
        <f>IF(AND('331-CT'!$E$7=TH!H662,OR(L662="331",M662="331")),"331",IF(AND(OR(L662="131",M662="131"),H662='131-CT'!$E$7),"131",""))</f>
        <v/>
      </c>
      <c r="O662" s="39" t="str">
        <f>IF(AND($B662&gt;='111'!$N$11,$B662&lt;='111'!$O$11,OR($L662=$O$7,$M662=$O$7)),"x","")</f>
        <v/>
      </c>
      <c r="P662" s="39" t="str">
        <f>IF(AND($L662=$O$7,$B662&lt;'111'!$N$11),"x","")</f>
        <v/>
      </c>
      <c r="Q662" s="39" t="str">
        <f>IF(AND($M662=$O$7,$B662&lt;'111'!$N$11),"x","")</f>
        <v/>
      </c>
      <c r="R662" s="39" t="str">
        <f>IF(ISERROR(FIND('112'!$M$9,G662,1)),"",IF((AND(FIND('112'!$M$9,G662,1)&gt;=1,$B662&gt;='112'!$N$8,$B662&lt;='112'!$O$8,OR($L662='112'!$I$6,$M662='112'!$I$6))),"x",""))</f>
        <v/>
      </c>
      <c r="S662" s="39" t="str">
        <f>IF(ISERROR(FIND('112'!$M$9,G662,1)),"",IF((AND(LEFT(G662,2)=LEFT('112'!$M$9,2),B662&lt;'112'!$N$8,$L662='112'!$I$6)),"x",""))</f>
        <v/>
      </c>
      <c r="T662" s="39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39" t="str">
        <f>IF(OR(TH!L662=TH!$V$7,M662=TH!$V$7),"x","")</f>
        <v/>
      </c>
      <c r="W662" s="39" t="str">
        <f>IF(AND(B662&gt;='IN-NX'!$P$3,B662&lt;='IN-NX'!$Q$3,'IN-NX'!$D$7=D662,OR(LEFT(L662,2)="15",AND(LEFT(M662,2)&lt;&gt;"15",LEFT(M662,2)&lt;&gt;"33"))),"x","")</f>
        <v/>
      </c>
      <c r="X662" s="39" t="str">
        <f>IF(AND(OR(LEFT(TH!L662,2)="15",LEFT(TH!M662,2)="15"),'152-CT'!$J$8=TH!F662),"x","")</f>
        <v/>
      </c>
      <c r="Y662" s="39" t="str">
        <f>IF(AND(OR(LEFT(TH!L662,2)="15",LEFT(TH!M662,2)="15"),TK!$E$7=TH!F662),"x","")</f>
        <v/>
      </c>
      <c r="Z662" s="39" t="str">
        <f>IF(AND(B662&lt;=NKC!$N$8,B662&gt;=NKC!$M$8),"x","")</f>
        <v/>
      </c>
      <c r="AA662" s="894"/>
      <c r="AB662" s="598" t="e">
        <f t="shared" si="31"/>
        <v>#N/A</v>
      </c>
    </row>
    <row r="663" spans="1:30" ht="15.75" customHeight="1">
      <c r="A663" s="199" t="str">
        <f>IF(B663&lt;&gt;"",IF(AND(B663&gt;=_TM1,B663&lt;=_TM2,OR(TH!L663="1111",TH!M663="1111")),TH!D663,""),"")</f>
        <v/>
      </c>
      <c r="B663" s="36">
        <f t="shared" si="29"/>
        <v>1</v>
      </c>
      <c r="C663" s="190">
        <f t="shared" si="30"/>
        <v>0</v>
      </c>
      <c r="D663" s="183"/>
      <c r="E663" s="190"/>
      <c r="F663" s="188"/>
      <c r="G663" s="491"/>
      <c r="H663" s="7"/>
      <c r="I663" s="253"/>
      <c r="J663" s="253"/>
      <c r="K663" s="38"/>
      <c r="L663" s="193"/>
      <c r="M663" s="193"/>
      <c r="N663" s="39" t="str">
        <f>IF(AND('331-CT'!$E$7=TH!H663,OR(L663="331",M663="331")),"331",IF(AND(OR(L663="131",M663="131"),H663='131-CT'!$E$7),"131",""))</f>
        <v/>
      </c>
      <c r="O663" s="39" t="str">
        <f>IF(AND($B663&gt;='111'!$N$11,$B663&lt;='111'!$O$11,OR($L663=$O$7,$M663=$O$7)),"x","")</f>
        <v/>
      </c>
      <c r="P663" s="39" t="str">
        <f>IF(AND($L663=$O$7,$B663&lt;'111'!$N$11),"x","")</f>
        <v/>
      </c>
      <c r="Q663" s="39" t="str">
        <f>IF(AND($M663=$O$7,$B663&lt;'111'!$N$11),"x","")</f>
        <v/>
      </c>
      <c r="R663" s="39" t="str">
        <f>IF(ISERROR(FIND('112'!$M$9,G663,1)),"",IF((AND(FIND('112'!$M$9,G663,1)&gt;=1,$B663&gt;='112'!$N$8,$B663&lt;='112'!$O$8,OR($L663='112'!$I$6,$M663='112'!$I$6))),"x",""))</f>
        <v/>
      </c>
      <c r="S663" s="39" t="str">
        <f>IF(ISERROR(FIND('112'!$M$9,G663,1)),"",IF((AND(LEFT(G663,2)=LEFT('112'!$M$9,2),B663&lt;'112'!$N$8,$L663='112'!$I$6)),"x",""))</f>
        <v/>
      </c>
      <c r="T663" s="39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39" t="str">
        <f>IF(OR(TH!L663=TH!$V$7,M663=TH!$V$7),"x","")</f>
        <v/>
      </c>
      <c r="W663" s="39" t="str">
        <f>IF(AND(B663&gt;='IN-NX'!$P$3,B663&lt;='IN-NX'!$Q$3,'IN-NX'!$D$7=D663,OR(LEFT(L663,2)="15",AND(LEFT(M663,2)&lt;&gt;"15",LEFT(M663,2)&lt;&gt;"33"))),"x","")</f>
        <v/>
      </c>
      <c r="X663" s="39" t="str">
        <f>IF(AND(OR(LEFT(TH!L663,2)="15",LEFT(TH!M663,2)="15"),'152-CT'!$J$8=TH!F663),"x","")</f>
        <v/>
      </c>
      <c r="Y663" s="39" t="str">
        <f>IF(AND(OR(LEFT(TH!L663,2)="15",LEFT(TH!M663,2)="15"),TK!$E$7=TH!F663),"x","")</f>
        <v/>
      </c>
      <c r="Z663" s="39" t="str">
        <f>IF(AND(B663&lt;=NKC!$N$8,B663&gt;=NKC!$M$8),"x","")</f>
        <v/>
      </c>
      <c r="AA663" s="894"/>
      <c r="AB663" s="598" t="e">
        <f t="shared" si="31"/>
        <v>#N/A</v>
      </c>
    </row>
    <row r="664" spans="1:30" ht="15.75" customHeight="1">
      <c r="A664" s="199" t="str">
        <f>IF(B664&lt;&gt;"",IF(AND(B664&gt;=_TM1,B664&lt;=_TM2,OR(TH!L664="1111",TH!M664="1111")),TH!D664,""),"")</f>
        <v/>
      </c>
      <c r="B664" s="36">
        <f t="shared" si="29"/>
        <v>1</v>
      </c>
      <c r="C664" s="190">
        <f t="shared" si="30"/>
        <v>0</v>
      </c>
      <c r="D664" s="183"/>
      <c r="E664" s="183"/>
      <c r="F664" s="188"/>
      <c r="G664" s="608"/>
      <c r="H664" s="7"/>
      <c r="I664" s="253"/>
      <c r="J664" s="253"/>
      <c r="K664" s="606"/>
      <c r="L664" s="193"/>
      <c r="M664" s="193"/>
      <c r="N664" s="39" t="str">
        <f>IF(AND('331-CT'!$E$7=TH!H664,OR(L664="331",M664="331")),"331",IF(AND(OR(L664="131",M664="131"),H664='131-CT'!$E$7),"131",""))</f>
        <v/>
      </c>
      <c r="O664" s="39" t="str">
        <f>IF(AND($B664&gt;='111'!$N$11,$B664&lt;='111'!$O$11,OR($L664=$O$7,$M664=$O$7)),"x","")</f>
        <v/>
      </c>
      <c r="P664" s="39" t="str">
        <f>IF(AND($L664=$O$7,$B664&lt;'111'!$N$11),"x","")</f>
        <v/>
      </c>
      <c r="Q664" s="39" t="str">
        <f>IF(AND($M664=$O$7,$B664&lt;'111'!$N$11),"x","")</f>
        <v/>
      </c>
      <c r="R664" s="39" t="str">
        <f>IF(ISERROR(FIND('112'!$M$9,G664,1)),"",IF((AND(FIND('112'!$M$9,G664,1)&gt;=1,$B664&gt;='112'!$N$8,$B664&lt;='112'!$O$8,OR($L664='112'!$I$6,$M664='112'!$I$6))),"x",""))</f>
        <v/>
      </c>
      <c r="S664" s="39" t="str">
        <f>IF(ISERROR(FIND('112'!$M$9,G664,1)),"",IF((AND(LEFT(G664,2)=LEFT('112'!$M$9,2),B664&lt;'112'!$N$8,$L664='112'!$I$6)),"x",""))</f>
        <v/>
      </c>
      <c r="T664" s="39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39" t="str">
        <f>IF(OR(TH!L664=TH!$V$7,M664=TH!$V$7),"x","")</f>
        <v/>
      </c>
      <c r="W664" s="39" t="str">
        <f>IF(AND(B664&gt;='IN-NX'!$P$3,B664&lt;='IN-NX'!$Q$3,'IN-NX'!$D$7=D664,OR(LEFT(L664,2)="15",AND(LEFT(M664,2)&lt;&gt;"15",LEFT(M664,2)&lt;&gt;"33"))),"x","")</f>
        <v/>
      </c>
      <c r="X664" s="39" t="str">
        <f>IF(AND(OR(LEFT(TH!L664,2)="15",LEFT(TH!M664,2)="15"),'152-CT'!$J$8=TH!F664),"x","")</f>
        <v/>
      </c>
      <c r="Y664" s="39" t="str">
        <f>IF(AND(OR(LEFT(TH!L664,2)="15",LEFT(TH!M664,2)="15"),TK!$E$7=TH!F664),"x","")</f>
        <v/>
      </c>
      <c r="Z664" s="39" t="str">
        <f>IF(AND(B664&lt;=NKC!$N$8,B664&gt;=NKC!$M$8),"x","")</f>
        <v/>
      </c>
      <c r="AA664" s="894"/>
      <c r="AB664" s="598" t="e">
        <f t="shared" si="31"/>
        <v>#N/A</v>
      </c>
      <c r="AC664" s="598"/>
      <c r="AD664" s="598"/>
    </row>
    <row r="665" spans="1:30" ht="15.75" customHeight="1">
      <c r="A665" s="199" t="str">
        <f>IF(B665&lt;&gt;"",IF(AND(B665&gt;=_TM1,B665&lt;=_TM2,OR(TH!L665="1111",TH!M665="1111")),TH!D665,""),"")</f>
        <v/>
      </c>
      <c r="B665" s="36">
        <f t="shared" ref="B665:B728" si="32">IF(C665&lt;&gt;"",MONTH(C665),"")</f>
        <v>1</v>
      </c>
      <c r="C665" s="190">
        <f t="shared" si="30"/>
        <v>0</v>
      </c>
      <c r="D665" s="183"/>
      <c r="E665" s="190"/>
      <c r="F665" s="191"/>
      <c r="G665" s="491"/>
      <c r="H665" s="192"/>
      <c r="I665" s="253"/>
      <c r="J665" s="253"/>
      <c r="K665" s="38"/>
      <c r="L665" s="193"/>
      <c r="M665" s="193"/>
      <c r="N665" s="39" t="str">
        <f>IF(AND('331-CT'!$E$7=TH!H665,OR(L665="331",M665="331")),"331",IF(AND(OR(L665="131",M665="131"),H665='131-CT'!$E$7),"131",""))</f>
        <v/>
      </c>
      <c r="O665" s="39" t="str">
        <f>IF(AND($B665&gt;='111'!$N$11,$B665&lt;='111'!$O$11,OR($L665=$O$7,$M665=$O$7)),"x","")</f>
        <v/>
      </c>
      <c r="P665" s="39" t="str">
        <f>IF(AND($L665=$O$7,$B665&lt;'111'!$N$11),"x","")</f>
        <v/>
      </c>
      <c r="Q665" s="39" t="str">
        <f>IF(AND($M665=$O$7,$B665&lt;'111'!$N$11),"x","")</f>
        <v/>
      </c>
      <c r="R665" s="39" t="str">
        <f>IF(ISERROR(FIND('112'!$M$9,G665,1)),"",IF((AND(FIND('112'!$M$9,G665,1)&gt;=1,$B665&gt;='112'!$N$8,$B665&lt;='112'!$O$8,OR($L665='112'!$I$6,$M665='112'!$I$6))),"x",""))</f>
        <v/>
      </c>
      <c r="S665" s="39" t="str">
        <f>IF(ISERROR(FIND('112'!$M$9,G665,1)),"",IF((AND(LEFT(G665,2)=LEFT('112'!$M$9,2),B665&lt;'112'!$N$8,$L665='112'!$I$6)),"x",""))</f>
        <v/>
      </c>
      <c r="T665" s="39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39" t="str">
        <f>IF(OR(TH!L665=TH!$V$7,M665=TH!$V$7),"x","")</f>
        <v/>
      </c>
      <c r="W665" s="39" t="str">
        <f>IF(AND(B665&gt;='IN-NX'!$P$3,B665&lt;='IN-NX'!$Q$3,'IN-NX'!$D$7=D665,OR(LEFT(L665,2)="15",AND(LEFT(M665,2)&lt;&gt;"15",LEFT(M665,2)&lt;&gt;"33"))),"x","")</f>
        <v/>
      </c>
      <c r="X665" s="39" t="str">
        <f>IF(AND(OR(LEFT(TH!L665,2)="15",LEFT(TH!M665,2)="15"),'152-CT'!$J$8=TH!F665),"x","")</f>
        <v/>
      </c>
      <c r="Y665" s="39" t="str">
        <f>IF(AND(OR(LEFT(TH!L665,2)="15",LEFT(TH!M665,2)="15"),TK!$E$7=TH!F665),"x","")</f>
        <v/>
      </c>
      <c r="Z665" s="39" t="str">
        <f>IF(AND(B665&lt;=NKC!$N$8,B665&gt;=NKC!$M$8),"x","")</f>
        <v/>
      </c>
      <c r="AA665" s="894"/>
      <c r="AB665" s="598" t="e">
        <f t="shared" si="31"/>
        <v>#N/A</v>
      </c>
      <c r="AC665" s="598"/>
    </row>
    <row r="666" spans="1:30" ht="15.75" customHeight="1">
      <c r="A666" s="199" t="str">
        <f>IF(B666&lt;&gt;"",IF(AND(B666&gt;=_TM1,B666&lt;=_TM2,OR(TH!L666="1111",TH!M666="1111")),TH!D666,""),"")</f>
        <v/>
      </c>
      <c r="B666" s="36">
        <f t="shared" si="32"/>
        <v>1</v>
      </c>
      <c r="C666" s="190">
        <f t="shared" si="30"/>
        <v>0</v>
      </c>
      <c r="D666" s="183"/>
      <c r="E666" s="190"/>
      <c r="F666" s="191"/>
      <c r="G666" s="491"/>
      <c r="H666" s="192"/>
      <c r="I666" s="254"/>
      <c r="J666" s="254"/>
      <c r="K666" s="38"/>
      <c r="L666" s="193"/>
      <c r="M666" s="193"/>
      <c r="N666" s="39" t="str">
        <f>IF(AND('331-CT'!$E$7=TH!H666,OR(L666="331",M666="331")),"331",IF(AND(OR(L666="131",M666="131"),H666='131-CT'!$E$7),"131",""))</f>
        <v/>
      </c>
      <c r="O666" s="39" t="str">
        <f>IF(AND($B666&gt;='111'!$N$11,$B666&lt;='111'!$O$11,OR($L666=$O$7,$M666=$O$7)),"x","")</f>
        <v/>
      </c>
      <c r="P666" s="39" t="str">
        <f>IF(AND($L666=$O$7,$B666&lt;'111'!$N$11),"x","")</f>
        <v/>
      </c>
      <c r="Q666" s="39" t="str">
        <f>IF(AND($M666=$O$7,$B666&lt;'111'!$N$11),"x","")</f>
        <v/>
      </c>
      <c r="R666" s="39" t="str">
        <f>IF(ISERROR(FIND('112'!$M$9,G666,1)),"",IF((AND(FIND('112'!$M$9,G666,1)&gt;=1,$B666&gt;='112'!$N$8,$B666&lt;='112'!$O$8,OR($L666='112'!$I$6,$M666='112'!$I$6))),"x",""))</f>
        <v/>
      </c>
      <c r="S666" s="39" t="str">
        <f>IF(ISERROR(FIND('112'!$M$9,G666,1)),"",IF((AND(LEFT(G666,2)=LEFT('112'!$M$9,2),B666&lt;'112'!$N$8,$L666='112'!$I$6)),"x",""))</f>
        <v/>
      </c>
      <c r="T666" s="39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39" t="str">
        <f>IF(OR(TH!L666=TH!$V$7,M666=TH!$V$7),"x","")</f>
        <v/>
      </c>
      <c r="W666" s="39" t="str">
        <f>IF(AND(B666&gt;='IN-NX'!$P$3,B666&lt;='IN-NX'!$Q$3,'IN-NX'!$D$7=D666,OR(LEFT(L666,2)="15",AND(LEFT(M666,2)&lt;&gt;"15",LEFT(M666,2)&lt;&gt;"33"))),"x","")</f>
        <v/>
      </c>
      <c r="X666" s="39" t="str">
        <f>IF(AND(OR(LEFT(TH!L666,2)="15",LEFT(TH!M666,2)="15"),'152-CT'!$J$8=TH!F666),"x","")</f>
        <v/>
      </c>
      <c r="Y666" s="39" t="str">
        <f>IF(AND(OR(LEFT(TH!L666,2)="15",LEFT(TH!M666,2)="15"),TK!$E$7=TH!F666),"x","")</f>
        <v/>
      </c>
      <c r="Z666" s="39" t="str">
        <f>IF(AND(B666&lt;=NKC!$N$8,B666&gt;=NKC!$M$8),"x","")</f>
        <v/>
      </c>
      <c r="AA666" s="894"/>
      <c r="AB666" s="598" t="e">
        <f t="shared" si="31"/>
        <v>#N/A</v>
      </c>
    </row>
    <row r="667" spans="1:30" ht="15.75" customHeight="1">
      <c r="A667" s="199" t="str">
        <f>IF(B667&lt;&gt;"",IF(AND(B667&gt;=_TM1,B667&lt;=_TM2,OR(TH!L667="1111",TH!M667="1111")),TH!D667,""),"")</f>
        <v/>
      </c>
      <c r="B667" s="36">
        <f t="shared" si="32"/>
        <v>1</v>
      </c>
      <c r="C667" s="190">
        <f t="shared" si="30"/>
        <v>0</v>
      </c>
      <c r="D667" s="183"/>
      <c r="E667" s="190"/>
      <c r="F667" s="191"/>
      <c r="G667" s="491"/>
      <c r="H667" s="192"/>
      <c r="I667" s="253"/>
      <c r="J667" s="253"/>
      <c r="K667" s="38"/>
      <c r="L667" s="193"/>
      <c r="M667" s="193"/>
      <c r="N667" s="39" t="str">
        <f>IF(AND('331-CT'!$E$7=TH!H667,OR(L667="331",M667="331")),"331",IF(AND(OR(L667="131",M667="131"),H667='131-CT'!$E$7),"131",""))</f>
        <v/>
      </c>
      <c r="O667" s="39" t="str">
        <f>IF(AND($B667&gt;='111'!$N$11,$B667&lt;='111'!$O$11,OR($L667=$O$7,$M667=$O$7)),"x","")</f>
        <v/>
      </c>
      <c r="P667" s="39" t="str">
        <f>IF(AND($L667=$O$7,$B667&lt;'111'!$N$11),"x","")</f>
        <v/>
      </c>
      <c r="Q667" s="39" t="str">
        <f>IF(AND($M667=$O$7,$B667&lt;'111'!$N$11),"x","")</f>
        <v/>
      </c>
      <c r="R667" s="39" t="str">
        <f>IF(ISERROR(FIND('112'!$M$9,G667,1)),"",IF((AND(FIND('112'!$M$9,G667,1)&gt;=1,$B667&gt;='112'!$N$8,$B667&lt;='112'!$O$8,OR($L667='112'!$I$6,$M667='112'!$I$6))),"x",""))</f>
        <v/>
      </c>
      <c r="S667" s="39" t="str">
        <f>IF(ISERROR(FIND('112'!$M$9,G667,1)),"",IF((AND(LEFT(G667,2)=LEFT('112'!$M$9,2),B667&lt;'112'!$N$8,$L667='112'!$I$6)),"x",""))</f>
        <v/>
      </c>
      <c r="T667" s="39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39" t="str">
        <f>IF(OR(TH!L667=TH!$V$7,M667=TH!$V$7),"x","")</f>
        <v/>
      </c>
      <c r="W667" s="39" t="str">
        <f>IF(AND(B667&gt;='IN-NX'!$P$3,B667&lt;='IN-NX'!$Q$3,'IN-NX'!$D$7=D667,OR(LEFT(L667,2)="15",AND(LEFT(M667,2)&lt;&gt;"15",LEFT(M667,2)&lt;&gt;"33"))),"x","")</f>
        <v/>
      </c>
      <c r="X667" s="39" t="str">
        <f>IF(AND(OR(LEFT(TH!L667,2)="15",LEFT(TH!M667,2)="15"),'152-CT'!$J$8=TH!F667),"x","")</f>
        <v/>
      </c>
      <c r="Y667" s="39" t="str">
        <f>IF(AND(OR(LEFT(TH!L667,2)="15",LEFT(TH!M667,2)="15"),TK!$E$7=TH!F667),"x","")</f>
        <v/>
      </c>
      <c r="Z667" s="39" t="str">
        <f>IF(AND(B667&lt;=NKC!$N$8,B667&gt;=NKC!$M$8),"x","")</f>
        <v/>
      </c>
      <c r="AA667" s="894"/>
      <c r="AB667" s="598" t="e">
        <f t="shared" si="31"/>
        <v>#N/A</v>
      </c>
    </row>
    <row r="668" spans="1:30" ht="15.75" customHeight="1">
      <c r="A668" s="199" t="str">
        <f>IF(B668&lt;&gt;"",IF(AND(B668&gt;=_TM1,B668&lt;=_TM2,OR(TH!L668="1111",TH!M668="1111")),TH!D668,""),"")</f>
        <v/>
      </c>
      <c r="B668" s="36">
        <f t="shared" si="32"/>
        <v>1</v>
      </c>
      <c r="C668" s="190">
        <f t="shared" si="30"/>
        <v>0</v>
      </c>
      <c r="D668" s="183"/>
      <c r="E668" s="190"/>
      <c r="F668" s="191"/>
      <c r="G668" s="491"/>
      <c r="H668" s="192"/>
      <c r="I668" s="254"/>
      <c r="J668" s="254"/>
      <c r="K668" s="606"/>
      <c r="L668" s="193"/>
      <c r="M668" s="193"/>
      <c r="N668" s="39" t="str">
        <f>IF(AND('331-CT'!$E$7=TH!H668,OR(L668="331",M668="331")),"331",IF(AND(OR(L668="131",M668="131"),H668='131-CT'!$E$7),"131",""))</f>
        <v/>
      </c>
      <c r="O668" s="39" t="str">
        <f>IF(AND($B668&gt;='111'!$N$11,$B668&lt;='111'!$O$11,OR($L668=$O$7,$M668=$O$7)),"x","")</f>
        <v/>
      </c>
      <c r="P668" s="39" t="str">
        <f>IF(AND($L668=$O$7,$B668&lt;'111'!$N$11),"x","")</f>
        <v/>
      </c>
      <c r="Q668" s="39" t="str">
        <f>IF(AND($M668=$O$7,$B668&lt;'111'!$N$11),"x","")</f>
        <v/>
      </c>
      <c r="R668" s="39" t="str">
        <f>IF(ISERROR(FIND('112'!$M$9,G668,1)),"",IF((AND(FIND('112'!$M$9,G668,1)&gt;=1,$B668&gt;='112'!$N$8,$B668&lt;='112'!$O$8,OR($L668='112'!$I$6,$M668='112'!$I$6))),"x",""))</f>
        <v/>
      </c>
      <c r="S668" s="39" t="str">
        <f>IF(ISERROR(FIND('112'!$M$9,G668,1)),"",IF((AND(LEFT(G668,2)=LEFT('112'!$M$9,2),B668&lt;'112'!$N$8,$L668='112'!$I$6)),"x",""))</f>
        <v/>
      </c>
      <c r="T668" s="39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39" t="str">
        <f>IF(OR(TH!L668=TH!$V$7,M668=TH!$V$7),"x","")</f>
        <v/>
      </c>
      <c r="W668" s="39" t="str">
        <f>IF(AND(B668&gt;='IN-NX'!$P$3,B668&lt;='IN-NX'!$Q$3,'IN-NX'!$D$7=D668,OR(LEFT(L668,2)="15",AND(LEFT(M668,2)&lt;&gt;"15",LEFT(M668,2)&lt;&gt;"33"))),"x","")</f>
        <v/>
      </c>
      <c r="X668" s="39" t="str">
        <f>IF(AND(OR(LEFT(TH!L668,2)="15",LEFT(TH!M668,2)="15"),'152-CT'!$J$8=TH!F668),"x","")</f>
        <v/>
      </c>
      <c r="Y668" s="39" t="str">
        <f>IF(AND(OR(LEFT(TH!L668,2)="15",LEFT(TH!M668,2)="15"),TK!$E$7=TH!F668),"x","")</f>
        <v/>
      </c>
      <c r="Z668" s="39" t="str">
        <f>IF(AND(B668&lt;=NKC!$N$8,B668&gt;=NKC!$M$8),"x","")</f>
        <v/>
      </c>
      <c r="AA668" s="894"/>
      <c r="AB668" s="598" t="e">
        <f t="shared" si="31"/>
        <v>#N/A</v>
      </c>
    </row>
    <row r="669" spans="1:30" ht="15.75" customHeight="1">
      <c r="A669" s="199" t="str">
        <f>IF(B669&lt;&gt;"",IF(AND(B669&gt;=_TM1,B669&lt;=_TM2,OR(TH!L669="1111",TH!M669="1111")),TH!D669,""),"")</f>
        <v/>
      </c>
      <c r="B669" s="36">
        <f t="shared" si="32"/>
        <v>1</v>
      </c>
      <c r="C669" s="190">
        <f t="shared" si="30"/>
        <v>0</v>
      </c>
      <c r="D669" s="183"/>
      <c r="E669" s="190"/>
      <c r="F669" s="191"/>
      <c r="G669" s="491"/>
      <c r="H669" s="192"/>
      <c r="I669" s="253"/>
      <c r="J669" s="253"/>
      <c r="K669" s="38"/>
      <c r="L669" s="193"/>
      <c r="M669" s="193"/>
      <c r="N669" s="39" t="str">
        <f>IF(AND('331-CT'!$E$7=TH!H669,OR(L669="331",M669="331")),"331",IF(AND(OR(L669="131",M669="131"),H669='131-CT'!$E$7),"131",""))</f>
        <v/>
      </c>
      <c r="O669" s="39" t="str">
        <f>IF(AND($B669&gt;='111'!$N$11,$B669&lt;='111'!$O$11,OR($L669=$O$7,$M669=$O$7)),"x","")</f>
        <v/>
      </c>
      <c r="P669" s="39" t="str">
        <f>IF(AND($L669=$O$7,$B669&lt;'111'!$N$11),"x","")</f>
        <v/>
      </c>
      <c r="Q669" s="39" t="str">
        <f>IF(AND($M669=$O$7,$B669&lt;'111'!$N$11),"x","")</f>
        <v/>
      </c>
      <c r="R669" s="39" t="str">
        <f>IF(ISERROR(FIND('112'!$M$9,G669,1)),"",IF((AND(FIND('112'!$M$9,G669,1)&gt;=1,$B669&gt;='112'!$N$8,$B669&lt;='112'!$O$8,OR($L669='112'!$I$6,$M669='112'!$I$6))),"x",""))</f>
        <v/>
      </c>
      <c r="S669" s="39" t="str">
        <f>IF(ISERROR(FIND('112'!$M$9,G669,1)),"",IF((AND(LEFT(G669,2)=LEFT('112'!$M$9,2),B669&lt;'112'!$N$8,$L669='112'!$I$6)),"x",""))</f>
        <v/>
      </c>
      <c r="T669" s="39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39" t="str">
        <f>IF(OR(TH!L669=TH!$V$7,M669=TH!$V$7),"x","")</f>
        <v/>
      </c>
      <c r="W669" s="39" t="str">
        <f>IF(AND(B669&gt;='IN-NX'!$P$3,B669&lt;='IN-NX'!$Q$3,'IN-NX'!$D$7=D669,OR(LEFT(L669,2)="15",AND(LEFT(M669,2)&lt;&gt;"15",LEFT(M669,2)&lt;&gt;"33"))),"x","")</f>
        <v/>
      </c>
      <c r="X669" s="39" t="str">
        <f>IF(AND(OR(LEFT(TH!L669,2)="15",LEFT(TH!M669,2)="15"),'152-CT'!$J$8=TH!F669),"x","")</f>
        <v/>
      </c>
      <c r="Y669" s="39" t="str">
        <f>IF(AND(OR(LEFT(TH!L669,2)="15",LEFT(TH!M669,2)="15"),TK!$E$7=TH!F669),"x","")</f>
        <v/>
      </c>
      <c r="Z669" s="39" t="str">
        <f>IF(AND(B669&lt;=NKC!$N$8,B669&gt;=NKC!$M$8),"x","")</f>
        <v/>
      </c>
      <c r="AA669" s="894"/>
      <c r="AB669" s="598" t="e">
        <f t="shared" si="31"/>
        <v>#N/A</v>
      </c>
    </row>
    <row r="670" spans="1:30" ht="15.75" customHeight="1">
      <c r="A670" s="199" t="str">
        <f>IF(B670&lt;&gt;"",IF(AND(B670&gt;=_TM1,B670&lt;=_TM2,OR(TH!L670="1111",TH!M670="1111")),TH!D670,""),"")</f>
        <v/>
      </c>
      <c r="B670" s="36">
        <f t="shared" si="32"/>
        <v>1</v>
      </c>
      <c r="C670" s="190">
        <f t="shared" si="30"/>
        <v>0</v>
      </c>
      <c r="D670" s="183"/>
      <c r="E670" s="190"/>
      <c r="F670" s="191"/>
      <c r="G670" s="491"/>
      <c r="H670" s="192"/>
      <c r="I670" s="254"/>
      <c r="J670" s="254"/>
      <c r="K670" s="38"/>
      <c r="L670" s="193"/>
      <c r="M670" s="193"/>
      <c r="N670" s="39" t="str">
        <f>IF(AND('331-CT'!$E$7=TH!H670,OR(L670="331",M670="331")),"331",IF(AND(OR(L670="131",M670="131"),H670='131-CT'!$E$7),"131",""))</f>
        <v/>
      </c>
      <c r="O670" s="39" t="str">
        <f>IF(AND($B670&gt;='111'!$N$11,$B670&lt;='111'!$O$11,OR($L670=$O$7,$M670=$O$7)),"x","")</f>
        <v/>
      </c>
      <c r="P670" s="39" t="str">
        <f>IF(AND($L670=$O$7,$B670&lt;'111'!$N$11),"x","")</f>
        <v/>
      </c>
      <c r="Q670" s="39" t="str">
        <f>IF(AND($M670=$O$7,$B670&lt;'111'!$N$11),"x","")</f>
        <v/>
      </c>
      <c r="R670" s="39" t="str">
        <f>IF(ISERROR(FIND('112'!$M$9,G670,1)),"",IF((AND(FIND('112'!$M$9,G670,1)&gt;=1,$B670&gt;='112'!$N$8,$B670&lt;='112'!$O$8,OR($L670='112'!$I$6,$M670='112'!$I$6))),"x",""))</f>
        <v/>
      </c>
      <c r="S670" s="39" t="str">
        <f>IF(ISERROR(FIND('112'!$M$9,G670,1)),"",IF((AND(LEFT(G670,2)=LEFT('112'!$M$9,2),B670&lt;'112'!$N$8,$L670='112'!$I$6)),"x",""))</f>
        <v/>
      </c>
      <c r="T670" s="39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39" t="str">
        <f>IF(OR(TH!L670=TH!$V$7,M670=TH!$V$7),"x","")</f>
        <v/>
      </c>
      <c r="W670" s="39" t="str">
        <f>IF(AND(B670&gt;='IN-NX'!$P$3,B670&lt;='IN-NX'!$Q$3,'IN-NX'!$D$7=D670,OR(LEFT(L670,2)="15",AND(LEFT(M670,2)&lt;&gt;"15",LEFT(M670,2)&lt;&gt;"33"))),"x","")</f>
        <v/>
      </c>
      <c r="X670" s="39" t="str">
        <f>IF(AND(OR(LEFT(TH!L670,2)="15",LEFT(TH!M670,2)="15"),'152-CT'!$J$8=TH!F670),"x","")</f>
        <v/>
      </c>
      <c r="Y670" s="39" t="str">
        <f>IF(AND(OR(LEFT(TH!L670,2)="15",LEFT(TH!M670,2)="15"),TK!$E$7=TH!F670),"x","")</f>
        <v/>
      </c>
      <c r="Z670" s="39" t="str">
        <f>IF(AND(B670&lt;=NKC!$N$8,B670&gt;=NKC!$M$8),"x","")</f>
        <v/>
      </c>
      <c r="AA670" s="894"/>
      <c r="AB670" s="598" t="e">
        <f t="shared" si="31"/>
        <v>#N/A</v>
      </c>
    </row>
    <row r="671" spans="1:30" ht="15.75" customHeight="1">
      <c r="A671" s="199" t="str">
        <f>IF(B671&lt;&gt;"",IF(AND(B671&gt;=_TM1,B671&lt;=_TM2,OR(TH!L671="1111",TH!M671="1111")),TH!D671,""),"")</f>
        <v/>
      </c>
      <c r="B671" s="36">
        <f t="shared" si="32"/>
        <v>1</v>
      </c>
      <c r="C671" s="190">
        <f t="shared" si="30"/>
        <v>0</v>
      </c>
      <c r="D671" s="183"/>
      <c r="E671" s="190"/>
      <c r="F671" s="191"/>
      <c r="G671" s="491"/>
      <c r="H671" s="192"/>
      <c r="I671" s="253"/>
      <c r="J671" s="253"/>
      <c r="K671" s="606"/>
      <c r="L671" s="193"/>
      <c r="M671" s="193"/>
      <c r="N671" s="39" t="str">
        <f>IF(AND('331-CT'!$E$7=TH!H671,OR(L671="331",M671="331")),"331",IF(AND(OR(L671="131",M671="131"),H671='131-CT'!$E$7),"131",""))</f>
        <v/>
      </c>
      <c r="O671" s="39" t="str">
        <f>IF(AND($B671&gt;='111'!$N$11,$B671&lt;='111'!$O$11,OR($L671=$O$7,$M671=$O$7)),"x","")</f>
        <v/>
      </c>
      <c r="P671" s="39" t="str">
        <f>IF(AND($L671=$O$7,$B671&lt;'111'!$N$11),"x","")</f>
        <v/>
      </c>
      <c r="Q671" s="39" t="str">
        <f>IF(AND($M671=$O$7,$B671&lt;'111'!$N$11),"x","")</f>
        <v/>
      </c>
      <c r="R671" s="39" t="str">
        <f>IF(ISERROR(FIND('112'!$M$9,G671,1)),"",IF((AND(FIND('112'!$M$9,G671,1)&gt;=1,$B671&gt;='112'!$N$8,$B671&lt;='112'!$O$8,OR($L671='112'!$I$6,$M671='112'!$I$6))),"x",""))</f>
        <v/>
      </c>
      <c r="S671" s="39" t="str">
        <f>IF(ISERROR(FIND('112'!$M$9,G671,1)),"",IF((AND(LEFT(G671,2)=LEFT('112'!$M$9,2),B671&lt;'112'!$N$8,$L671='112'!$I$6)),"x",""))</f>
        <v/>
      </c>
      <c r="T671" s="39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39" t="str">
        <f>IF(OR(TH!L671=TH!$V$7,M671=TH!$V$7),"x","")</f>
        <v/>
      </c>
      <c r="W671" s="39" t="str">
        <f>IF(AND(B671&gt;='IN-NX'!$P$3,B671&lt;='IN-NX'!$Q$3,'IN-NX'!$D$7=D671,OR(LEFT(L671,2)="15",AND(LEFT(M671,2)&lt;&gt;"15",LEFT(M671,2)&lt;&gt;"33"))),"x","")</f>
        <v/>
      </c>
      <c r="X671" s="39" t="str">
        <f>IF(AND(OR(LEFT(TH!L671,2)="15",LEFT(TH!M671,2)="15"),'152-CT'!$J$8=TH!F671),"x","")</f>
        <v/>
      </c>
      <c r="Y671" s="39" t="str">
        <f>IF(AND(OR(LEFT(TH!L671,2)="15",LEFT(TH!M671,2)="15"),TK!$E$7=TH!F671),"x","")</f>
        <v/>
      </c>
      <c r="Z671" s="39" t="str">
        <f>IF(AND(B671&lt;=NKC!$N$8,B671&gt;=NKC!$M$8),"x","")</f>
        <v/>
      </c>
      <c r="AA671" s="894"/>
      <c r="AB671" s="598" t="e">
        <f t="shared" si="31"/>
        <v>#N/A</v>
      </c>
    </row>
    <row r="672" spans="1:30" ht="15.75" customHeight="1">
      <c r="A672" s="199" t="str">
        <f>IF(B672&lt;&gt;"",IF(AND(B672&gt;=_TM1,B672&lt;=_TM2,OR(TH!L672="1111",TH!M672="1111")),TH!D672,""),"")</f>
        <v/>
      </c>
      <c r="B672" s="36">
        <f t="shared" si="32"/>
        <v>1</v>
      </c>
      <c r="C672" s="190">
        <f t="shared" si="30"/>
        <v>0</v>
      </c>
      <c r="D672" s="183"/>
      <c r="E672" s="190"/>
      <c r="F672" s="191"/>
      <c r="G672" s="491"/>
      <c r="H672" s="192"/>
      <c r="I672" s="254"/>
      <c r="J672" s="254"/>
      <c r="K672" s="38"/>
      <c r="L672" s="193"/>
      <c r="M672" s="193"/>
      <c r="N672" s="39" t="str">
        <f>IF(AND('331-CT'!$E$7=TH!H672,OR(L672="331",M672="331")),"331",IF(AND(OR(L672="131",M672="131"),H672='131-CT'!$E$7),"131",""))</f>
        <v/>
      </c>
      <c r="O672" s="39" t="str">
        <f>IF(AND($B672&gt;='111'!$N$11,$B672&lt;='111'!$O$11,OR($L672=$O$7,$M672=$O$7)),"x","")</f>
        <v/>
      </c>
      <c r="P672" s="39" t="str">
        <f>IF(AND($L672=$O$7,$B672&lt;'111'!$N$11),"x","")</f>
        <v/>
      </c>
      <c r="Q672" s="39" t="str">
        <f>IF(AND($M672=$O$7,$B672&lt;'111'!$N$11),"x","")</f>
        <v/>
      </c>
      <c r="R672" s="39" t="str">
        <f>IF(ISERROR(FIND('112'!$M$9,G672,1)),"",IF((AND(FIND('112'!$M$9,G672,1)&gt;=1,$B672&gt;='112'!$N$8,$B672&lt;='112'!$O$8,OR($L672='112'!$I$6,$M672='112'!$I$6))),"x",""))</f>
        <v/>
      </c>
      <c r="S672" s="39" t="str">
        <f>IF(ISERROR(FIND('112'!$M$9,G672,1)),"",IF((AND(LEFT(G672,2)=LEFT('112'!$M$9,2),B672&lt;'112'!$N$8,$L672='112'!$I$6)),"x",""))</f>
        <v/>
      </c>
      <c r="T672" s="39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39" t="str">
        <f>IF(OR(TH!L672=TH!$V$7,M672=TH!$V$7),"x","")</f>
        <v/>
      </c>
      <c r="W672" s="39" t="str">
        <f>IF(AND(B672&gt;='IN-NX'!$P$3,B672&lt;='IN-NX'!$Q$3,'IN-NX'!$D$7=D672,OR(LEFT(L672,2)="15",AND(LEFT(M672,2)&lt;&gt;"15",LEFT(M672,2)&lt;&gt;"33"))),"x","")</f>
        <v/>
      </c>
      <c r="X672" s="39" t="str">
        <f>IF(AND(OR(LEFT(TH!L672,2)="15",LEFT(TH!M672,2)="15"),'152-CT'!$J$8=TH!F672),"x","")</f>
        <v/>
      </c>
      <c r="Y672" s="39" t="str">
        <f>IF(AND(OR(LEFT(TH!L672,2)="15",LEFT(TH!M672,2)="15"),TK!$E$7=TH!F672),"x","")</f>
        <v/>
      </c>
      <c r="Z672" s="39" t="str">
        <f>IF(AND(B672&lt;=NKC!$N$8,B672&gt;=NKC!$M$8),"x","")</f>
        <v/>
      </c>
      <c r="AA672" s="894"/>
      <c r="AB672" s="598" t="e">
        <f t="shared" si="31"/>
        <v>#N/A</v>
      </c>
    </row>
    <row r="673" spans="1:29" ht="15.75" customHeight="1">
      <c r="A673" s="199" t="str">
        <f>IF(B673&lt;&gt;"",IF(AND(B673&gt;=_TM1,B673&lt;=_TM2,OR(TH!L673="1111",TH!M673="1111")),TH!D673,""),"")</f>
        <v/>
      </c>
      <c r="B673" s="36">
        <f t="shared" si="32"/>
        <v>1</v>
      </c>
      <c r="C673" s="190">
        <f t="shared" si="30"/>
        <v>0</v>
      </c>
      <c r="D673" s="183"/>
      <c r="E673" s="190"/>
      <c r="F673" s="191"/>
      <c r="G673" s="491"/>
      <c r="H673" s="192"/>
      <c r="I673" s="253"/>
      <c r="J673" s="253"/>
      <c r="K673" s="38"/>
      <c r="L673" s="193"/>
      <c r="M673" s="193"/>
      <c r="N673" s="39" t="str">
        <f>IF(AND('331-CT'!$E$7=TH!H673,OR(L673="331",M673="331")),"331",IF(AND(OR(L673="131",M673="131"),H673='131-CT'!$E$7),"131",""))</f>
        <v/>
      </c>
      <c r="O673" s="39" t="str">
        <f>IF(AND($B673&gt;='111'!$N$11,$B673&lt;='111'!$O$11,OR($L673=$O$7,$M673=$O$7)),"x","")</f>
        <v/>
      </c>
      <c r="P673" s="39" t="str">
        <f>IF(AND($L673=$O$7,$B673&lt;'111'!$N$11),"x","")</f>
        <v/>
      </c>
      <c r="Q673" s="39" t="str">
        <f>IF(AND($M673=$O$7,$B673&lt;'111'!$N$11),"x","")</f>
        <v/>
      </c>
      <c r="R673" s="39" t="str">
        <f>IF(ISERROR(FIND('112'!$M$9,G673,1)),"",IF((AND(FIND('112'!$M$9,G673,1)&gt;=1,$B673&gt;='112'!$N$8,$B673&lt;='112'!$O$8,OR($L673='112'!$I$6,$M673='112'!$I$6))),"x",""))</f>
        <v/>
      </c>
      <c r="S673" s="39" t="str">
        <f>IF(ISERROR(FIND('112'!$M$9,G673,1)),"",IF((AND(LEFT(G673,2)=LEFT('112'!$M$9,2),B673&lt;'112'!$N$8,$L673='112'!$I$6)),"x",""))</f>
        <v/>
      </c>
      <c r="T673" s="39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39" t="str">
        <f>IF(OR(TH!L673=TH!$V$7,M673=TH!$V$7),"x","")</f>
        <v/>
      </c>
      <c r="W673" s="39" t="str">
        <f>IF(AND(B673&gt;='IN-NX'!$P$3,B673&lt;='IN-NX'!$Q$3,'IN-NX'!$D$7=D673,OR(LEFT(L673,2)="15",AND(LEFT(M673,2)&lt;&gt;"15",LEFT(M673,2)&lt;&gt;"33"))),"x","")</f>
        <v/>
      </c>
      <c r="X673" s="39" t="str">
        <f>IF(AND(OR(LEFT(TH!L673,2)="15",LEFT(TH!M673,2)="15"),'152-CT'!$J$8=TH!F673),"x","")</f>
        <v/>
      </c>
      <c r="Y673" s="39" t="str">
        <f>IF(AND(OR(LEFT(TH!L673,2)="15",LEFT(TH!M673,2)="15"),TK!$E$7=TH!F673),"x","")</f>
        <v/>
      </c>
      <c r="Z673" s="39" t="str">
        <f>IF(AND(B673&lt;=NKC!$N$8,B673&gt;=NKC!$M$8),"x","")</f>
        <v/>
      </c>
      <c r="AA673" s="894"/>
      <c r="AB673" s="598" t="e">
        <f t="shared" si="31"/>
        <v>#N/A</v>
      </c>
      <c r="AC673" s="598"/>
    </row>
    <row r="674" spans="1:29" ht="15.75" customHeight="1">
      <c r="A674" s="199" t="str">
        <f>IF(B674&lt;&gt;"",IF(AND(B674&gt;=_TM1,B674&lt;=_TM2,OR(TH!L674="1111",TH!M674="1111")),TH!D674,""),"")</f>
        <v/>
      </c>
      <c r="B674" s="36">
        <f t="shared" si="32"/>
        <v>1</v>
      </c>
      <c r="C674" s="190">
        <f t="shared" si="30"/>
        <v>0</v>
      </c>
      <c r="D674" s="183"/>
      <c r="E674" s="190"/>
      <c r="F674" s="188"/>
      <c r="G674" s="491"/>
      <c r="H674" s="7"/>
      <c r="I674" s="253"/>
      <c r="J674" s="253"/>
      <c r="K674" s="38"/>
      <c r="L674" s="193"/>
      <c r="M674" s="193"/>
      <c r="N674" s="39" t="str">
        <f>IF(AND('331-CT'!$E$7=TH!H674,OR(L674="331",M674="331")),"331",IF(AND(OR(L674="131",M674="131"),H674='131-CT'!$E$7),"131",""))</f>
        <v/>
      </c>
      <c r="O674" s="39" t="str">
        <f>IF(AND($B674&gt;='111'!$N$11,$B674&lt;='111'!$O$11,OR($L674=$O$7,$M674=$O$7)),"x","")</f>
        <v/>
      </c>
      <c r="P674" s="39" t="str">
        <f>IF(AND($L674=$O$7,$B674&lt;'111'!$N$11),"x","")</f>
        <v/>
      </c>
      <c r="Q674" s="39" t="str">
        <f>IF(AND($M674=$O$7,$B674&lt;'111'!$N$11),"x","")</f>
        <v/>
      </c>
      <c r="R674" s="39" t="str">
        <f>IF(ISERROR(FIND('112'!$M$9,G674,1)),"",IF((AND(FIND('112'!$M$9,G674,1)&gt;=1,$B674&gt;='112'!$N$8,$B674&lt;='112'!$O$8,OR($L674='112'!$I$6,$M674='112'!$I$6))),"x",""))</f>
        <v/>
      </c>
      <c r="S674" s="39" t="str">
        <f>IF(ISERROR(FIND('112'!$M$9,G674,1)),"",IF((AND(LEFT(G674,2)=LEFT('112'!$M$9,2),B674&lt;'112'!$N$8,$L674='112'!$I$6)),"x",""))</f>
        <v/>
      </c>
      <c r="T674" s="39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39" t="str">
        <f>IF(OR(TH!L674=TH!$V$7,M674=TH!$V$7),"x","")</f>
        <v/>
      </c>
      <c r="W674" s="39" t="str">
        <f>IF(AND(B674&gt;='IN-NX'!$P$3,B674&lt;='IN-NX'!$Q$3,'IN-NX'!$D$7=D674,OR(LEFT(L674,2)="15",AND(LEFT(M674,2)&lt;&gt;"15",LEFT(M674,2)&lt;&gt;"33"))),"x","")</f>
        <v/>
      </c>
      <c r="X674" s="39" t="str">
        <f>IF(AND(OR(LEFT(TH!L674,2)="15",LEFT(TH!M674,2)="15"),'152-CT'!$J$8=TH!F674),"x","")</f>
        <v/>
      </c>
      <c r="Y674" s="39" t="str">
        <f>IF(AND(OR(LEFT(TH!L674,2)="15",LEFT(TH!M674,2)="15"),TK!$E$7=TH!F674),"x","")</f>
        <v/>
      </c>
      <c r="Z674" s="39" t="str">
        <f>IF(AND(B674&lt;=NKC!$N$8,B674&gt;=NKC!$M$8),"x","")</f>
        <v/>
      </c>
      <c r="AA674" s="894"/>
      <c r="AB674" s="598" t="e">
        <f t="shared" si="31"/>
        <v>#N/A</v>
      </c>
    </row>
    <row r="675" spans="1:29" ht="15.75" customHeight="1">
      <c r="A675" s="199" t="str">
        <f>IF(B675&lt;&gt;"",IF(AND(B675&gt;=_TM1,B675&lt;=_TM2,OR(TH!L675="1111",TH!M675="1111")),TH!D675,""),"")</f>
        <v/>
      </c>
      <c r="B675" s="36">
        <f t="shared" si="32"/>
        <v>1</v>
      </c>
      <c r="C675" s="190">
        <f t="shared" si="30"/>
        <v>0</v>
      </c>
      <c r="D675" s="183"/>
      <c r="E675" s="190"/>
      <c r="F675" s="188"/>
      <c r="G675" s="491"/>
      <c r="H675" s="7"/>
      <c r="I675" s="253"/>
      <c r="J675" s="253"/>
      <c r="K675" s="38"/>
      <c r="L675" s="193"/>
      <c r="M675" s="193"/>
      <c r="N675" s="39" t="str">
        <f>IF(AND('331-CT'!$E$7=TH!H675,OR(L675="331",M675="331")),"331",IF(AND(OR(L675="131",M675="131"),H675='131-CT'!$E$7),"131",""))</f>
        <v/>
      </c>
      <c r="O675" s="39" t="str">
        <f>IF(AND($B675&gt;='111'!$N$11,$B675&lt;='111'!$O$11,OR($L675=$O$7,$M675=$O$7)),"x","")</f>
        <v/>
      </c>
      <c r="P675" s="39" t="str">
        <f>IF(AND($L675=$O$7,$B675&lt;'111'!$N$11),"x","")</f>
        <v/>
      </c>
      <c r="Q675" s="39" t="str">
        <f>IF(AND($M675=$O$7,$B675&lt;'111'!$N$11),"x","")</f>
        <v/>
      </c>
      <c r="R675" s="39" t="str">
        <f>IF(ISERROR(FIND('112'!$M$9,G675,1)),"",IF((AND(FIND('112'!$M$9,G675,1)&gt;=1,$B675&gt;='112'!$N$8,$B675&lt;='112'!$O$8,OR($L675='112'!$I$6,$M675='112'!$I$6))),"x",""))</f>
        <v/>
      </c>
      <c r="S675" s="39" t="str">
        <f>IF(ISERROR(FIND('112'!$M$9,G675,1)),"",IF((AND(LEFT(G675,2)=LEFT('112'!$M$9,2),B675&lt;'112'!$N$8,$L675='112'!$I$6)),"x",""))</f>
        <v/>
      </c>
      <c r="T675" s="39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39" t="str">
        <f>IF(OR(TH!L675=TH!$V$7,M675=TH!$V$7),"x","")</f>
        <v/>
      </c>
      <c r="W675" s="39" t="str">
        <f>IF(AND(B675&gt;='IN-NX'!$P$3,B675&lt;='IN-NX'!$Q$3,'IN-NX'!$D$7=D675,OR(LEFT(L675,2)="15",AND(LEFT(M675,2)&lt;&gt;"15",LEFT(M675,2)&lt;&gt;"33"))),"x","")</f>
        <v/>
      </c>
      <c r="X675" s="39" t="str">
        <f>IF(AND(OR(LEFT(TH!L675,2)="15",LEFT(TH!M675,2)="15"),'152-CT'!$J$8=TH!F675),"x","")</f>
        <v/>
      </c>
      <c r="Y675" s="39" t="str">
        <f>IF(AND(OR(LEFT(TH!L675,2)="15",LEFT(TH!M675,2)="15"),TK!$E$7=TH!F675),"x","")</f>
        <v/>
      </c>
      <c r="Z675" s="39" t="str">
        <f>IF(AND(B675&lt;=NKC!$N$8,B675&gt;=NKC!$M$8),"x","")</f>
        <v/>
      </c>
      <c r="AA675" s="894"/>
      <c r="AB675" s="598" t="e">
        <f t="shared" si="31"/>
        <v>#N/A</v>
      </c>
    </row>
    <row r="676" spans="1:29" ht="15.75" customHeight="1">
      <c r="A676" s="199" t="str">
        <f>IF(B676&lt;&gt;"",IF(AND(B676&gt;=_TM1,B676&lt;=_TM2,OR(TH!L676="1111",TH!M676="1111")),TH!D676,""),"")</f>
        <v/>
      </c>
      <c r="B676" s="36">
        <f t="shared" si="32"/>
        <v>1</v>
      </c>
      <c r="C676" s="190">
        <f t="shared" si="30"/>
        <v>0</v>
      </c>
      <c r="D676" s="183"/>
      <c r="E676" s="190"/>
      <c r="F676" s="188"/>
      <c r="G676" s="491"/>
      <c r="H676" s="7"/>
      <c r="I676" s="253"/>
      <c r="J676" s="253"/>
      <c r="K676" s="606"/>
      <c r="L676" s="193"/>
      <c r="M676" s="193"/>
      <c r="N676" s="39" t="str">
        <f>IF(AND('331-CT'!$E$7=TH!H676,OR(L676="331",M676="331")),"331",IF(AND(OR(L676="131",M676="131"),H676='131-CT'!$E$7),"131",""))</f>
        <v/>
      </c>
      <c r="O676" s="39" t="str">
        <f>IF(AND($B676&gt;='111'!$N$11,$B676&lt;='111'!$O$11,OR($L676=$O$7,$M676=$O$7)),"x","")</f>
        <v/>
      </c>
      <c r="P676" s="39" t="str">
        <f>IF(AND($L676=$O$7,$B676&lt;'111'!$N$11),"x","")</f>
        <v/>
      </c>
      <c r="Q676" s="39" t="str">
        <f>IF(AND($M676=$O$7,$B676&lt;'111'!$N$11),"x","")</f>
        <v/>
      </c>
      <c r="R676" s="39" t="str">
        <f>IF(ISERROR(FIND('112'!$M$9,G676,1)),"",IF((AND(FIND('112'!$M$9,G676,1)&gt;=1,$B676&gt;='112'!$N$8,$B676&lt;='112'!$O$8,OR($L676='112'!$I$6,$M676='112'!$I$6))),"x",""))</f>
        <v/>
      </c>
      <c r="S676" s="39" t="str">
        <f>IF(ISERROR(FIND('112'!$M$9,G676,1)),"",IF((AND(LEFT(G676,2)=LEFT('112'!$M$9,2),B676&lt;'112'!$N$8,$L676='112'!$I$6)),"x",""))</f>
        <v/>
      </c>
      <c r="T676" s="39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39" t="str">
        <f>IF(OR(TH!L676=TH!$V$7,M676=TH!$V$7),"x","")</f>
        <v/>
      </c>
      <c r="W676" s="39" t="str">
        <f>IF(AND(B676&gt;='IN-NX'!$P$3,B676&lt;='IN-NX'!$Q$3,'IN-NX'!$D$7=D676,OR(LEFT(L676,2)="15",AND(LEFT(M676,2)&lt;&gt;"15",LEFT(M676,2)&lt;&gt;"33"))),"x","")</f>
        <v/>
      </c>
      <c r="X676" s="39" t="str">
        <f>IF(AND(OR(LEFT(TH!L676,2)="15",LEFT(TH!M676,2)="15"),'152-CT'!$J$8=TH!F676),"x","")</f>
        <v/>
      </c>
      <c r="Y676" s="39" t="str">
        <f>IF(AND(OR(LEFT(TH!L676,2)="15",LEFT(TH!M676,2)="15"),TK!$E$7=TH!F676),"x","")</f>
        <v/>
      </c>
      <c r="Z676" s="39" t="str">
        <f>IF(AND(B676&lt;=NKC!$N$8,B676&gt;=NKC!$M$8),"x","")</f>
        <v/>
      </c>
      <c r="AA676" s="894"/>
      <c r="AB676" s="598" t="e">
        <f t="shared" si="31"/>
        <v>#N/A</v>
      </c>
    </row>
    <row r="677" spans="1:29" ht="15.75" customHeight="1">
      <c r="A677" s="199" t="str">
        <f>IF(B677&lt;&gt;"",IF(AND(B677&gt;=_TM1,B677&lt;=_TM2,OR(TH!L677="1111",TH!M677="1111")),TH!D677,""),"")</f>
        <v/>
      </c>
      <c r="B677" s="36">
        <f t="shared" si="32"/>
        <v>1</v>
      </c>
      <c r="C677" s="190">
        <f t="shared" si="30"/>
        <v>0</v>
      </c>
      <c r="D677" s="183"/>
      <c r="E677" s="190"/>
      <c r="F677" s="293"/>
      <c r="G677" s="491"/>
      <c r="H677" s="7"/>
      <c r="I677" s="253"/>
      <c r="J677" s="253"/>
      <c r="K677" s="38"/>
      <c r="L677" s="193"/>
      <c r="M677" s="193"/>
      <c r="N677" s="39" t="str">
        <f>IF(AND('331-CT'!$E$7=TH!H677,OR(L677="331",M677="331")),"331",IF(AND(OR(L677="131",M677="131"),H677='131-CT'!$E$7),"131",""))</f>
        <v/>
      </c>
      <c r="O677" s="39" t="str">
        <f>IF(AND($B677&gt;='111'!$N$11,$B677&lt;='111'!$O$11,OR($L677=$O$7,$M677=$O$7)),"x","")</f>
        <v/>
      </c>
      <c r="P677" s="39" t="str">
        <f>IF(AND($L677=$O$7,$B677&lt;'111'!$N$11),"x","")</f>
        <v/>
      </c>
      <c r="Q677" s="39" t="str">
        <f>IF(AND($M677=$O$7,$B677&lt;'111'!$N$11),"x","")</f>
        <v/>
      </c>
      <c r="R677" s="39" t="str">
        <f>IF(ISERROR(FIND('112'!$M$9,G677,1)),"",IF((AND(FIND('112'!$M$9,G677,1)&gt;=1,$B677&gt;='112'!$N$8,$B677&lt;='112'!$O$8,OR($L677='112'!$I$6,$M677='112'!$I$6))),"x",""))</f>
        <v/>
      </c>
      <c r="S677" s="39" t="str">
        <f>IF(ISERROR(FIND('112'!$M$9,G677,1)),"",IF((AND(LEFT(G677,2)=LEFT('112'!$M$9,2),B677&lt;'112'!$N$8,$L677='112'!$I$6)),"x",""))</f>
        <v/>
      </c>
      <c r="T677" s="39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39" t="str">
        <f>IF(OR(TH!L677=TH!$V$7,M677=TH!$V$7),"x","")</f>
        <v/>
      </c>
      <c r="W677" s="39" t="str">
        <f>IF(AND(B677&gt;='IN-NX'!$P$3,B677&lt;='IN-NX'!$Q$3,'IN-NX'!$D$7=D677,OR(LEFT(L677,2)="15",AND(LEFT(M677,2)&lt;&gt;"15",LEFT(M677,2)&lt;&gt;"33"))),"x","")</f>
        <v/>
      </c>
      <c r="X677" s="39" t="str">
        <f>IF(AND(OR(LEFT(TH!L677,2)="15",LEFT(TH!M677,2)="15"),'152-CT'!$J$8=TH!F677),"x","")</f>
        <v/>
      </c>
      <c r="Y677" s="39" t="str">
        <f>IF(AND(OR(LEFT(TH!L677,2)="15",LEFT(TH!M677,2)="15"),TK!$E$7=TH!F677),"x","")</f>
        <v/>
      </c>
      <c r="Z677" s="39" t="str">
        <f>IF(AND(B677&lt;=NKC!$N$8,B677&gt;=NKC!$M$8),"x","")</f>
        <v/>
      </c>
      <c r="AA677" s="894"/>
      <c r="AB677" s="598" t="e">
        <f t="shared" si="31"/>
        <v>#N/A</v>
      </c>
    </row>
    <row r="678" spans="1:29" ht="15.75" customHeight="1">
      <c r="A678" s="199" t="str">
        <f>IF(B678&lt;&gt;"",IF(AND(B678&gt;=_TM1,B678&lt;=_TM2,OR(TH!L678="1111",TH!M678="1111")),TH!D678,""),"")</f>
        <v/>
      </c>
      <c r="B678" s="36">
        <f t="shared" si="32"/>
        <v>1</v>
      </c>
      <c r="C678" s="190">
        <f t="shared" si="30"/>
        <v>0</v>
      </c>
      <c r="D678" s="183"/>
      <c r="E678" s="190"/>
      <c r="F678" s="188"/>
      <c r="G678" s="491"/>
      <c r="H678" s="7"/>
      <c r="I678" s="253"/>
      <c r="J678" s="253"/>
      <c r="K678" s="38"/>
      <c r="L678" s="193"/>
      <c r="M678" s="193"/>
      <c r="N678" s="39" t="str">
        <f>IF(AND('331-CT'!$E$7=TH!H678,OR(L678="331",M678="331")),"331",IF(AND(OR(L678="131",M678="131"),H678='131-CT'!$E$7),"131",""))</f>
        <v/>
      </c>
      <c r="O678" s="39" t="str">
        <f>IF(AND($B678&gt;='111'!$N$11,$B678&lt;='111'!$O$11,OR($L678=$O$7,$M678=$O$7)),"x","")</f>
        <v/>
      </c>
      <c r="P678" s="39" t="str">
        <f>IF(AND($L678=$O$7,$B678&lt;'111'!$N$11),"x","")</f>
        <v/>
      </c>
      <c r="Q678" s="39" t="str">
        <f>IF(AND($M678=$O$7,$B678&lt;'111'!$N$11),"x","")</f>
        <v/>
      </c>
      <c r="R678" s="39" t="str">
        <f>IF(ISERROR(FIND('112'!$M$9,G678,1)),"",IF((AND(FIND('112'!$M$9,G678,1)&gt;=1,$B678&gt;='112'!$N$8,$B678&lt;='112'!$O$8,OR($L678='112'!$I$6,$M678='112'!$I$6))),"x",""))</f>
        <v/>
      </c>
      <c r="S678" s="39" t="str">
        <f>IF(ISERROR(FIND('112'!$M$9,G678,1)),"",IF((AND(LEFT(G678,2)=LEFT('112'!$M$9,2),B678&lt;'112'!$N$8,$L678='112'!$I$6)),"x",""))</f>
        <v/>
      </c>
      <c r="T678" s="39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39" t="str">
        <f>IF(OR(TH!L678=TH!$V$7,M678=TH!$V$7),"x","")</f>
        <v/>
      </c>
      <c r="W678" s="39" t="str">
        <f>IF(AND(B678&gt;='IN-NX'!$P$3,B678&lt;='IN-NX'!$Q$3,'IN-NX'!$D$7=D678,OR(LEFT(L678,2)="15",AND(LEFT(M678,2)&lt;&gt;"15",LEFT(M678,2)&lt;&gt;"33"))),"x","")</f>
        <v/>
      </c>
      <c r="X678" s="39" t="str">
        <f>IF(AND(OR(LEFT(TH!L678,2)="15",LEFT(TH!M678,2)="15"),'152-CT'!$J$8=TH!F678),"x","")</f>
        <v/>
      </c>
      <c r="Y678" s="39" t="str">
        <f>IF(AND(OR(LEFT(TH!L678,2)="15",LEFT(TH!M678,2)="15"),TK!$E$7=TH!F678),"x","")</f>
        <v/>
      </c>
      <c r="Z678" s="39" t="str">
        <f>IF(AND(B678&lt;=NKC!$N$8,B678&gt;=NKC!$M$8),"x","")</f>
        <v/>
      </c>
      <c r="AA678" s="894"/>
      <c r="AB678" s="598" t="e">
        <f t="shared" si="31"/>
        <v>#N/A</v>
      </c>
    </row>
    <row r="679" spans="1:29" ht="15.75" customHeight="1">
      <c r="A679" s="199" t="str">
        <f>IF(B679&lt;&gt;"",IF(AND(B679&gt;=_TM1,B679&lt;=_TM2,OR(TH!L679="1111",TH!M679="1111")),TH!D679,""),"")</f>
        <v/>
      </c>
      <c r="B679" s="36">
        <f t="shared" si="32"/>
        <v>1</v>
      </c>
      <c r="C679" s="190">
        <f t="shared" si="30"/>
        <v>0</v>
      </c>
      <c r="D679" s="183"/>
      <c r="E679" s="190"/>
      <c r="F679" s="40"/>
      <c r="G679" s="491"/>
      <c r="H679" s="7"/>
      <c r="I679" s="253"/>
      <c r="J679" s="253"/>
      <c r="K679" s="38"/>
      <c r="L679" s="193"/>
      <c r="M679" s="193"/>
      <c r="N679" s="39" t="str">
        <f>IF(AND('331-CT'!$E$7=TH!H679,OR(L679="331",M679="331")),"331",IF(AND(OR(L679="131",M679="131"),H679='131-CT'!$E$7),"131",""))</f>
        <v/>
      </c>
      <c r="O679" s="39" t="str">
        <f>IF(AND($B679&gt;='111'!$N$11,$B679&lt;='111'!$O$11,OR($L679=$O$7,$M679=$O$7)),"x","")</f>
        <v/>
      </c>
      <c r="P679" s="39" t="str">
        <f>IF(AND($L679=$O$7,$B679&lt;'111'!$N$11),"x","")</f>
        <v/>
      </c>
      <c r="Q679" s="39" t="str">
        <f>IF(AND($M679=$O$7,$B679&lt;'111'!$N$11),"x","")</f>
        <v/>
      </c>
      <c r="R679" s="39" t="str">
        <f>IF(ISERROR(FIND('112'!$M$9,G679,1)),"",IF((AND(FIND('112'!$M$9,G679,1)&gt;=1,$B679&gt;='112'!$N$8,$B679&lt;='112'!$O$8,OR($L679='112'!$I$6,$M679='112'!$I$6))),"x",""))</f>
        <v/>
      </c>
      <c r="S679" s="39" t="str">
        <f>IF(ISERROR(FIND('112'!$M$9,G679,1)),"",IF((AND(LEFT(G679,2)=LEFT('112'!$M$9,2),B679&lt;'112'!$N$8,$L679='112'!$I$6)),"x",""))</f>
        <v/>
      </c>
      <c r="T679" s="39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39" t="str">
        <f>IF(OR(TH!L679=TH!$V$7,M679=TH!$V$7),"x","")</f>
        <v/>
      </c>
      <c r="W679" s="39" t="str">
        <f>IF(AND(B679&gt;='IN-NX'!$P$3,B679&lt;='IN-NX'!$Q$3,'IN-NX'!$D$7=D679,OR(LEFT(L679,2)="15",AND(LEFT(M679,2)&lt;&gt;"15",LEFT(M679,2)&lt;&gt;"33"))),"x","")</f>
        <v/>
      </c>
      <c r="X679" s="39" t="str">
        <f>IF(AND(OR(LEFT(TH!L679,2)="15",LEFT(TH!M679,2)="15"),'152-CT'!$J$8=TH!F679),"x","")</f>
        <v/>
      </c>
      <c r="Y679" s="39" t="str">
        <f>IF(AND(OR(LEFT(TH!L679,2)="15",LEFT(TH!M679,2)="15"),TK!$E$7=TH!F679),"x","")</f>
        <v/>
      </c>
      <c r="Z679" s="39" t="str">
        <f>IF(AND(B679&lt;=NKC!$N$8,B679&gt;=NKC!$M$8),"x","")</f>
        <v/>
      </c>
      <c r="AA679" s="894"/>
      <c r="AB679" s="598" t="e">
        <f t="shared" si="31"/>
        <v>#N/A</v>
      </c>
    </row>
    <row r="680" spans="1:29" ht="15.75" customHeight="1">
      <c r="A680" s="199" t="str">
        <f>IF(B680&lt;&gt;"",IF(AND(B680&gt;=_TM1,B680&lt;=_TM2,OR(TH!L680="1111",TH!M680="1111")),TH!D680,""),"")</f>
        <v/>
      </c>
      <c r="B680" s="36">
        <f t="shared" si="32"/>
        <v>1</v>
      </c>
      <c r="C680" s="190">
        <f t="shared" si="30"/>
        <v>0</v>
      </c>
      <c r="D680" s="183"/>
      <c r="E680" s="190"/>
      <c r="F680" s="188"/>
      <c r="G680" s="491"/>
      <c r="H680" s="7"/>
      <c r="I680" s="253"/>
      <c r="J680" s="253"/>
      <c r="K680" s="38"/>
      <c r="L680" s="193"/>
      <c r="M680" s="193"/>
      <c r="N680" s="39" t="str">
        <f>IF(AND('331-CT'!$E$7=TH!H680,OR(L680="331",M680="331")),"331",IF(AND(OR(L680="131",M680="131"),H680='131-CT'!$E$7),"131",""))</f>
        <v/>
      </c>
      <c r="O680" s="39" t="str">
        <f>IF(AND($B680&gt;='111'!$N$11,$B680&lt;='111'!$O$11,OR($L680=$O$7,$M680=$O$7)),"x","")</f>
        <v/>
      </c>
      <c r="P680" s="39" t="str">
        <f>IF(AND($L680=$O$7,$B680&lt;'111'!$N$11),"x","")</f>
        <v/>
      </c>
      <c r="Q680" s="39" t="str">
        <f>IF(AND($M680=$O$7,$B680&lt;'111'!$N$11),"x","")</f>
        <v/>
      </c>
      <c r="R680" s="39" t="str">
        <f>IF(ISERROR(FIND('112'!$M$9,G680,1)),"",IF((AND(FIND('112'!$M$9,G680,1)&gt;=1,$B680&gt;='112'!$N$8,$B680&lt;='112'!$O$8,OR($L680='112'!$I$6,$M680='112'!$I$6))),"x",""))</f>
        <v/>
      </c>
      <c r="S680" s="39" t="str">
        <f>IF(ISERROR(FIND('112'!$M$9,G680,1)),"",IF((AND(LEFT(G680,2)=LEFT('112'!$M$9,2),B680&lt;'112'!$N$8,$L680='112'!$I$6)),"x",""))</f>
        <v/>
      </c>
      <c r="T680" s="39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39" t="str">
        <f>IF(OR(TH!L680=TH!$V$7,M680=TH!$V$7),"x","")</f>
        <v/>
      </c>
      <c r="W680" s="39" t="str">
        <f>IF(AND(B680&gt;='IN-NX'!$P$3,B680&lt;='IN-NX'!$Q$3,'IN-NX'!$D$7=D680,OR(LEFT(L680,2)="15",AND(LEFT(M680,2)&lt;&gt;"15",LEFT(M680,2)&lt;&gt;"33"))),"x","")</f>
        <v/>
      </c>
      <c r="X680" s="39" t="str">
        <f>IF(AND(OR(LEFT(TH!L680,2)="15",LEFT(TH!M680,2)="15"),'152-CT'!$J$8=TH!F680),"x","")</f>
        <v/>
      </c>
      <c r="Y680" s="39" t="str">
        <f>IF(AND(OR(LEFT(TH!L680,2)="15",LEFT(TH!M680,2)="15"),TK!$E$7=TH!F680),"x","")</f>
        <v/>
      </c>
      <c r="Z680" s="39" t="str">
        <f>IF(AND(B680&lt;=NKC!$N$8,B680&gt;=NKC!$M$8),"x","")</f>
        <v/>
      </c>
      <c r="AA680" s="894"/>
      <c r="AB680" s="598" t="e">
        <f t="shared" si="31"/>
        <v>#N/A</v>
      </c>
    </row>
    <row r="681" spans="1:29" ht="15.75" customHeight="1">
      <c r="A681" s="199" t="str">
        <f>IF(B681&lt;&gt;"",IF(AND(B681&gt;=_TM1,B681&lt;=_TM2,OR(TH!L681="1111",TH!M681="1111")),TH!D681,""),"")</f>
        <v/>
      </c>
      <c r="B681" s="36">
        <f t="shared" si="32"/>
        <v>1</v>
      </c>
      <c r="C681" s="190">
        <f t="shared" si="30"/>
        <v>0</v>
      </c>
      <c r="D681" s="183"/>
      <c r="E681" s="190"/>
      <c r="F681" s="40"/>
      <c r="G681" s="491"/>
      <c r="H681" s="7"/>
      <c r="I681" s="253"/>
      <c r="J681" s="253"/>
      <c r="K681" s="38"/>
      <c r="L681" s="193"/>
      <c r="M681" s="193"/>
      <c r="N681" s="39" t="str">
        <f>IF(AND('331-CT'!$E$7=TH!H681,OR(L681="331",M681="331")),"331",IF(AND(OR(L681="131",M681="131"),H681='131-CT'!$E$7),"131",""))</f>
        <v/>
      </c>
      <c r="O681" s="39" t="str">
        <f>IF(AND($B681&gt;='111'!$N$11,$B681&lt;='111'!$O$11,OR($L681=$O$7,$M681=$O$7)),"x","")</f>
        <v/>
      </c>
      <c r="P681" s="39" t="str">
        <f>IF(AND($L681=$O$7,$B681&lt;'111'!$N$11),"x","")</f>
        <v/>
      </c>
      <c r="Q681" s="39" t="str">
        <f>IF(AND($M681=$O$7,$B681&lt;'111'!$N$11),"x","")</f>
        <v/>
      </c>
      <c r="R681" s="39" t="str">
        <f>IF(ISERROR(FIND('112'!$M$9,G681,1)),"",IF((AND(FIND('112'!$M$9,G681,1)&gt;=1,$B681&gt;='112'!$N$8,$B681&lt;='112'!$O$8,OR($L681='112'!$I$6,$M681='112'!$I$6))),"x",""))</f>
        <v/>
      </c>
      <c r="S681" s="39" t="str">
        <f>IF(ISERROR(FIND('112'!$M$9,G681,1)),"",IF((AND(LEFT(G681,2)=LEFT('112'!$M$9,2),B681&lt;'112'!$N$8,$L681='112'!$I$6)),"x",""))</f>
        <v/>
      </c>
      <c r="T681" s="39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39" t="str">
        <f>IF(OR(TH!L681=TH!$V$7,M681=TH!$V$7),"x","")</f>
        <v/>
      </c>
      <c r="W681" s="39" t="str">
        <f>IF(AND(B681&gt;='IN-NX'!$P$3,B681&lt;='IN-NX'!$Q$3,'IN-NX'!$D$7=D681,OR(LEFT(L681,2)="15",AND(LEFT(M681,2)&lt;&gt;"15",LEFT(M681,2)&lt;&gt;"33"))),"x","")</f>
        <v/>
      </c>
      <c r="X681" s="39" t="str">
        <f>IF(AND(OR(LEFT(TH!L681,2)="15",LEFT(TH!M681,2)="15"),'152-CT'!$J$8=TH!F681),"x","")</f>
        <v/>
      </c>
      <c r="Y681" s="39" t="str">
        <f>IF(AND(OR(LEFT(TH!L681,2)="15",LEFT(TH!M681,2)="15"),TK!$E$7=TH!F681),"x","")</f>
        <v/>
      </c>
      <c r="Z681" s="39" t="str">
        <f>IF(AND(B681&lt;=NKC!$N$8,B681&gt;=NKC!$M$8),"x","")</f>
        <v/>
      </c>
      <c r="AA681" s="894"/>
      <c r="AB681" s="598" t="e">
        <f t="shared" si="31"/>
        <v>#N/A</v>
      </c>
    </row>
    <row r="682" spans="1:29" ht="15.75" customHeight="1">
      <c r="A682" s="199" t="str">
        <f>IF(B682&lt;&gt;"",IF(AND(B682&gt;=_TM1,B682&lt;=_TM2,OR(TH!L682="1111",TH!M682="1111")),TH!D682,""),"")</f>
        <v/>
      </c>
      <c r="B682" s="36">
        <f t="shared" si="32"/>
        <v>1</v>
      </c>
      <c r="C682" s="190">
        <f t="shared" si="30"/>
        <v>0</v>
      </c>
      <c r="D682" s="183"/>
      <c r="E682" s="190"/>
      <c r="F682" s="40"/>
      <c r="G682" s="491"/>
      <c r="H682" s="7"/>
      <c r="I682" s="253"/>
      <c r="J682" s="253"/>
      <c r="K682" s="38"/>
      <c r="L682" s="193"/>
      <c r="M682" s="193"/>
      <c r="N682" s="39" t="str">
        <f>IF(AND('331-CT'!$E$7=TH!H682,OR(L682="331",M682="331")),"331",IF(AND(OR(L682="131",M682="131"),H682='131-CT'!$E$7),"131",""))</f>
        <v/>
      </c>
      <c r="O682" s="39" t="str">
        <f>IF(AND($B682&gt;='111'!$N$11,$B682&lt;='111'!$O$11,OR($L682=$O$7,$M682=$O$7)),"x","")</f>
        <v/>
      </c>
      <c r="P682" s="39" t="str">
        <f>IF(AND($L682=$O$7,$B682&lt;'111'!$N$11),"x","")</f>
        <v/>
      </c>
      <c r="Q682" s="39" t="str">
        <f>IF(AND($M682=$O$7,$B682&lt;'111'!$N$11),"x","")</f>
        <v/>
      </c>
      <c r="R682" s="39" t="str">
        <f>IF(ISERROR(FIND('112'!$M$9,G682,1)),"",IF((AND(FIND('112'!$M$9,G682,1)&gt;=1,$B682&gt;='112'!$N$8,$B682&lt;='112'!$O$8,OR($L682='112'!$I$6,$M682='112'!$I$6))),"x",""))</f>
        <v/>
      </c>
      <c r="S682" s="39" t="str">
        <f>IF(ISERROR(FIND('112'!$M$9,G682,1)),"",IF((AND(LEFT(G682,2)=LEFT('112'!$M$9,2),B682&lt;'112'!$N$8,$L682='112'!$I$6)),"x",""))</f>
        <v/>
      </c>
      <c r="T682" s="39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39" t="str">
        <f>IF(OR(TH!L682=TH!$V$7,M682=TH!$V$7),"x","")</f>
        <v/>
      </c>
      <c r="W682" s="39" t="str">
        <f>IF(AND(B682&gt;='IN-NX'!$P$3,B682&lt;='IN-NX'!$Q$3,'IN-NX'!$D$7=D682,OR(LEFT(L682,2)="15",AND(LEFT(M682,2)&lt;&gt;"15",LEFT(M682,2)&lt;&gt;"33"))),"x","")</f>
        <v/>
      </c>
      <c r="X682" s="39" t="str">
        <f>IF(AND(OR(LEFT(TH!L682,2)="15",LEFT(TH!M682,2)="15"),'152-CT'!$J$8=TH!F682),"x","")</f>
        <v/>
      </c>
      <c r="Y682" s="39" t="str">
        <f>IF(AND(OR(LEFT(TH!L682,2)="15",LEFT(TH!M682,2)="15"),TK!$E$7=TH!F682),"x","")</f>
        <v/>
      </c>
      <c r="Z682" s="39" t="str">
        <f>IF(AND(B682&lt;=NKC!$N$8,B682&gt;=NKC!$M$8),"x","")</f>
        <v/>
      </c>
      <c r="AA682" s="894"/>
      <c r="AB682" s="598" t="e">
        <f t="shared" si="31"/>
        <v>#N/A</v>
      </c>
    </row>
    <row r="683" spans="1:29" ht="15.75" customHeight="1">
      <c r="A683" s="199" t="str">
        <f>IF(B683&lt;&gt;"",IF(AND(B683&gt;=_TM1,B683&lt;=_TM2,OR(TH!L683="1111",TH!M683="1111")),TH!D683,""),"")</f>
        <v/>
      </c>
      <c r="B683" s="36">
        <f t="shared" si="32"/>
        <v>1</v>
      </c>
      <c r="C683" s="190">
        <f t="shared" si="30"/>
        <v>0</v>
      </c>
      <c r="D683" s="183"/>
      <c r="E683" s="190"/>
      <c r="F683" s="188"/>
      <c r="G683" s="491"/>
      <c r="H683" s="7"/>
      <c r="I683" s="253"/>
      <c r="J683" s="253"/>
      <c r="K683" s="38"/>
      <c r="L683" s="193"/>
      <c r="M683" s="193"/>
      <c r="N683" s="39" t="str">
        <f>IF(AND('331-CT'!$E$7=TH!H683,OR(L683="331",M683="331")),"331",IF(AND(OR(L683="131",M683="131"),H683='131-CT'!$E$7),"131",""))</f>
        <v/>
      </c>
      <c r="O683" s="39" t="str">
        <f>IF(AND($B683&gt;='111'!$N$11,$B683&lt;='111'!$O$11,OR($L683=$O$7,$M683=$O$7)),"x","")</f>
        <v/>
      </c>
      <c r="P683" s="39" t="str">
        <f>IF(AND($L683=$O$7,$B683&lt;'111'!$N$11),"x","")</f>
        <v/>
      </c>
      <c r="Q683" s="39" t="str">
        <f>IF(AND($M683=$O$7,$B683&lt;'111'!$N$11),"x","")</f>
        <v/>
      </c>
      <c r="R683" s="39" t="str">
        <f>IF(ISERROR(FIND('112'!$M$9,G683,1)),"",IF((AND(FIND('112'!$M$9,G683,1)&gt;=1,$B683&gt;='112'!$N$8,$B683&lt;='112'!$O$8,OR($L683='112'!$I$6,$M683='112'!$I$6))),"x",""))</f>
        <v/>
      </c>
      <c r="S683" s="39" t="str">
        <f>IF(ISERROR(FIND('112'!$M$9,G683,1)),"",IF((AND(LEFT(G683,2)=LEFT('112'!$M$9,2),B683&lt;'112'!$N$8,$L683='112'!$I$6)),"x",""))</f>
        <v/>
      </c>
      <c r="T683" s="39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39" t="str">
        <f>IF(OR(TH!L683=TH!$V$7,M683=TH!$V$7),"x","")</f>
        <v/>
      </c>
      <c r="W683" s="39" t="str">
        <f>IF(AND(B683&gt;='IN-NX'!$P$3,B683&lt;='IN-NX'!$Q$3,'IN-NX'!$D$7=D683,OR(LEFT(L683,2)="15",AND(LEFT(M683,2)&lt;&gt;"15",LEFT(M683,2)&lt;&gt;"33"))),"x","")</f>
        <v/>
      </c>
      <c r="X683" s="39" t="str">
        <f>IF(AND(OR(LEFT(TH!L683,2)="15",LEFT(TH!M683,2)="15"),'152-CT'!$J$8=TH!F683),"x","")</f>
        <v/>
      </c>
      <c r="Y683" s="39" t="str">
        <f>IF(AND(OR(LEFT(TH!L683,2)="15",LEFT(TH!M683,2)="15"),TK!$E$7=TH!F683),"x","")</f>
        <v/>
      </c>
      <c r="Z683" s="39" t="str">
        <f>IF(AND(B683&lt;=NKC!$N$8,B683&gt;=NKC!$M$8),"x","")</f>
        <v/>
      </c>
      <c r="AA683" s="894"/>
      <c r="AB683" s="598" t="e">
        <f t="shared" si="31"/>
        <v>#N/A</v>
      </c>
      <c r="AC683" s="598"/>
    </row>
    <row r="684" spans="1:29" ht="15.75" customHeight="1">
      <c r="A684" s="199" t="str">
        <f>IF(B684&lt;&gt;"",IF(AND(B684&gt;=_TM1,B684&lt;=_TM2,OR(TH!L684="1111",TH!M684="1111")),TH!D684,""),"")</f>
        <v/>
      </c>
      <c r="B684" s="36">
        <f t="shared" si="32"/>
        <v>1</v>
      </c>
      <c r="C684" s="190">
        <f t="shared" si="30"/>
        <v>0</v>
      </c>
      <c r="D684" s="183"/>
      <c r="E684" s="190"/>
      <c r="F684" s="188"/>
      <c r="G684" s="491"/>
      <c r="H684" s="7"/>
      <c r="I684" s="253"/>
      <c r="J684" s="253"/>
      <c r="K684" s="38"/>
      <c r="L684" s="193"/>
      <c r="M684" s="193"/>
      <c r="N684" s="39" t="str">
        <f>IF(AND('331-CT'!$E$7=TH!H684,OR(L684="331",M684="331")),"331",IF(AND(OR(L684="131",M684="131"),H684='131-CT'!$E$7),"131",""))</f>
        <v/>
      </c>
      <c r="O684" s="39" t="str">
        <f>IF(AND($B684&gt;='111'!$N$11,$B684&lt;='111'!$O$11,OR($L684=$O$7,$M684=$O$7)),"x","")</f>
        <v/>
      </c>
      <c r="P684" s="39" t="str">
        <f>IF(AND($L684=$O$7,$B684&lt;'111'!$N$11),"x","")</f>
        <v/>
      </c>
      <c r="Q684" s="39" t="str">
        <f>IF(AND($M684=$O$7,$B684&lt;'111'!$N$11),"x","")</f>
        <v/>
      </c>
      <c r="R684" s="39" t="str">
        <f>IF(ISERROR(FIND('112'!$M$9,G684,1)),"",IF((AND(FIND('112'!$M$9,G684,1)&gt;=1,$B684&gt;='112'!$N$8,$B684&lt;='112'!$O$8,OR($L684='112'!$I$6,$M684='112'!$I$6))),"x",""))</f>
        <v/>
      </c>
      <c r="S684" s="39" t="str">
        <f>IF(ISERROR(FIND('112'!$M$9,G684,1)),"",IF((AND(LEFT(G684,2)=LEFT('112'!$M$9,2),B684&lt;'112'!$N$8,$L684='112'!$I$6)),"x",""))</f>
        <v/>
      </c>
      <c r="T684" s="39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39" t="str">
        <f>IF(OR(TH!L684=TH!$V$7,M684=TH!$V$7),"x","")</f>
        <v/>
      </c>
      <c r="W684" s="39" t="str">
        <f>IF(AND(B684&gt;='IN-NX'!$P$3,B684&lt;='IN-NX'!$Q$3,'IN-NX'!$D$7=D684,OR(LEFT(L684,2)="15",AND(LEFT(M684,2)&lt;&gt;"15",LEFT(M684,2)&lt;&gt;"33"))),"x","")</f>
        <v/>
      </c>
      <c r="X684" s="39" t="str">
        <f>IF(AND(OR(LEFT(TH!L684,2)="15",LEFT(TH!M684,2)="15"),'152-CT'!$J$8=TH!F684),"x","")</f>
        <v/>
      </c>
      <c r="Y684" s="39" t="str">
        <f>IF(AND(OR(LEFT(TH!L684,2)="15",LEFT(TH!M684,2)="15"),TK!$E$7=TH!F684),"x","")</f>
        <v/>
      </c>
      <c r="Z684" s="39" t="str">
        <f>IF(AND(B684&lt;=NKC!$N$8,B684&gt;=NKC!$M$8),"x","")</f>
        <v/>
      </c>
      <c r="AA684" s="894"/>
      <c r="AB684" s="598" t="e">
        <f t="shared" si="31"/>
        <v>#N/A</v>
      </c>
    </row>
    <row r="685" spans="1:29" ht="15.75" customHeight="1">
      <c r="A685" s="199" t="str">
        <f>IF(B685&lt;&gt;"",IF(AND(B685&gt;=_TM1,B685&lt;=_TM2,OR(TH!L685="1111",TH!M685="1111")),TH!D685,""),"")</f>
        <v/>
      </c>
      <c r="B685" s="36">
        <f t="shared" si="32"/>
        <v>1</v>
      </c>
      <c r="C685" s="190">
        <f t="shared" si="30"/>
        <v>0</v>
      </c>
      <c r="D685" s="183"/>
      <c r="E685" s="190"/>
      <c r="F685" s="188"/>
      <c r="G685" s="491"/>
      <c r="H685" s="7"/>
      <c r="I685" s="253"/>
      <c r="J685" s="253"/>
      <c r="K685" s="38"/>
      <c r="L685" s="193"/>
      <c r="M685" s="193"/>
      <c r="N685" s="39" t="str">
        <f>IF(AND('331-CT'!$E$7=TH!H685,OR(L685="331",M685="331")),"331",IF(AND(OR(L685="131",M685="131"),H685='131-CT'!$E$7),"131",""))</f>
        <v/>
      </c>
      <c r="O685" s="39" t="str">
        <f>IF(AND($B685&gt;='111'!$N$11,$B685&lt;='111'!$O$11,OR($L685=$O$7,$M685=$O$7)),"x","")</f>
        <v/>
      </c>
      <c r="P685" s="39" t="str">
        <f>IF(AND($L685=$O$7,$B685&lt;'111'!$N$11),"x","")</f>
        <v/>
      </c>
      <c r="Q685" s="39" t="str">
        <f>IF(AND($M685=$O$7,$B685&lt;'111'!$N$11),"x","")</f>
        <v/>
      </c>
      <c r="R685" s="39" t="str">
        <f>IF(ISERROR(FIND('112'!$M$9,G685,1)),"",IF((AND(FIND('112'!$M$9,G685,1)&gt;=1,$B685&gt;='112'!$N$8,$B685&lt;='112'!$O$8,OR($L685='112'!$I$6,$M685='112'!$I$6))),"x",""))</f>
        <v/>
      </c>
      <c r="S685" s="39" t="str">
        <f>IF(ISERROR(FIND('112'!$M$9,G685,1)),"",IF((AND(LEFT(G685,2)=LEFT('112'!$M$9,2),B685&lt;'112'!$N$8,$L685='112'!$I$6)),"x",""))</f>
        <v/>
      </c>
      <c r="T685" s="39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39" t="str">
        <f>IF(OR(TH!L685=TH!$V$7,M685=TH!$V$7),"x","")</f>
        <v/>
      </c>
      <c r="W685" s="39" t="str">
        <f>IF(AND(B685&gt;='IN-NX'!$P$3,B685&lt;='IN-NX'!$Q$3,'IN-NX'!$D$7=D685,OR(LEFT(L685,2)="15",AND(LEFT(M685,2)&lt;&gt;"15",LEFT(M685,2)&lt;&gt;"33"))),"x","")</f>
        <v/>
      </c>
      <c r="X685" s="39" t="str">
        <f>IF(AND(OR(LEFT(TH!L685,2)="15",LEFT(TH!M685,2)="15"),'152-CT'!$J$8=TH!F685),"x","")</f>
        <v/>
      </c>
      <c r="Y685" s="39" t="str">
        <f>IF(AND(OR(LEFT(TH!L685,2)="15",LEFT(TH!M685,2)="15"),TK!$E$7=TH!F685),"x","")</f>
        <v/>
      </c>
      <c r="Z685" s="39" t="str">
        <f>IF(AND(B685&lt;=NKC!$N$8,B685&gt;=NKC!$M$8),"x","")</f>
        <v/>
      </c>
      <c r="AA685" s="894"/>
      <c r="AB685" s="598" t="e">
        <f t="shared" si="31"/>
        <v>#N/A</v>
      </c>
      <c r="AC685" s="598"/>
    </row>
    <row r="686" spans="1:29" ht="15.75" customHeight="1">
      <c r="A686" s="199" t="str">
        <f>IF(B686&lt;&gt;"",IF(AND(B686&gt;=_TM1,B686&lt;=_TM2,OR(TH!L686="1111",TH!M686="1111")),TH!D686,""),"")</f>
        <v/>
      </c>
      <c r="B686" s="36">
        <f t="shared" si="32"/>
        <v>1</v>
      </c>
      <c r="C686" s="190">
        <f t="shared" si="30"/>
        <v>0</v>
      </c>
      <c r="D686" s="183"/>
      <c r="E686" s="190"/>
      <c r="F686" s="188"/>
      <c r="G686" s="491"/>
      <c r="H686" s="7"/>
      <c r="I686" s="253"/>
      <c r="J686" s="253"/>
      <c r="K686" s="606"/>
      <c r="L686" s="193"/>
      <c r="M686" s="193"/>
      <c r="N686" s="39" t="str">
        <f>IF(AND('331-CT'!$E$7=TH!H686,OR(L686="331",M686="331")),"331",IF(AND(OR(L686="131",M686="131"),H686='131-CT'!$E$7),"131",""))</f>
        <v/>
      </c>
      <c r="O686" s="39" t="str">
        <f>IF(AND($B686&gt;='111'!$N$11,$B686&lt;='111'!$O$11,OR($L686=$O$7,$M686=$O$7)),"x","")</f>
        <v/>
      </c>
      <c r="P686" s="39" t="str">
        <f>IF(AND($L686=$O$7,$B686&lt;'111'!$N$11),"x","")</f>
        <v/>
      </c>
      <c r="Q686" s="39" t="str">
        <f>IF(AND($M686=$O$7,$B686&lt;'111'!$N$11),"x","")</f>
        <v/>
      </c>
      <c r="R686" s="39" t="str">
        <f>IF(ISERROR(FIND('112'!$M$9,G686,1)),"",IF((AND(FIND('112'!$M$9,G686,1)&gt;=1,$B686&gt;='112'!$N$8,$B686&lt;='112'!$O$8,OR($L686='112'!$I$6,$M686='112'!$I$6))),"x",""))</f>
        <v/>
      </c>
      <c r="S686" s="39" t="str">
        <f>IF(ISERROR(FIND('112'!$M$9,G686,1)),"",IF((AND(LEFT(G686,2)=LEFT('112'!$M$9,2),B686&lt;'112'!$N$8,$L686='112'!$I$6)),"x",""))</f>
        <v/>
      </c>
      <c r="T686" s="39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39" t="str">
        <f>IF(OR(TH!L686=TH!$V$7,M686=TH!$V$7),"x","")</f>
        <v/>
      </c>
      <c r="W686" s="39" t="str">
        <f>IF(AND(B686&gt;='IN-NX'!$P$3,B686&lt;='IN-NX'!$Q$3,'IN-NX'!$D$7=D686,OR(LEFT(L686,2)="15",AND(LEFT(M686,2)&lt;&gt;"15",LEFT(M686,2)&lt;&gt;"33"))),"x","")</f>
        <v/>
      </c>
      <c r="X686" s="39" t="str">
        <f>IF(AND(OR(LEFT(TH!L686,2)="15",LEFT(TH!M686,2)="15"),'152-CT'!$J$8=TH!F686),"x","")</f>
        <v/>
      </c>
      <c r="Y686" s="39" t="str">
        <f>IF(AND(OR(LEFT(TH!L686,2)="15",LEFT(TH!M686,2)="15"),TK!$E$7=TH!F686),"x","")</f>
        <v/>
      </c>
      <c r="Z686" s="39" t="str">
        <f>IF(AND(B686&lt;=NKC!$N$8,B686&gt;=NKC!$M$8),"x","")</f>
        <v/>
      </c>
      <c r="AA686" s="894"/>
      <c r="AB686" s="598" t="e">
        <f t="shared" si="31"/>
        <v>#N/A</v>
      </c>
    </row>
    <row r="687" spans="1:29" ht="15.75" customHeight="1">
      <c r="A687" s="199" t="str">
        <f>IF(B687&lt;&gt;"",IF(AND(B687&gt;=_TM1,B687&lt;=_TM2,OR(TH!L687="1111",TH!M687="1111")),TH!D687,""),"")</f>
        <v/>
      </c>
      <c r="B687" s="36">
        <f t="shared" si="32"/>
        <v>1</v>
      </c>
      <c r="C687" s="190">
        <f t="shared" si="30"/>
        <v>0</v>
      </c>
      <c r="D687" s="183"/>
      <c r="E687" s="190"/>
      <c r="F687" s="188"/>
      <c r="G687" s="491"/>
      <c r="H687" s="7"/>
      <c r="I687" s="253"/>
      <c r="J687" s="253"/>
      <c r="K687" s="38"/>
      <c r="L687" s="193"/>
      <c r="M687" s="193"/>
      <c r="N687" s="39" t="str">
        <f>IF(AND('331-CT'!$E$7=TH!H687,OR(L687="331",M687="331")),"331",IF(AND(OR(L687="131",M687="131"),H687='131-CT'!$E$7),"131",""))</f>
        <v/>
      </c>
      <c r="O687" s="39" t="str">
        <f>IF(AND($B687&gt;='111'!$N$11,$B687&lt;='111'!$O$11,OR($L687=$O$7,$M687=$O$7)),"x","")</f>
        <v/>
      </c>
      <c r="P687" s="39" t="str">
        <f>IF(AND($L687=$O$7,$B687&lt;'111'!$N$11),"x","")</f>
        <v/>
      </c>
      <c r="Q687" s="39" t="str">
        <f>IF(AND($M687=$O$7,$B687&lt;'111'!$N$11),"x","")</f>
        <v/>
      </c>
      <c r="R687" s="39" t="str">
        <f>IF(ISERROR(FIND('112'!$M$9,G687,1)),"",IF((AND(FIND('112'!$M$9,G687,1)&gt;=1,$B687&gt;='112'!$N$8,$B687&lt;='112'!$O$8,OR($L687='112'!$I$6,$M687='112'!$I$6))),"x",""))</f>
        <v/>
      </c>
      <c r="S687" s="39" t="str">
        <f>IF(ISERROR(FIND('112'!$M$9,G687,1)),"",IF((AND(LEFT(G687,2)=LEFT('112'!$M$9,2),B687&lt;'112'!$N$8,$L687='112'!$I$6)),"x",""))</f>
        <v/>
      </c>
      <c r="T687" s="39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39" t="str">
        <f>IF(OR(TH!L687=TH!$V$7,M687=TH!$V$7),"x","")</f>
        <v/>
      </c>
      <c r="W687" s="39" t="str">
        <f>IF(AND(B687&gt;='IN-NX'!$P$3,B687&lt;='IN-NX'!$Q$3,'IN-NX'!$D$7=D687,OR(LEFT(L687,2)="15",AND(LEFT(M687,2)&lt;&gt;"15",LEFT(M687,2)&lt;&gt;"33"))),"x","")</f>
        <v/>
      </c>
      <c r="X687" s="39" t="str">
        <f>IF(AND(OR(LEFT(TH!L687,2)="15",LEFT(TH!M687,2)="15"),'152-CT'!$J$8=TH!F687),"x","")</f>
        <v/>
      </c>
      <c r="Y687" s="39" t="str">
        <f>IF(AND(OR(LEFT(TH!L687,2)="15",LEFT(TH!M687,2)="15"),TK!$E$7=TH!F687),"x","")</f>
        <v/>
      </c>
      <c r="Z687" s="39" t="str">
        <f>IF(AND(B687&lt;=NKC!$N$8,B687&gt;=NKC!$M$8),"x","")</f>
        <v/>
      </c>
      <c r="AA687" s="894"/>
      <c r="AB687" s="598" t="e">
        <f t="shared" si="31"/>
        <v>#N/A</v>
      </c>
      <c r="AC687" s="598"/>
    </row>
    <row r="688" spans="1:29" ht="15.75" customHeight="1">
      <c r="A688" s="199" t="str">
        <f>IF(B688&lt;&gt;"",IF(AND(B688&gt;=_TM1,B688&lt;=_TM2,OR(TH!L688="1111",TH!M688="1111")),TH!D688,""),"")</f>
        <v/>
      </c>
      <c r="B688" s="36">
        <f t="shared" si="32"/>
        <v>1</v>
      </c>
      <c r="C688" s="190">
        <f t="shared" si="30"/>
        <v>0</v>
      </c>
      <c r="D688" s="183"/>
      <c r="E688" s="190"/>
      <c r="F688" s="188"/>
      <c r="G688" s="491"/>
      <c r="H688" s="7"/>
      <c r="I688" s="821"/>
      <c r="J688" s="253"/>
      <c r="K688" s="38"/>
      <c r="L688" s="193"/>
      <c r="M688" s="193"/>
      <c r="N688" s="39" t="str">
        <f>IF(AND('331-CT'!$E$7=TH!H688,OR(L688="331",M688="331")),"331",IF(AND(OR(L688="131",M688="131"),H688='131-CT'!$E$7),"131",""))</f>
        <v/>
      </c>
      <c r="O688" s="39" t="str">
        <f>IF(AND($B688&gt;='111'!$N$11,$B688&lt;='111'!$O$11,OR($L688=$O$7,$M688=$O$7)),"x","")</f>
        <v/>
      </c>
      <c r="P688" s="39" t="str">
        <f>IF(AND($L688=$O$7,$B688&lt;'111'!$N$11),"x","")</f>
        <v/>
      </c>
      <c r="Q688" s="39" t="str">
        <f>IF(AND($M688=$O$7,$B688&lt;'111'!$N$11),"x","")</f>
        <v/>
      </c>
      <c r="R688" s="39" t="str">
        <f>IF(ISERROR(FIND('112'!$M$9,G688,1)),"",IF((AND(FIND('112'!$M$9,G688,1)&gt;=1,$B688&gt;='112'!$N$8,$B688&lt;='112'!$O$8,OR($L688='112'!$I$6,$M688='112'!$I$6))),"x",""))</f>
        <v/>
      </c>
      <c r="S688" s="39" t="str">
        <f>IF(ISERROR(FIND('112'!$M$9,G688,1)),"",IF((AND(LEFT(G688,2)=LEFT('112'!$M$9,2),B688&lt;'112'!$N$8,$L688='112'!$I$6)),"x",""))</f>
        <v/>
      </c>
      <c r="T688" s="39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39" t="str">
        <f>IF(OR(TH!L688=TH!$V$7,M688=TH!$V$7),"x","")</f>
        <v/>
      </c>
      <c r="W688" s="39" t="str">
        <f>IF(AND(B688&gt;='IN-NX'!$P$3,B688&lt;='IN-NX'!$Q$3,'IN-NX'!$D$7=D688,OR(LEFT(L688,2)="15",AND(LEFT(M688,2)&lt;&gt;"15",LEFT(M688,2)&lt;&gt;"33"))),"x","")</f>
        <v/>
      </c>
      <c r="X688" s="39" t="str">
        <f>IF(AND(OR(LEFT(TH!L688,2)="15",LEFT(TH!M688,2)="15"),'152-CT'!$J$8=TH!F688),"x","")</f>
        <v/>
      </c>
      <c r="Y688" s="39" t="str">
        <f>IF(AND(OR(LEFT(TH!L688,2)="15",LEFT(TH!M688,2)="15"),TK!$E$7=TH!F688),"x","")</f>
        <v/>
      </c>
      <c r="Z688" s="39" t="str">
        <f>IF(AND(B688&lt;=NKC!$N$8,B688&gt;=NKC!$M$8),"x","")</f>
        <v/>
      </c>
      <c r="AA688" s="894"/>
      <c r="AB688" s="598" t="e">
        <f t="shared" si="31"/>
        <v>#N/A</v>
      </c>
    </row>
    <row r="689" spans="1:30" ht="15.75" customHeight="1">
      <c r="A689" s="199" t="str">
        <f>IF(B689&lt;&gt;"",IF(AND(B689&gt;=_TM1,B689&lt;=_TM2,OR(TH!L689="1111",TH!M689="1111")),TH!D689,""),"")</f>
        <v/>
      </c>
      <c r="B689" s="36">
        <f t="shared" si="32"/>
        <v>1</v>
      </c>
      <c r="C689" s="190">
        <f t="shared" si="30"/>
        <v>0</v>
      </c>
      <c r="D689" s="183"/>
      <c r="E689" s="190"/>
      <c r="F689" s="188"/>
      <c r="G689" s="491"/>
      <c r="H689" s="7"/>
      <c r="I689" s="254"/>
      <c r="J689" s="254"/>
      <c r="K689" s="38"/>
      <c r="L689" s="193"/>
      <c r="M689" s="193"/>
      <c r="N689" s="39" t="str">
        <f>IF(AND('331-CT'!$E$7=TH!H689,OR(L689="331",M689="331")),"331",IF(AND(OR(L689="131",M689="131"),H689='131-CT'!$E$7),"131",""))</f>
        <v/>
      </c>
      <c r="O689" s="39" t="str">
        <f>IF(AND($B689&gt;='111'!$N$11,$B689&lt;='111'!$O$11,OR($L689=$O$7,$M689=$O$7)),"x","")</f>
        <v/>
      </c>
      <c r="P689" s="39" t="str">
        <f>IF(AND($L689=$O$7,$B689&lt;'111'!$N$11),"x","")</f>
        <v/>
      </c>
      <c r="Q689" s="39" t="str">
        <f>IF(AND($M689=$O$7,$B689&lt;'111'!$N$11),"x","")</f>
        <v/>
      </c>
      <c r="R689" s="39" t="str">
        <f>IF(ISERROR(FIND('112'!$M$9,G689,1)),"",IF((AND(FIND('112'!$M$9,G689,1)&gt;=1,$B689&gt;='112'!$N$8,$B689&lt;='112'!$O$8,OR($L689='112'!$I$6,$M689='112'!$I$6))),"x",""))</f>
        <v/>
      </c>
      <c r="S689" s="39" t="str">
        <f>IF(ISERROR(FIND('112'!$M$9,G689,1)),"",IF((AND(LEFT(G689,2)=LEFT('112'!$M$9,2),B689&lt;'112'!$N$8,$L689='112'!$I$6)),"x",""))</f>
        <v/>
      </c>
      <c r="T689" s="39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39" t="str">
        <f>IF(OR(TH!L689=TH!$V$7,M689=TH!$V$7),"x","")</f>
        <v/>
      </c>
      <c r="W689" s="39" t="str">
        <f>IF(AND(B689&gt;='IN-NX'!$P$3,B689&lt;='IN-NX'!$Q$3,'IN-NX'!$D$7=D689,OR(LEFT(L689,2)="15",AND(LEFT(M689,2)&lt;&gt;"15",LEFT(M689,2)&lt;&gt;"33"))),"x","")</f>
        <v/>
      </c>
      <c r="X689" s="39" t="str">
        <f>IF(AND(OR(LEFT(TH!L689,2)="15",LEFT(TH!M689,2)="15"),'152-CT'!$J$8=TH!F689),"x","")</f>
        <v/>
      </c>
      <c r="Y689" s="39" t="str">
        <f>IF(AND(OR(LEFT(TH!L689,2)="15",LEFT(TH!M689,2)="15"),TK!$E$7=TH!F689),"x","")</f>
        <v/>
      </c>
      <c r="Z689" s="39" t="str">
        <f>IF(AND(B689&lt;=NKC!$N$8,B689&gt;=NKC!$M$8),"x","")</f>
        <v/>
      </c>
      <c r="AA689" s="894"/>
      <c r="AB689" s="598" t="e">
        <f t="shared" si="31"/>
        <v>#N/A</v>
      </c>
    </row>
    <row r="690" spans="1:30" ht="15.75" customHeight="1">
      <c r="A690" s="199" t="str">
        <f>IF(B690&lt;&gt;"",IF(AND(B690&gt;=_TM1,B690&lt;=_TM2,OR(TH!L690="1111",TH!M690="1111")),TH!D690,""),"")</f>
        <v/>
      </c>
      <c r="B690" s="36">
        <f t="shared" si="32"/>
        <v>1</v>
      </c>
      <c r="C690" s="190">
        <f t="shared" si="30"/>
        <v>0</v>
      </c>
      <c r="D690" s="183"/>
      <c r="E690" s="190"/>
      <c r="F690" s="188"/>
      <c r="G690" s="491"/>
      <c r="H690" s="7"/>
      <c r="I690" s="253"/>
      <c r="J690" s="253"/>
      <c r="K690" s="38"/>
      <c r="L690" s="193"/>
      <c r="M690" s="193"/>
      <c r="N690" s="39" t="str">
        <f>IF(AND('331-CT'!$E$7=TH!H690,OR(L690="331",M690="331")),"331",IF(AND(OR(L690="131",M690="131"),H690='131-CT'!$E$7),"131",""))</f>
        <v/>
      </c>
      <c r="O690" s="39" t="str">
        <f>IF(AND($B690&gt;='111'!$N$11,$B690&lt;='111'!$O$11,OR($L690=$O$7,$M690=$O$7)),"x","")</f>
        <v/>
      </c>
      <c r="P690" s="39" t="str">
        <f>IF(AND($L690=$O$7,$B690&lt;'111'!$N$11),"x","")</f>
        <v/>
      </c>
      <c r="Q690" s="39" t="str">
        <f>IF(AND($M690=$O$7,$B690&lt;'111'!$N$11),"x","")</f>
        <v/>
      </c>
      <c r="R690" s="39" t="str">
        <f>IF(ISERROR(FIND('112'!$M$9,G690,1)),"",IF((AND(FIND('112'!$M$9,G690,1)&gt;=1,$B690&gt;='112'!$N$8,$B690&lt;='112'!$O$8,OR($L690='112'!$I$6,$M690='112'!$I$6))),"x",""))</f>
        <v/>
      </c>
      <c r="S690" s="39" t="str">
        <f>IF(ISERROR(FIND('112'!$M$9,G690,1)),"",IF((AND(LEFT(G690,2)=LEFT('112'!$M$9,2),B690&lt;'112'!$N$8,$L690='112'!$I$6)),"x",""))</f>
        <v/>
      </c>
      <c r="T690" s="39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39" t="str">
        <f>IF(OR(TH!L690=TH!$V$7,M690=TH!$V$7),"x","")</f>
        <v/>
      </c>
      <c r="W690" s="39" t="str">
        <f>IF(AND(B690&gt;='IN-NX'!$P$3,B690&lt;='IN-NX'!$Q$3,'IN-NX'!$D$7=D690,OR(LEFT(L690,2)="15",AND(LEFT(M690,2)&lt;&gt;"15",LEFT(M690,2)&lt;&gt;"33"))),"x","")</f>
        <v/>
      </c>
      <c r="X690" s="39" t="str">
        <f>IF(AND(OR(LEFT(TH!L690,2)="15",LEFT(TH!M690,2)="15"),'152-CT'!$J$8=TH!F690),"x","")</f>
        <v/>
      </c>
      <c r="Y690" s="39" t="str">
        <f>IF(AND(OR(LEFT(TH!L690,2)="15",LEFT(TH!M690,2)="15"),TK!$E$7=TH!F690),"x","")</f>
        <v/>
      </c>
      <c r="Z690" s="39" t="str">
        <f>IF(AND(B690&lt;=NKC!$N$8,B690&gt;=NKC!$M$8),"x","")</f>
        <v/>
      </c>
      <c r="AA690" s="894"/>
      <c r="AB690" s="598" t="e">
        <f t="shared" si="31"/>
        <v>#N/A</v>
      </c>
    </row>
    <row r="691" spans="1:30" ht="15.75" customHeight="1">
      <c r="A691" s="199" t="str">
        <f>IF(B691&lt;&gt;"",IF(AND(B691&gt;=_TM1,B691&lt;=_TM2,OR(TH!L691="1111",TH!M691="1111")),TH!D691,""),"")</f>
        <v/>
      </c>
      <c r="B691" s="36">
        <f t="shared" si="32"/>
        <v>1</v>
      </c>
      <c r="C691" s="190">
        <f t="shared" si="30"/>
        <v>0</v>
      </c>
      <c r="D691" s="183"/>
      <c r="E691" s="190"/>
      <c r="F691" s="188"/>
      <c r="G691" s="491"/>
      <c r="H691" s="7"/>
      <c r="I691" s="253"/>
      <c r="J691" s="253"/>
      <c r="K691" s="38"/>
      <c r="L691" s="193"/>
      <c r="M691" s="193"/>
      <c r="N691" s="39" t="str">
        <f>IF(AND('331-CT'!$E$7=TH!H691,OR(L691="331",M691="331")),"331",IF(AND(OR(L691="131",M691="131"),H691='131-CT'!$E$7),"131",""))</f>
        <v/>
      </c>
      <c r="O691" s="39" t="str">
        <f>IF(AND($B691&gt;='111'!$N$11,$B691&lt;='111'!$O$11,OR($L691=$O$7,$M691=$O$7)),"x","")</f>
        <v/>
      </c>
      <c r="P691" s="39" t="str">
        <f>IF(AND($L691=$O$7,$B691&lt;'111'!$N$11),"x","")</f>
        <v/>
      </c>
      <c r="Q691" s="39" t="str">
        <f>IF(AND($M691=$O$7,$B691&lt;'111'!$N$11),"x","")</f>
        <v/>
      </c>
      <c r="R691" s="39" t="str">
        <f>IF(ISERROR(FIND('112'!$M$9,G691,1)),"",IF((AND(FIND('112'!$M$9,G691,1)&gt;=1,$B691&gt;='112'!$N$8,$B691&lt;='112'!$O$8,OR($L691='112'!$I$6,$M691='112'!$I$6))),"x",""))</f>
        <v/>
      </c>
      <c r="S691" s="39" t="str">
        <f>IF(ISERROR(FIND('112'!$M$9,G691,1)),"",IF((AND(LEFT(G691,2)=LEFT('112'!$M$9,2),B691&lt;'112'!$N$8,$L691='112'!$I$6)),"x",""))</f>
        <v/>
      </c>
      <c r="T691" s="39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39" t="str">
        <f>IF(OR(TH!L691=TH!$V$7,M691=TH!$V$7),"x","")</f>
        <v/>
      </c>
      <c r="W691" s="39" t="str">
        <f>IF(AND(B691&gt;='IN-NX'!$P$3,B691&lt;='IN-NX'!$Q$3,'IN-NX'!$D$7=D691,OR(LEFT(L691,2)="15",AND(LEFT(M691,2)&lt;&gt;"15",LEFT(M691,2)&lt;&gt;"33"))),"x","")</f>
        <v/>
      </c>
      <c r="X691" s="39" t="str">
        <f>IF(AND(OR(LEFT(TH!L691,2)="15",LEFT(TH!M691,2)="15"),'152-CT'!$J$8=TH!F691),"x","")</f>
        <v/>
      </c>
      <c r="Y691" s="39" t="str">
        <f>IF(AND(OR(LEFT(TH!L691,2)="15",LEFT(TH!M691,2)="15"),TK!$E$7=TH!F691),"x","")</f>
        <v/>
      </c>
      <c r="Z691" s="39" t="str">
        <f>IF(AND(B691&lt;=NKC!$N$8,B691&gt;=NKC!$M$8),"x","")</f>
        <v/>
      </c>
      <c r="AA691" s="894"/>
      <c r="AB691" s="598" t="e">
        <f t="shared" si="31"/>
        <v>#N/A</v>
      </c>
    </row>
    <row r="692" spans="1:30" ht="15.75" customHeight="1">
      <c r="A692" s="199" t="str">
        <f>IF(B692&lt;&gt;"",IF(AND(B692&gt;=_TM1,B692&lt;=_TM2,OR(TH!L692="1111",TH!M692="1111")),TH!D692,""),"")</f>
        <v/>
      </c>
      <c r="B692" s="36">
        <f t="shared" si="32"/>
        <v>1</v>
      </c>
      <c r="C692" s="190">
        <f t="shared" si="30"/>
        <v>0</v>
      </c>
      <c r="D692" s="183"/>
      <c r="E692" s="190"/>
      <c r="F692" s="188"/>
      <c r="G692" s="491"/>
      <c r="H692" s="7"/>
      <c r="I692" s="253"/>
      <c r="J692" s="253"/>
      <c r="K692" s="38"/>
      <c r="L692" s="193"/>
      <c r="M692" s="193"/>
      <c r="N692" s="39" t="str">
        <f>IF(AND('331-CT'!$E$7=TH!H692,OR(L692="331",M692="331")),"331",IF(AND(OR(L692="131",M692="131"),H692='131-CT'!$E$7),"131",""))</f>
        <v/>
      </c>
      <c r="O692" s="39" t="str">
        <f>IF(AND($B692&gt;='111'!$N$11,$B692&lt;='111'!$O$11,OR($L692=$O$7,$M692=$O$7)),"x","")</f>
        <v/>
      </c>
      <c r="P692" s="39" t="str">
        <f>IF(AND($L692=$O$7,$B692&lt;'111'!$N$11),"x","")</f>
        <v/>
      </c>
      <c r="Q692" s="39" t="str">
        <f>IF(AND($M692=$O$7,$B692&lt;'111'!$N$11),"x","")</f>
        <v/>
      </c>
      <c r="R692" s="39" t="str">
        <f>IF(ISERROR(FIND('112'!$M$9,G692,1)),"",IF((AND(FIND('112'!$M$9,G692,1)&gt;=1,$B692&gt;='112'!$N$8,$B692&lt;='112'!$O$8,OR($L692='112'!$I$6,$M692='112'!$I$6))),"x",""))</f>
        <v/>
      </c>
      <c r="S692" s="39" t="str">
        <f>IF(ISERROR(FIND('112'!$M$9,G692,1)),"",IF((AND(LEFT(G692,2)=LEFT('112'!$M$9,2),B692&lt;'112'!$N$8,$L692='112'!$I$6)),"x",""))</f>
        <v/>
      </c>
      <c r="T692" s="39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39" t="str">
        <f>IF(OR(TH!L692=TH!$V$7,M692=TH!$V$7),"x","")</f>
        <v/>
      </c>
      <c r="W692" s="39" t="str">
        <f>IF(AND(B692&gt;='IN-NX'!$P$3,B692&lt;='IN-NX'!$Q$3,'IN-NX'!$D$7=D692,OR(LEFT(L692,2)="15",AND(LEFT(M692,2)&lt;&gt;"15",LEFT(M692,2)&lt;&gt;"33"))),"x","")</f>
        <v/>
      </c>
      <c r="X692" s="39" t="str">
        <f>IF(AND(OR(LEFT(TH!L692,2)="15",LEFT(TH!M692,2)="15"),'152-CT'!$J$8=TH!F692),"x","")</f>
        <v/>
      </c>
      <c r="Y692" s="39" t="str">
        <f>IF(AND(OR(LEFT(TH!L692,2)="15",LEFT(TH!M692,2)="15"),TK!$E$7=TH!F692),"x","")</f>
        <v/>
      </c>
      <c r="Z692" s="39" t="str">
        <f>IF(AND(B692&lt;=NKC!$N$8,B692&gt;=NKC!$M$8),"x","")</f>
        <v/>
      </c>
      <c r="AA692" s="894"/>
      <c r="AB692" s="598" t="e">
        <f t="shared" si="31"/>
        <v>#N/A</v>
      </c>
    </row>
    <row r="693" spans="1:30" ht="15.75" customHeight="1">
      <c r="A693" s="199" t="str">
        <f>IF(B693&lt;&gt;"",IF(AND(B693&gt;=_TM1,B693&lt;=_TM2,OR(TH!L693="1111",TH!M693="1111")),TH!D693,""),"")</f>
        <v/>
      </c>
      <c r="B693" s="36">
        <f t="shared" si="32"/>
        <v>1</v>
      </c>
      <c r="C693" s="190">
        <f t="shared" ref="C693:C756" si="33">E693</f>
        <v>0</v>
      </c>
      <c r="D693" s="183"/>
      <c r="E693" s="190"/>
      <c r="F693" s="188"/>
      <c r="G693" s="491"/>
      <c r="H693" s="7"/>
      <c r="I693" s="253"/>
      <c r="J693" s="253"/>
      <c r="K693" s="38"/>
      <c r="L693" s="193"/>
      <c r="M693" s="193"/>
      <c r="N693" s="39" t="str">
        <f>IF(AND('331-CT'!$E$7=TH!H693,OR(L693="331",M693="331")),"331",IF(AND(OR(L693="131",M693="131"),H693='131-CT'!$E$7),"131",""))</f>
        <v/>
      </c>
      <c r="O693" s="39" t="str">
        <f>IF(AND($B693&gt;='111'!$N$11,$B693&lt;='111'!$O$11,OR($L693=$O$7,$M693=$O$7)),"x","")</f>
        <v/>
      </c>
      <c r="P693" s="39" t="str">
        <f>IF(AND($L693=$O$7,$B693&lt;'111'!$N$11),"x","")</f>
        <v/>
      </c>
      <c r="Q693" s="39" t="str">
        <f>IF(AND($M693=$O$7,$B693&lt;'111'!$N$11),"x","")</f>
        <v/>
      </c>
      <c r="R693" s="39" t="str">
        <f>IF(ISERROR(FIND('112'!$M$9,G693,1)),"",IF((AND(FIND('112'!$M$9,G693,1)&gt;=1,$B693&gt;='112'!$N$8,$B693&lt;='112'!$O$8,OR($L693='112'!$I$6,$M693='112'!$I$6))),"x",""))</f>
        <v/>
      </c>
      <c r="S693" s="39" t="str">
        <f>IF(ISERROR(FIND('112'!$M$9,G693,1)),"",IF((AND(LEFT(G693,2)=LEFT('112'!$M$9,2),B693&lt;'112'!$N$8,$L693='112'!$I$6)),"x",""))</f>
        <v/>
      </c>
      <c r="T693" s="39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39" t="str">
        <f>IF(OR(TH!L693=TH!$V$7,M693=TH!$V$7),"x","")</f>
        <v/>
      </c>
      <c r="W693" s="39" t="str">
        <f>IF(AND(B693&gt;='IN-NX'!$P$3,B693&lt;='IN-NX'!$Q$3,'IN-NX'!$D$7=D693,OR(LEFT(L693,2)="15",AND(LEFT(M693,2)&lt;&gt;"15",LEFT(M693,2)&lt;&gt;"33"))),"x","")</f>
        <v/>
      </c>
      <c r="X693" s="39" t="str">
        <f>IF(AND(OR(LEFT(TH!L693,2)="15",LEFT(TH!M693,2)="15"),'152-CT'!$J$8=TH!F693),"x","")</f>
        <v/>
      </c>
      <c r="Y693" s="39" t="str">
        <f>IF(AND(OR(LEFT(TH!L693,2)="15",LEFT(TH!M693,2)="15"),TK!$E$7=TH!F693),"x","")</f>
        <v/>
      </c>
      <c r="Z693" s="39" t="str">
        <f>IF(AND(B693&lt;=NKC!$N$8,B693&gt;=NKC!$M$8),"x","")</f>
        <v/>
      </c>
      <c r="AA693" s="894"/>
      <c r="AB693" s="598" t="e">
        <f t="shared" si="31"/>
        <v>#N/A</v>
      </c>
    </row>
    <row r="694" spans="1:30" ht="15.75" customHeight="1">
      <c r="A694" s="199" t="str">
        <f>IF(B694&lt;&gt;"",IF(AND(B694&gt;=_TM1,B694&lt;=_TM2,OR(TH!L694="1111",TH!M694="1111")),TH!D694,""),"")</f>
        <v/>
      </c>
      <c r="B694" s="36">
        <f t="shared" si="32"/>
        <v>1</v>
      </c>
      <c r="C694" s="190">
        <f t="shared" si="33"/>
        <v>0</v>
      </c>
      <c r="D694" s="183"/>
      <c r="E694" s="183"/>
      <c r="F694" s="188"/>
      <c r="G694" s="608"/>
      <c r="H694" s="192"/>
      <c r="I694" s="253"/>
      <c r="J694" s="253"/>
      <c r="K694" s="606"/>
      <c r="L694" s="193"/>
      <c r="M694" s="193"/>
      <c r="N694" s="39" t="str">
        <f>IF(AND('331-CT'!$E$7=TH!H694,OR(L694="331",M694="331")),"331",IF(AND(OR(L694="131",M694="131"),H694='131-CT'!$E$7),"131",""))</f>
        <v/>
      </c>
      <c r="O694" s="39" t="str">
        <f>IF(AND($B694&gt;='111'!$N$11,$B694&lt;='111'!$O$11,OR($L694=$O$7,$M694=$O$7)),"x","")</f>
        <v/>
      </c>
      <c r="P694" s="39" t="str">
        <f>IF(AND($L694=$O$7,$B694&lt;'111'!$N$11),"x","")</f>
        <v/>
      </c>
      <c r="Q694" s="39" t="str">
        <f>IF(AND($M694=$O$7,$B694&lt;'111'!$N$11),"x","")</f>
        <v/>
      </c>
      <c r="R694" s="39" t="str">
        <f>IF(ISERROR(FIND('112'!$M$9,G694,1)),"",IF((AND(FIND('112'!$M$9,G694,1)&gt;=1,$B694&gt;='112'!$N$8,$B694&lt;='112'!$O$8,OR($L694='112'!$I$6,$M694='112'!$I$6))),"x",""))</f>
        <v/>
      </c>
      <c r="S694" s="39" t="str">
        <f>IF(ISERROR(FIND('112'!$M$9,G694,1)),"",IF((AND(LEFT(G694,2)=LEFT('112'!$M$9,2),B694&lt;'112'!$N$8,$L694='112'!$I$6)),"x",""))</f>
        <v/>
      </c>
      <c r="T694" s="39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39" t="str">
        <f>IF(OR(TH!L694=TH!$V$7,M694=TH!$V$7),"x","")</f>
        <v/>
      </c>
      <c r="W694" s="39" t="str">
        <f>IF(AND(B694&gt;='IN-NX'!$P$3,B694&lt;='IN-NX'!$Q$3,'IN-NX'!$D$7=D694,OR(LEFT(L694,2)="15",AND(LEFT(M694,2)&lt;&gt;"15",LEFT(M694,2)&lt;&gt;"33"))),"x","")</f>
        <v/>
      </c>
      <c r="X694" s="39" t="str">
        <f>IF(AND(OR(LEFT(TH!L694,2)="15",LEFT(TH!M694,2)="15"),'152-CT'!$J$8=TH!F694),"x","")</f>
        <v/>
      </c>
      <c r="Y694" s="39" t="str">
        <f>IF(AND(OR(LEFT(TH!L694,2)="15",LEFT(TH!M694,2)="15"),TK!$E$7=TH!F694),"x","")</f>
        <v/>
      </c>
      <c r="Z694" s="39" t="str">
        <f>IF(AND(B694&lt;=NKC!$N$8,B694&gt;=NKC!$M$8),"x","")</f>
        <v/>
      </c>
      <c r="AA694" s="894"/>
      <c r="AB694" s="598" t="e">
        <f t="shared" si="31"/>
        <v>#N/A</v>
      </c>
      <c r="AC694" s="598"/>
      <c r="AD694" s="598"/>
    </row>
    <row r="695" spans="1:30" ht="15.75" customHeight="1">
      <c r="A695" s="199" t="str">
        <f>IF(B695&lt;&gt;"",IF(AND(B695&gt;=_TM1,B695&lt;=_TM2,OR(TH!L695="1111",TH!M695="1111")),TH!D695,""),"")</f>
        <v/>
      </c>
      <c r="B695" s="36">
        <f t="shared" si="32"/>
        <v>1</v>
      </c>
      <c r="C695" s="190">
        <f t="shared" si="33"/>
        <v>0</v>
      </c>
      <c r="D695" s="183"/>
      <c r="E695" s="190"/>
      <c r="F695" s="191"/>
      <c r="G695" s="491"/>
      <c r="H695" s="192"/>
      <c r="I695" s="254"/>
      <c r="J695" s="254"/>
      <c r="K695" s="38"/>
      <c r="L695" s="193"/>
      <c r="M695" s="193"/>
      <c r="N695" s="39" t="str">
        <f>IF(AND('331-CT'!$E$7=TH!H695,OR(L695="331",M695="331")),"331",IF(AND(OR(L695="131",M695="131"),H695='131-CT'!$E$7),"131",""))</f>
        <v/>
      </c>
      <c r="O695" s="39" t="str">
        <f>IF(AND($B695&gt;='111'!$N$11,$B695&lt;='111'!$O$11,OR($L695=$O$7,$M695=$O$7)),"x","")</f>
        <v/>
      </c>
      <c r="P695" s="39" t="str">
        <f>IF(AND($L695=$O$7,$B695&lt;'111'!$N$11),"x","")</f>
        <v/>
      </c>
      <c r="Q695" s="39" t="str">
        <f>IF(AND($M695=$O$7,$B695&lt;'111'!$N$11),"x","")</f>
        <v/>
      </c>
      <c r="R695" s="39" t="str">
        <f>IF(ISERROR(FIND('112'!$M$9,G695,1)),"",IF((AND(FIND('112'!$M$9,G695,1)&gt;=1,$B695&gt;='112'!$N$8,$B695&lt;='112'!$O$8,OR($L695='112'!$I$6,$M695='112'!$I$6))),"x",""))</f>
        <v/>
      </c>
      <c r="S695" s="39" t="str">
        <f>IF(ISERROR(FIND('112'!$M$9,G695,1)),"",IF((AND(LEFT(G695,2)=LEFT('112'!$M$9,2),B695&lt;'112'!$N$8,$L695='112'!$I$6)),"x",""))</f>
        <v/>
      </c>
      <c r="T695" s="39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39" t="str">
        <f>IF(OR(TH!L695=TH!$V$7,M695=TH!$V$7),"x","")</f>
        <v/>
      </c>
      <c r="W695" s="39" t="str">
        <f>IF(AND(B695&gt;='IN-NX'!$P$3,B695&lt;='IN-NX'!$Q$3,'IN-NX'!$D$7=D695,OR(LEFT(L695,2)="15",AND(LEFT(M695,2)&lt;&gt;"15",LEFT(M695,2)&lt;&gt;"33"))),"x","")</f>
        <v/>
      </c>
      <c r="X695" s="39" t="str">
        <f>IF(AND(OR(LEFT(TH!L695,2)="15",LEFT(TH!M695,2)="15"),'152-CT'!$J$8=TH!F695),"x","")</f>
        <v/>
      </c>
      <c r="Y695" s="39" t="str">
        <f>IF(AND(OR(LEFT(TH!L695,2)="15",LEFT(TH!M695,2)="15"),TK!$E$7=TH!F695),"x","")</f>
        <v/>
      </c>
      <c r="Z695" s="39" t="str">
        <f>IF(AND(B695&lt;=NKC!$N$8,B695&gt;=NKC!$M$8),"x","")</f>
        <v/>
      </c>
      <c r="AA695" s="894"/>
      <c r="AB695" s="598" t="e">
        <f t="shared" si="31"/>
        <v>#N/A</v>
      </c>
    </row>
    <row r="696" spans="1:30" ht="15.75" customHeight="1">
      <c r="A696" s="199" t="str">
        <f>IF(B696&lt;&gt;"",IF(AND(B696&gt;=_TM1,B696&lt;=_TM2,OR(TH!L696="1111",TH!M696="1111")),TH!D696,""),"")</f>
        <v/>
      </c>
      <c r="B696" s="36">
        <f t="shared" si="32"/>
        <v>1</v>
      </c>
      <c r="C696" s="190">
        <f t="shared" si="33"/>
        <v>0</v>
      </c>
      <c r="D696" s="183"/>
      <c r="E696" s="190"/>
      <c r="F696" s="191"/>
      <c r="G696" s="491"/>
      <c r="H696" s="192"/>
      <c r="I696" s="254"/>
      <c r="J696" s="254"/>
      <c r="K696" s="38"/>
      <c r="L696" s="193"/>
      <c r="M696" s="193"/>
      <c r="N696" s="39" t="str">
        <f>IF(AND('331-CT'!$E$7=TH!H696,OR(L696="331",M696="331")),"331",IF(AND(OR(L696="131",M696="131"),H696='131-CT'!$E$7),"131",""))</f>
        <v/>
      </c>
      <c r="O696" s="39" t="str">
        <f>IF(AND($B696&gt;='111'!$N$11,$B696&lt;='111'!$O$11,OR($L696=$O$7,$M696=$O$7)),"x","")</f>
        <v/>
      </c>
      <c r="P696" s="39" t="str">
        <f>IF(AND($L696=$O$7,$B696&lt;'111'!$N$11),"x","")</f>
        <v/>
      </c>
      <c r="Q696" s="39" t="str">
        <f>IF(AND($M696=$O$7,$B696&lt;'111'!$N$11),"x","")</f>
        <v/>
      </c>
      <c r="R696" s="39" t="str">
        <f>IF(ISERROR(FIND('112'!$M$9,G696,1)),"",IF((AND(FIND('112'!$M$9,G696,1)&gt;=1,$B696&gt;='112'!$N$8,$B696&lt;='112'!$O$8,OR($L696='112'!$I$6,$M696='112'!$I$6))),"x",""))</f>
        <v/>
      </c>
      <c r="S696" s="39" t="str">
        <f>IF(ISERROR(FIND('112'!$M$9,G696,1)),"",IF((AND(LEFT(G696,2)=LEFT('112'!$M$9,2),B696&lt;'112'!$N$8,$L696='112'!$I$6)),"x",""))</f>
        <v/>
      </c>
      <c r="T696" s="39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39" t="str">
        <f>IF(OR(TH!L696=TH!$V$7,M696=TH!$V$7),"x","")</f>
        <v/>
      </c>
      <c r="W696" s="39" t="str">
        <f>IF(AND(B696&gt;='IN-NX'!$P$3,B696&lt;='IN-NX'!$Q$3,'IN-NX'!$D$7=D696,OR(LEFT(L696,2)="15",AND(LEFT(M696,2)&lt;&gt;"15",LEFT(M696,2)&lt;&gt;"33"))),"x","")</f>
        <v/>
      </c>
      <c r="X696" s="39" t="str">
        <f>IF(AND(OR(LEFT(TH!L696,2)="15",LEFT(TH!M696,2)="15"),'152-CT'!$J$8=TH!F696),"x","")</f>
        <v/>
      </c>
      <c r="Y696" s="39" t="str">
        <f>IF(AND(OR(LEFT(TH!L696,2)="15",LEFT(TH!M696,2)="15"),TK!$E$7=TH!F696),"x","")</f>
        <v/>
      </c>
      <c r="Z696" s="39" t="str">
        <f>IF(AND(B696&lt;=NKC!$N$8,B696&gt;=NKC!$M$8),"x","")</f>
        <v/>
      </c>
      <c r="AA696" s="894"/>
      <c r="AB696" s="598" t="e">
        <f t="shared" si="31"/>
        <v>#N/A</v>
      </c>
      <c r="AC696" s="598"/>
    </row>
    <row r="697" spans="1:30" ht="15.75" customHeight="1">
      <c r="A697" s="199" t="str">
        <f>IF(B697&lt;&gt;"",IF(AND(B697&gt;=_TM1,B697&lt;=_TM2,OR(TH!L697="1111",TH!M697="1111")),TH!D697,""),"")</f>
        <v/>
      </c>
      <c r="B697" s="36">
        <f t="shared" si="32"/>
        <v>1</v>
      </c>
      <c r="C697" s="190">
        <f t="shared" si="33"/>
        <v>0</v>
      </c>
      <c r="D697" s="183"/>
      <c r="E697" s="190"/>
      <c r="F697" s="191"/>
      <c r="G697" s="491"/>
      <c r="H697" s="192"/>
      <c r="I697" s="254"/>
      <c r="J697" s="254"/>
      <c r="K697" s="38"/>
      <c r="L697" s="193"/>
      <c r="M697" s="193"/>
      <c r="N697" s="39" t="str">
        <f>IF(AND('331-CT'!$E$7=TH!H697,OR(L697="331",M697="331")),"331",IF(AND(OR(L697="131",M697="131"),H697='131-CT'!$E$7),"131",""))</f>
        <v/>
      </c>
      <c r="O697" s="39" t="str">
        <f>IF(AND($B697&gt;='111'!$N$11,$B697&lt;='111'!$O$11,OR($L697=$O$7,$M697=$O$7)),"x","")</f>
        <v/>
      </c>
      <c r="P697" s="39" t="str">
        <f>IF(AND($L697=$O$7,$B697&lt;'111'!$N$11),"x","")</f>
        <v/>
      </c>
      <c r="Q697" s="39" t="str">
        <f>IF(AND($M697=$O$7,$B697&lt;'111'!$N$11),"x","")</f>
        <v/>
      </c>
      <c r="R697" s="39" t="str">
        <f>IF(ISERROR(FIND('112'!$M$9,G697,1)),"",IF((AND(FIND('112'!$M$9,G697,1)&gt;=1,$B697&gt;='112'!$N$8,$B697&lt;='112'!$O$8,OR($L697='112'!$I$6,$M697='112'!$I$6))),"x",""))</f>
        <v/>
      </c>
      <c r="S697" s="39" t="str">
        <f>IF(ISERROR(FIND('112'!$M$9,G697,1)),"",IF((AND(LEFT(G697,2)=LEFT('112'!$M$9,2),B697&lt;'112'!$N$8,$L697='112'!$I$6)),"x",""))</f>
        <v/>
      </c>
      <c r="T697" s="39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39" t="str">
        <f>IF(OR(TH!L697=TH!$V$7,M697=TH!$V$7),"x","")</f>
        <v/>
      </c>
      <c r="W697" s="39" t="str">
        <f>IF(AND(B697&gt;='IN-NX'!$P$3,B697&lt;='IN-NX'!$Q$3,'IN-NX'!$D$7=D697,OR(LEFT(L697,2)="15",AND(LEFT(M697,2)&lt;&gt;"15",LEFT(M697,2)&lt;&gt;"33"))),"x","")</f>
        <v/>
      </c>
      <c r="X697" s="39" t="str">
        <f>IF(AND(OR(LEFT(TH!L697,2)="15",LEFT(TH!M697,2)="15"),'152-CT'!$J$8=TH!F697),"x","")</f>
        <v/>
      </c>
      <c r="Y697" s="39" t="str">
        <f>IF(AND(OR(LEFT(TH!L697,2)="15",LEFT(TH!M697,2)="15"),TK!$E$7=TH!F697),"x","")</f>
        <v/>
      </c>
      <c r="Z697" s="39" t="str">
        <f>IF(AND(B697&lt;=NKC!$N$8,B697&gt;=NKC!$M$8),"x","")</f>
        <v/>
      </c>
      <c r="AA697" s="894"/>
      <c r="AB697" s="598" t="e">
        <f t="shared" si="31"/>
        <v>#N/A</v>
      </c>
    </row>
    <row r="698" spans="1:30" ht="15.75" customHeight="1">
      <c r="A698" s="199" t="str">
        <f>IF(B698&lt;&gt;"",IF(AND(B698&gt;=_TM1,B698&lt;=_TM2,OR(TH!L698="1111",TH!M698="1111")),TH!D698,""),"")</f>
        <v/>
      </c>
      <c r="B698" s="36">
        <f t="shared" si="32"/>
        <v>1</v>
      </c>
      <c r="C698" s="190">
        <f t="shared" si="33"/>
        <v>0</v>
      </c>
      <c r="D698" s="183"/>
      <c r="E698" s="190"/>
      <c r="F698" s="191"/>
      <c r="G698" s="491"/>
      <c r="H698" s="192"/>
      <c r="I698" s="253"/>
      <c r="J698" s="253"/>
      <c r="K698" s="38"/>
      <c r="L698" s="193"/>
      <c r="M698" s="193"/>
      <c r="N698" s="39" t="str">
        <f>IF(AND('331-CT'!$E$7=TH!H698,OR(L698="331",M698="331")),"331",IF(AND(OR(L698="131",M698="131"),H698='131-CT'!$E$7),"131",""))</f>
        <v/>
      </c>
      <c r="O698" s="39" t="str">
        <f>IF(AND($B698&gt;='111'!$N$11,$B698&lt;='111'!$O$11,OR($L698=$O$7,$M698=$O$7)),"x","")</f>
        <v/>
      </c>
      <c r="P698" s="39" t="str">
        <f>IF(AND($L698=$O$7,$B698&lt;'111'!$N$11),"x","")</f>
        <v/>
      </c>
      <c r="Q698" s="39" t="str">
        <f>IF(AND($M698=$O$7,$B698&lt;'111'!$N$11),"x","")</f>
        <v/>
      </c>
      <c r="R698" s="39" t="str">
        <f>IF(ISERROR(FIND('112'!$M$9,G698,1)),"",IF((AND(FIND('112'!$M$9,G698,1)&gt;=1,$B698&gt;='112'!$N$8,$B698&lt;='112'!$O$8,OR($L698='112'!$I$6,$M698='112'!$I$6))),"x",""))</f>
        <v/>
      </c>
      <c r="S698" s="39" t="str">
        <f>IF(ISERROR(FIND('112'!$M$9,G698,1)),"",IF((AND(LEFT(G698,2)=LEFT('112'!$M$9,2),B698&lt;'112'!$N$8,$L698='112'!$I$6)),"x",""))</f>
        <v/>
      </c>
      <c r="T698" s="39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39" t="str">
        <f>IF(OR(TH!L698=TH!$V$7,M698=TH!$V$7),"x","")</f>
        <v/>
      </c>
      <c r="W698" s="39" t="str">
        <f>IF(AND(B698&gt;='IN-NX'!$P$3,B698&lt;='IN-NX'!$Q$3,'IN-NX'!$D$7=D698,OR(LEFT(L698,2)="15",AND(LEFT(M698,2)&lt;&gt;"15",LEFT(M698,2)&lt;&gt;"33"))),"x","")</f>
        <v/>
      </c>
      <c r="X698" s="39" t="str">
        <f>IF(AND(OR(LEFT(TH!L698,2)="15",LEFT(TH!M698,2)="15"),'152-CT'!$J$8=TH!F698),"x","")</f>
        <v/>
      </c>
      <c r="Y698" s="39" t="str">
        <f>IF(AND(OR(LEFT(TH!L698,2)="15",LEFT(TH!M698,2)="15"),TK!$E$7=TH!F698),"x","")</f>
        <v/>
      </c>
      <c r="Z698" s="39" t="str">
        <f>IF(AND(B698&lt;=NKC!$N$8,B698&gt;=NKC!$M$8),"x","")</f>
        <v/>
      </c>
      <c r="AA698" s="894"/>
      <c r="AB698" s="598" t="e">
        <f t="shared" si="31"/>
        <v>#N/A</v>
      </c>
      <c r="AC698" s="598"/>
    </row>
    <row r="699" spans="1:30" ht="15.75" customHeight="1">
      <c r="A699" s="199" t="str">
        <f>IF(B699&lt;&gt;"",IF(AND(B699&gt;=_TM1,B699&lt;=_TM2,OR(TH!L699="1111",TH!M699="1111")),TH!D699,""),"")</f>
        <v/>
      </c>
      <c r="B699" s="36">
        <f t="shared" si="32"/>
        <v>1</v>
      </c>
      <c r="C699" s="190">
        <f t="shared" si="33"/>
        <v>0</v>
      </c>
      <c r="D699" s="183"/>
      <c r="E699" s="190"/>
      <c r="F699" s="191"/>
      <c r="G699" s="491"/>
      <c r="H699" s="192"/>
      <c r="I699" s="253"/>
      <c r="J699" s="253"/>
      <c r="K699" s="38"/>
      <c r="L699" s="193"/>
      <c r="M699" s="193"/>
      <c r="N699" s="39" t="str">
        <f>IF(AND('331-CT'!$E$7=TH!H699,OR(L699="331",M699="331")),"331",IF(AND(OR(L699="131",M699="131"),H699='131-CT'!$E$7),"131",""))</f>
        <v/>
      </c>
      <c r="O699" s="39" t="str">
        <f>IF(AND($B699&gt;='111'!$N$11,$B699&lt;='111'!$O$11,OR($L699=$O$7,$M699=$O$7)),"x","")</f>
        <v/>
      </c>
      <c r="P699" s="39" t="str">
        <f>IF(AND($L699=$O$7,$B699&lt;'111'!$N$11),"x","")</f>
        <v/>
      </c>
      <c r="Q699" s="39" t="str">
        <f>IF(AND($M699=$O$7,$B699&lt;'111'!$N$11),"x","")</f>
        <v/>
      </c>
      <c r="R699" s="39" t="str">
        <f>IF(ISERROR(FIND('112'!$M$9,G699,1)),"",IF((AND(FIND('112'!$M$9,G699,1)&gt;=1,$B699&gt;='112'!$N$8,$B699&lt;='112'!$O$8,OR($L699='112'!$I$6,$M699='112'!$I$6))),"x",""))</f>
        <v/>
      </c>
      <c r="S699" s="39" t="str">
        <f>IF(ISERROR(FIND('112'!$M$9,G699,1)),"",IF((AND(LEFT(G699,2)=LEFT('112'!$M$9,2),B699&lt;'112'!$N$8,$L699='112'!$I$6)),"x",""))</f>
        <v/>
      </c>
      <c r="T699" s="39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39" t="str">
        <f>IF(OR(TH!L699=TH!$V$7,M699=TH!$V$7),"x","")</f>
        <v/>
      </c>
      <c r="W699" s="39" t="str">
        <f>IF(AND(B699&gt;='IN-NX'!$P$3,B699&lt;='IN-NX'!$Q$3,'IN-NX'!$D$7=D699,OR(LEFT(L699,2)="15",AND(LEFT(M699,2)&lt;&gt;"15",LEFT(M699,2)&lt;&gt;"33"))),"x","")</f>
        <v/>
      </c>
      <c r="X699" s="39" t="str">
        <f>IF(AND(OR(LEFT(TH!L699,2)="15",LEFT(TH!M699,2)="15"),'152-CT'!$J$8=TH!F699),"x","")</f>
        <v/>
      </c>
      <c r="Y699" s="39" t="str">
        <f>IF(AND(OR(LEFT(TH!L699,2)="15",LEFT(TH!M699,2)="15"),TK!$E$7=TH!F699),"x","")</f>
        <v/>
      </c>
      <c r="Z699" s="39" t="str">
        <f>IF(AND(B699&lt;=NKC!$N$8,B699&gt;=NKC!$M$8),"x","")</f>
        <v/>
      </c>
      <c r="AA699" s="894"/>
      <c r="AB699" s="598" t="e">
        <f t="shared" si="31"/>
        <v>#N/A</v>
      </c>
    </row>
    <row r="700" spans="1:30" ht="15.75" customHeight="1">
      <c r="A700" s="199" t="str">
        <f>IF(B700&lt;&gt;"",IF(AND(B700&gt;=_TM1,B700&lt;=_TM2,OR(TH!L700="1111",TH!M700="1111")),TH!D700,""),"")</f>
        <v/>
      </c>
      <c r="B700" s="36">
        <f t="shared" si="32"/>
        <v>1</v>
      </c>
      <c r="C700" s="190">
        <f t="shared" si="33"/>
        <v>0</v>
      </c>
      <c r="D700" s="183"/>
      <c r="E700" s="190"/>
      <c r="F700" s="191"/>
      <c r="G700" s="491"/>
      <c r="H700" s="192"/>
      <c r="I700" s="253"/>
      <c r="J700" s="253"/>
      <c r="K700" s="38"/>
      <c r="L700" s="193"/>
      <c r="M700" s="193"/>
      <c r="N700" s="39" t="str">
        <f>IF(AND('331-CT'!$E$7=TH!H700,OR(L700="331",M700="331")),"331",IF(AND(OR(L700="131",M700="131"),H700='131-CT'!$E$7),"131",""))</f>
        <v/>
      </c>
      <c r="O700" s="39" t="str">
        <f>IF(AND($B700&gt;='111'!$N$11,$B700&lt;='111'!$O$11,OR($L700=$O$7,$M700=$O$7)),"x","")</f>
        <v/>
      </c>
      <c r="P700" s="39" t="str">
        <f>IF(AND($L700=$O$7,$B700&lt;'111'!$N$11),"x","")</f>
        <v/>
      </c>
      <c r="Q700" s="39" t="str">
        <f>IF(AND($M700=$O$7,$B700&lt;'111'!$N$11),"x","")</f>
        <v/>
      </c>
      <c r="R700" s="39" t="str">
        <f>IF(ISERROR(FIND('112'!$M$9,G700,1)),"",IF((AND(FIND('112'!$M$9,G700,1)&gt;=1,$B700&gt;='112'!$N$8,$B700&lt;='112'!$O$8,OR($L700='112'!$I$6,$M700='112'!$I$6))),"x",""))</f>
        <v/>
      </c>
      <c r="S700" s="39" t="str">
        <f>IF(ISERROR(FIND('112'!$M$9,G700,1)),"",IF((AND(LEFT(G700,2)=LEFT('112'!$M$9,2),B700&lt;'112'!$N$8,$L700='112'!$I$6)),"x",""))</f>
        <v/>
      </c>
      <c r="T700" s="39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39" t="str">
        <f>IF(OR(TH!L700=TH!$V$7,M700=TH!$V$7),"x","")</f>
        <v/>
      </c>
      <c r="W700" s="39" t="str">
        <f>IF(AND(B700&gt;='IN-NX'!$P$3,B700&lt;='IN-NX'!$Q$3,'IN-NX'!$D$7=D700,OR(LEFT(L700,2)="15",AND(LEFT(M700,2)&lt;&gt;"15",LEFT(M700,2)&lt;&gt;"33"))),"x","")</f>
        <v/>
      </c>
      <c r="X700" s="39" t="str">
        <f>IF(AND(OR(LEFT(TH!L700,2)="15",LEFT(TH!M700,2)="15"),'152-CT'!$J$8=TH!F700),"x","")</f>
        <v/>
      </c>
      <c r="Y700" s="39" t="str">
        <f>IF(AND(OR(LEFT(TH!L700,2)="15",LEFT(TH!M700,2)="15"),TK!$E$7=TH!F700),"x","")</f>
        <v/>
      </c>
      <c r="Z700" s="39" t="str">
        <f>IF(AND(B700&lt;=NKC!$N$8,B700&gt;=NKC!$M$8),"x","")</f>
        <v/>
      </c>
      <c r="AA700" s="894"/>
      <c r="AB700" s="598" t="e">
        <f t="shared" si="31"/>
        <v>#N/A</v>
      </c>
      <c r="AC700" s="598"/>
    </row>
    <row r="701" spans="1:30" ht="15.75" customHeight="1">
      <c r="A701" s="199" t="str">
        <f>IF(B701&lt;&gt;"",IF(AND(B701&gt;=_TM1,B701&lt;=_TM2,OR(TH!L701="1111",TH!M701="1111")),TH!D701,""),"")</f>
        <v/>
      </c>
      <c r="B701" s="36">
        <f t="shared" si="32"/>
        <v>1</v>
      </c>
      <c r="C701" s="190">
        <f t="shared" si="33"/>
        <v>0</v>
      </c>
      <c r="D701" s="183"/>
      <c r="E701" s="190"/>
      <c r="F701" s="191"/>
      <c r="G701" s="491"/>
      <c r="H701" s="192"/>
      <c r="I701" s="253"/>
      <c r="J701" s="253"/>
      <c r="K701" s="38"/>
      <c r="L701" s="193"/>
      <c r="M701" s="193"/>
      <c r="N701" s="39" t="str">
        <f>IF(AND('331-CT'!$E$7=TH!H701,OR(L701="331",M701="331")),"331",IF(AND(OR(L701="131",M701="131"),H701='131-CT'!$E$7),"131",""))</f>
        <v/>
      </c>
      <c r="O701" s="39" t="str">
        <f>IF(AND($B701&gt;='111'!$N$11,$B701&lt;='111'!$O$11,OR($L701=$O$7,$M701=$O$7)),"x","")</f>
        <v/>
      </c>
      <c r="P701" s="39" t="str">
        <f>IF(AND($L701=$O$7,$B701&lt;'111'!$N$11),"x","")</f>
        <v/>
      </c>
      <c r="Q701" s="39" t="str">
        <f>IF(AND($M701=$O$7,$B701&lt;'111'!$N$11),"x","")</f>
        <v/>
      </c>
      <c r="R701" s="39" t="str">
        <f>IF(ISERROR(FIND('112'!$M$9,G701,1)),"",IF((AND(FIND('112'!$M$9,G701,1)&gt;=1,$B701&gt;='112'!$N$8,$B701&lt;='112'!$O$8,OR($L701='112'!$I$6,$M701='112'!$I$6))),"x",""))</f>
        <v/>
      </c>
      <c r="S701" s="39" t="str">
        <f>IF(ISERROR(FIND('112'!$M$9,G701,1)),"",IF((AND(LEFT(G701,2)=LEFT('112'!$M$9,2),B701&lt;'112'!$N$8,$L701='112'!$I$6)),"x",""))</f>
        <v/>
      </c>
      <c r="T701" s="39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39" t="str">
        <f>IF(OR(TH!L701=TH!$V$7,M701=TH!$V$7),"x","")</f>
        <v/>
      </c>
      <c r="W701" s="39" t="str">
        <f>IF(AND(B701&gt;='IN-NX'!$P$3,B701&lt;='IN-NX'!$Q$3,'IN-NX'!$D$7=D701,OR(LEFT(L701,2)="15",AND(LEFT(M701,2)&lt;&gt;"15",LEFT(M701,2)&lt;&gt;"33"))),"x","")</f>
        <v/>
      </c>
      <c r="X701" s="39" t="str">
        <f>IF(AND(OR(LEFT(TH!L701,2)="15",LEFT(TH!M701,2)="15"),'152-CT'!$J$8=TH!F701),"x","")</f>
        <v/>
      </c>
      <c r="Y701" s="39" t="str">
        <f>IF(AND(OR(LEFT(TH!L701,2)="15",LEFT(TH!M701,2)="15"),TK!$E$7=TH!F701),"x","")</f>
        <v/>
      </c>
      <c r="Z701" s="39" t="str">
        <f>IF(AND(B701&lt;=NKC!$N$8,B701&gt;=NKC!$M$8),"x","")</f>
        <v/>
      </c>
      <c r="AA701" s="894"/>
      <c r="AB701" s="598" t="e">
        <f t="shared" si="31"/>
        <v>#N/A</v>
      </c>
    </row>
    <row r="702" spans="1:30" ht="15.75" customHeight="1">
      <c r="A702" s="199" t="str">
        <f>IF(B702&lt;&gt;"",IF(AND(B702&gt;=_TM1,B702&lt;=_TM2,OR(TH!L702="1111",TH!M702="1111")),TH!D702,""),"")</f>
        <v/>
      </c>
      <c r="B702" s="36">
        <f t="shared" si="32"/>
        <v>1</v>
      </c>
      <c r="C702" s="190">
        <f t="shared" si="33"/>
        <v>0</v>
      </c>
      <c r="D702" s="183"/>
      <c r="E702" s="190"/>
      <c r="F702" s="191"/>
      <c r="G702" s="491"/>
      <c r="H702" s="192"/>
      <c r="I702" s="254"/>
      <c r="J702" s="254"/>
      <c r="K702" s="38"/>
      <c r="L702" s="193"/>
      <c r="M702" s="193"/>
      <c r="N702" s="39" t="str">
        <f>IF(AND('331-CT'!$E$7=TH!H702,OR(L702="331",M702="331")),"331",IF(AND(OR(L702="131",M702="131"),H702='131-CT'!$E$7),"131",""))</f>
        <v/>
      </c>
      <c r="O702" s="39" t="str">
        <f>IF(AND($B702&gt;='111'!$N$11,$B702&lt;='111'!$O$11,OR($L702=$O$7,$M702=$O$7)),"x","")</f>
        <v/>
      </c>
      <c r="P702" s="39" t="str">
        <f>IF(AND($L702=$O$7,$B702&lt;'111'!$N$11),"x","")</f>
        <v/>
      </c>
      <c r="Q702" s="39" t="str">
        <f>IF(AND($M702=$O$7,$B702&lt;'111'!$N$11),"x","")</f>
        <v/>
      </c>
      <c r="R702" s="39" t="str">
        <f>IF(ISERROR(FIND('112'!$M$9,G702,1)),"",IF((AND(FIND('112'!$M$9,G702,1)&gt;=1,$B702&gt;='112'!$N$8,$B702&lt;='112'!$O$8,OR($L702='112'!$I$6,$M702='112'!$I$6))),"x",""))</f>
        <v/>
      </c>
      <c r="S702" s="39" t="str">
        <f>IF(ISERROR(FIND('112'!$M$9,G702,1)),"",IF((AND(LEFT(G702,2)=LEFT('112'!$M$9,2),B702&lt;'112'!$N$8,$L702='112'!$I$6)),"x",""))</f>
        <v/>
      </c>
      <c r="T702" s="39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39" t="str">
        <f>IF(OR(TH!L702=TH!$V$7,M702=TH!$V$7),"x","")</f>
        <v/>
      </c>
      <c r="W702" s="39" t="str">
        <f>IF(AND(B702&gt;='IN-NX'!$P$3,B702&lt;='IN-NX'!$Q$3,'IN-NX'!$D$7=D702,OR(LEFT(L702,2)="15",AND(LEFT(M702,2)&lt;&gt;"15",LEFT(M702,2)&lt;&gt;"33"))),"x","")</f>
        <v/>
      </c>
      <c r="X702" s="39" t="str">
        <f>IF(AND(OR(LEFT(TH!L702,2)="15",LEFT(TH!M702,2)="15"),'152-CT'!$J$8=TH!F702),"x","")</f>
        <v/>
      </c>
      <c r="Y702" s="39" t="str">
        <f>IF(AND(OR(LEFT(TH!L702,2)="15",LEFT(TH!M702,2)="15"),TK!$E$7=TH!F702),"x","")</f>
        <v/>
      </c>
      <c r="Z702" s="39" t="str">
        <f>IF(AND(B702&lt;=NKC!$N$8,B702&gt;=NKC!$M$8),"x","")</f>
        <v/>
      </c>
      <c r="AA702" s="894"/>
      <c r="AB702" s="598" t="e">
        <f t="shared" si="31"/>
        <v>#N/A</v>
      </c>
      <c r="AC702" s="598"/>
    </row>
    <row r="703" spans="1:30" ht="15.75" customHeight="1">
      <c r="A703" s="199" t="str">
        <f>IF(B703&lt;&gt;"",IF(AND(B703&gt;=_TM1,B703&lt;=_TM2,OR(TH!L703="1111",TH!M703="1111")),TH!D703,""),"")</f>
        <v/>
      </c>
      <c r="B703" s="36">
        <f t="shared" si="32"/>
        <v>1</v>
      </c>
      <c r="C703" s="190">
        <f t="shared" si="33"/>
        <v>0</v>
      </c>
      <c r="D703" s="183"/>
      <c r="E703" s="190"/>
      <c r="F703" s="191"/>
      <c r="G703" s="491"/>
      <c r="H703" s="192"/>
      <c r="I703" s="253"/>
      <c r="J703" s="253"/>
      <c r="K703" s="606"/>
      <c r="L703" s="193"/>
      <c r="M703" s="193"/>
      <c r="N703" s="39" t="str">
        <f>IF(AND('331-CT'!$E$7=TH!H703,OR(L703="331",M703="331")),"331",IF(AND(OR(L703="131",M703="131"),H703='131-CT'!$E$7),"131",""))</f>
        <v/>
      </c>
      <c r="O703" s="39" t="str">
        <f>IF(AND($B703&gt;='111'!$N$11,$B703&lt;='111'!$O$11,OR($L703=$O$7,$M703=$O$7)),"x","")</f>
        <v/>
      </c>
      <c r="P703" s="39" t="str">
        <f>IF(AND($L703=$O$7,$B703&lt;'111'!$N$11),"x","")</f>
        <v/>
      </c>
      <c r="Q703" s="39" t="str">
        <f>IF(AND($M703=$O$7,$B703&lt;'111'!$N$11),"x","")</f>
        <v/>
      </c>
      <c r="R703" s="39" t="str">
        <f>IF(ISERROR(FIND('112'!$M$9,G703,1)),"",IF((AND(FIND('112'!$M$9,G703,1)&gt;=1,$B703&gt;='112'!$N$8,$B703&lt;='112'!$O$8,OR($L703='112'!$I$6,$M703='112'!$I$6))),"x",""))</f>
        <v/>
      </c>
      <c r="S703" s="39" t="str">
        <f>IF(ISERROR(FIND('112'!$M$9,G703,1)),"",IF((AND(LEFT(G703,2)=LEFT('112'!$M$9,2),B703&lt;'112'!$N$8,$L703='112'!$I$6)),"x",""))</f>
        <v/>
      </c>
      <c r="T703" s="39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39" t="str">
        <f>IF(OR(TH!L703=TH!$V$7,M703=TH!$V$7),"x","")</f>
        <v/>
      </c>
      <c r="W703" s="39" t="str">
        <f>IF(AND(B703&gt;='IN-NX'!$P$3,B703&lt;='IN-NX'!$Q$3,'IN-NX'!$D$7=D703,OR(LEFT(L703,2)="15",AND(LEFT(M703,2)&lt;&gt;"15",LEFT(M703,2)&lt;&gt;"33"))),"x","")</f>
        <v/>
      </c>
      <c r="X703" s="39" t="str">
        <f>IF(AND(OR(LEFT(TH!L703,2)="15",LEFT(TH!M703,2)="15"),'152-CT'!$J$8=TH!F703),"x","")</f>
        <v/>
      </c>
      <c r="Y703" s="39" t="str">
        <f>IF(AND(OR(LEFT(TH!L703,2)="15",LEFT(TH!M703,2)="15"),TK!$E$7=TH!F703),"x","")</f>
        <v/>
      </c>
      <c r="Z703" s="39" t="str">
        <f>IF(AND(B703&lt;=NKC!$N$8,B703&gt;=NKC!$M$8),"x","")</f>
        <v/>
      </c>
      <c r="AA703" s="894"/>
      <c r="AB703" s="598" t="e">
        <f t="shared" si="31"/>
        <v>#N/A</v>
      </c>
    </row>
    <row r="704" spans="1:30" ht="15.75" customHeight="1">
      <c r="A704" s="199" t="str">
        <f>IF(B704&lt;&gt;"",IF(AND(B704&gt;=_TM1,B704&lt;=_TM2,OR(TH!L704="1111",TH!M704="1111")),TH!D704,""),"")</f>
        <v/>
      </c>
      <c r="B704" s="36">
        <f t="shared" si="32"/>
        <v>1</v>
      </c>
      <c r="C704" s="190">
        <f t="shared" si="33"/>
        <v>0</v>
      </c>
      <c r="D704" s="183"/>
      <c r="E704" s="190"/>
      <c r="F704" s="191"/>
      <c r="G704" s="491"/>
      <c r="H704" s="192"/>
      <c r="I704" s="253"/>
      <c r="J704" s="253"/>
      <c r="K704" s="38"/>
      <c r="L704" s="193"/>
      <c r="M704" s="193"/>
      <c r="N704" s="39" t="str">
        <f>IF(AND('331-CT'!$E$7=TH!H704,OR(L704="331",M704="331")),"331",IF(AND(OR(L704="131",M704="131"),H704='131-CT'!$E$7),"131",""))</f>
        <v/>
      </c>
      <c r="O704" s="39" t="str">
        <f>IF(AND($B704&gt;='111'!$N$11,$B704&lt;='111'!$O$11,OR($L704=$O$7,$M704=$O$7)),"x","")</f>
        <v/>
      </c>
      <c r="P704" s="39" t="str">
        <f>IF(AND($L704=$O$7,$B704&lt;'111'!$N$11),"x","")</f>
        <v/>
      </c>
      <c r="Q704" s="39" t="str">
        <f>IF(AND($M704=$O$7,$B704&lt;'111'!$N$11),"x","")</f>
        <v/>
      </c>
      <c r="R704" s="39" t="str">
        <f>IF(ISERROR(FIND('112'!$M$9,G704,1)),"",IF((AND(FIND('112'!$M$9,G704,1)&gt;=1,$B704&gt;='112'!$N$8,$B704&lt;='112'!$O$8,OR($L704='112'!$I$6,$M704='112'!$I$6))),"x",""))</f>
        <v/>
      </c>
      <c r="S704" s="39" t="str">
        <f>IF(ISERROR(FIND('112'!$M$9,G704,1)),"",IF((AND(LEFT(G704,2)=LEFT('112'!$M$9,2),B704&lt;'112'!$N$8,$L704='112'!$I$6)),"x",""))</f>
        <v/>
      </c>
      <c r="T704" s="39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39" t="str">
        <f>IF(OR(TH!L704=TH!$V$7,M704=TH!$V$7),"x","")</f>
        <v/>
      </c>
      <c r="W704" s="39" t="str">
        <f>IF(AND(B704&gt;='IN-NX'!$P$3,B704&lt;='IN-NX'!$Q$3,'IN-NX'!$D$7=D704,OR(LEFT(L704,2)="15",AND(LEFT(M704,2)&lt;&gt;"15",LEFT(M704,2)&lt;&gt;"33"))),"x","")</f>
        <v/>
      </c>
      <c r="X704" s="39" t="str">
        <f>IF(AND(OR(LEFT(TH!L704,2)="15",LEFT(TH!M704,2)="15"),'152-CT'!$J$8=TH!F704),"x","")</f>
        <v/>
      </c>
      <c r="Y704" s="39" t="str">
        <f>IF(AND(OR(LEFT(TH!L704,2)="15",LEFT(TH!M704,2)="15"),TK!$E$7=TH!F704),"x","")</f>
        <v/>
      </c>
      <c r="Z704" s="39" t="str">
        <f>IF(AND(B704&lt;=NKC!$N$8,B704&gt;=NKC!$M$8),"x","")</f>
        <v/>
      </c>
      <c r="AA704" s="894"/>
      <c r="AB704" s="598" t="e">
        <f t="shared" si="31"/>
        <v>#N/A</v>
      </c>
      <c r="AC704" s="598"/>
    </row>
    <row r="705" spans="1:30" ht="15.75" customHeight="1">
      <c r="A705" s="199" t="str">
        <f>IF(B705&lt;&gt;"",IF(AND(B705&gt;=_TM1,B705&lt;=_TM2,OR(TH!L705="1111",TH!M705="1111")),TH!D705,""),"")</f>
        <v/>
      </c>
      <c r="B705" s="36">
        <f t="shared" si="32"/>
        <v>1</v>
      </c>
      <c r="C705" s="190">
        <f t="shared" si="33"/>
        <v>0</v>
      </c>
      <c r="D705" s="183"/>
      <c r="E705" s="190"/>
      <c r="F705" s="188"/>
      <c r="G705" s="491"/>
      <c r="H705" s="7"/>
      <c r="I705" s="844"/>
      <c r="J705" s="253"/>
      <c r="K705" s="606"/>
      <c r="L705" s="193"/>
      <c r="M705" s="193"/>
      <c r="N705" s="39" t="str">
        <f>IF(AND('331-CT'!$E$7=TH!H705,OR(L705="331",M705="331")),"331",IF(AND(OR(L705="131",M705="131"),H705='131-CT'!$E$7),"131",""))</f>
        <v/>
      </c>
      <c r="O705" s="39" t="str">
        <f>IF(AND($B705&gt;='111'!$N$11,$B705&lt;='111'!$O$11,OR($L705=$O$7,$M705=$O$7)),"x","")</f>
        <v/>
      </c>
      <c r="P705" s="39" t="str">
        <f>IF(AND($L705=$O$7,$B705&lt;'111'!$N$11),"x","")</f>
        <v/>
      </c>
      <c r="Q705" s="39" t="str">
        <f>IF(AND($M705=$O$7,$B705&lt;'111'!$N$11),"x","")</f>
        <v/>
      </c>
      <c r="R705" s="39" t="str">
        <f>IF(ISERROR(FIND('112'!$M$9,G705,1)),"",IF((AND(FIND('112'!$M$9,G705,1)&gt;=1,$B705&gt;='112'!$N$8,$B705&lt;='112'!$O$8,OR($L705='112'!$I$6,$M705='112'!$I$6))),"x",""))</f>
        <v/>
      </c>
      <c r="S705" s="39" t="str">
        <f>IF(ISERROR(FIND('112'!$M$9,G705,1)),"",IF((AND(LEFT(G705,2)=LEFT('112'!$M$9,2),B705&lt;'112'!$N$8,$L705='112'!$I$6)),"x",""))</f>
        <v/>
      </c>
      <c r="T705" s="39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39" t="str">
        <f>IF(OR(TH!L705=TH!$V$7,M705=TH!$V$7),"x","")</f>
        <v/>
      </c>
      <c r="W705" s="39" t="str">
        <f>IF(AND(B705&gt;='IN-NX'!$P$3,B705&lt;='IN-NX'!$Q$3,'IN-NX'!$D$7=D705,OR(LEFT(L705,2)="15",AND(LEFT(M705,2)&lt;&gt;"15",LEFT(M705,2)&lt;&gt;"33"))),"x","")</f>
        <v/>
      </c>
      <c r="X705" s="39" t="str">
        <f>IF(AND(OR(LEFT(TH!L705,2)="15",LEFT(TH!M705,2)="15"),'152-CT'!$J$8=TH!F705),"x","")</f>
        <v/>
      </c>
      <c r="Y705" s="39" t="str">
        <f>IF(AND(OR(LEFT(TH!L705,2)="15",LEFT(TH!M705,2)="15"),TK!$E$7=TH!F705),"x","")</f>
        <v/>
      </c>
      <c r="Z705" s="39" t="str">
        <f>IF(AND(B705&lt;=NKC!$N$8,B705&gt;=NKC!$M$8),"x","")</f>
        <v/>
      </c>
      <c r="AA705" s="894"/>
      <c r="AB705" s="598" t="e">
        <f t="shared" si="31"/>
        <v>#N/A</v>
      </c>
    </row>
    <row r="706" spans="1:30" ht="15.75" customHeight="1">
      <c r="A706" s="199" t="str">
        <f>IF(B706&lt;&gt;"",IF(AND(B706&gt;=_TM1,B706&lt;=_TM2,OR(TH!L706="1111",TH!M706="1111")),TH!D706,""),"")</f>
        <v/>
      </c>
      <c r="B706" s="36">
        <f t="shared" si="32"/>
        <v>1</v>
      </c>
      <c r="C706" s="190">
        <f t="shared" si="33"/>
        <v>0</v>
      </c>
      <c r="D706" s="183"/>
      <c r="E706" s="190"/>
      <c r="F706" s="188"/>
      <c r="G706" s="491"/>
      <c r="H706" s="7"/>
      <c r="I706" s="253"/>
      <c r="J706" s="253"/>
      <c r="K706" s="38"/>
      <c r="L706" s="193"/>
      <c r="M706" s="193"/>
      <c r="N706" s="39" t="str">
        <f>IF(AND('331-CT'!$E$7=TH!H706,OR(L706="331",M706="331")),"331",IF(AND(OR(L706="131",M706="131"),H706='131-CT'!$E$7),"131",""))</f>
        <v/>
      </c>
      <c r="O706" s="39" t="str">
        <f>IF(AND($B706&gt;='111'!$N$11,$B706&lt;='111'!$O$11,OR($L706=$O$7,$M706=$O$7)),"x","")</f>
        <v/>
      </c>
      <c r="P706" s="39" t="str">
        <f>IF(AND($L706=$O$7,$B706&lt;'111'!$N$11),"x","")</f>
        <v/>
      </c>
      <c r="Q706" s="39" t="str">
        <f>IF(AND($M706=$O$7,$B706&lt;'111'!$N$11),"x","")</f>
        <v/>
      </c>
      <c r="R706" s="39" t="str">
        <f>IF(ISERROR(FIND('112'!$M$9,G706,1)),"",IF((AND(FIND('112'!$M$9,G706,1)&gt;=1,$B706&gt;='112'!$N$8,$B706&lt;='112'!$O$8,OR($L706='112'!$I$6,$M706='112'!$I$6))),"x",""))</f>
        <v/>
      </c>
      <c r="S706" s="39" t="str">
        <f>IF(ISERROR(FIND('112'!$M$9,G706,1)),"",IF((AND(LEFT(G706,2)=LEFT('112'!$M$9,2),B706&lt;'112'!$N$8,$L706='112'!$I$6)),"x",""))</f>
        <v/>
      </c>
      <c r="T706" s="39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39" t="str">
        <f>IF(OR(TH!L706=TH!$V$7,M706=TH!$V$7),"x","")</f>
        <v/>
      </c>
      <c r="W706" s="39" t="str">
        <f>IF(AND(B706&gt;='IN-NX'!$P$3,B706&lt;='IN-NX'!$Q$3,'IN-NX'!$D$7=D706,OR(LEFT(L706,2)="15",AND(LEFT(M706,2)&lt;&gt;"15",LEFT(M706,2)&lt;&gt;"33"))),"x","")</f>
        <v/>
      </c>
      <c r="X706" s="39" t="str">
        <f>IF(AND(OR(LEFT(TH!L706,2)="15",LEFT(TH!M706,2)="15"),'152-CT'!$J$8=TH!F706),"x","")</f>
        <v/>
      </c>
      <c r="Y706" s="39" t="str">
        <f>IF(AND(OR(LEFT(TH!L706,2)="15",LEFT(TH!M706,2)="15"),TK!$E$7=TH!F706),"x","")</f>
        <v/>
      </c>
      <c r="Z706" s="39" t="str">
        <f>IF(AND(B706&lt;=NKC!$N$8,B706&gt;=NKC!$M$8),"x","")</f>
        <v/>
      </c>
      <c r="AA706" s="894"/>
      <c r="AB706" s="598" t="e">
        <f t="shared" si="31"/>
        <v>#N/A</v>
      </c>
    </row>
    <row r="707" spans="1:30" ht="15.75" customHeight="1">
      <c r="A707" s="199" t="str">
        <f>IF(B707&lt;&gt;"",IF(AND(B707&gt;=_TM1,B707&lt;=_TM2,OR(TH!L707="1111",TH!M707="1111")),TH!D707,""),"")</f>
        <v/>
      </c>
      <c r="B707" s="36">
        <f t="shared" si="32"/>
        <v>1</v>
      </c>
      <c r="C707" s="190">
        <f t="shared" si="33"/>
        <v>0</v>
      </c>
      <c r="D707" s="183"/>
      <c r="E707" s="190"/>
      <c r="F707" s="40"/>
      <c r="G707" s="491"/>
      <c r="H707" s="7"/>
      <c r="I707" s="253"/>
      <c r="J707" s="253"/>
      <c r="K707" s="606"/>
      <c r="L707" s="193"/>
      <c r="M707" s="193"/>
      <c r="N707" s="39" t="str">
        <f>IF(AND('331-CT'!$E$7=TH!H707,OR(L707="331",M707="331")),"331",IF(AND(OR(L707="131",M707="131"),H707='131-CT'!$E$7),"131",""))</f>
        <v/>
      </c>
      <c r="O707" s="39" t="str">
        <f>IF(AND($B707&gt;='111'!$N$11,$B707&lt;='111'!$O$11,OR($L707=$O$7,$M707=$O$7)),"x","")</f>
        <v/>
      </c>
      <c r="P707" s="39" t="str">
        <f>IF(AND($L707=$O$7,$B707&lt;'111'!$N$11),"x","")</f>
        <v/>
      </c>
      <c r="Q707" s="39" t="str">
        <f>IF(AND($M707=$O$7,$B707&lt;'111'!$N$11),"x","")</f>
        <v/>
      </c>
      <c r="R707" s="39" t="str">
        <f>IF(ISERROR(FIND('112'!$M$9,G707,1)),"",IF((AND(FIND('112'!$M$9,G707,1)&gt;=1,$B707&gt;='112'!$N$8,$B707&lt;='112'!$O$8,OR($L707='112'!$I$6,$M707='112'!$I$6))),"x",""))</f>
        <v/>
      </c>
      <c r="S707" s="39" t="str">
        <f>IF(ISERROR(FIND('112'!$M$9,G707,1)),"",IF((AND(LEFT(G707,2)=LEFT('112'!$M$9,2),B707&lt;'112'!$N$8,$L707='112'!$I$6)),"x",""))</f>
        <v/>
      </c>
      <c r="T707" s="39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39" t="str">
        <f>IF(OR(TH!L707=TH!$V$7,M707=TH!$V$7),"x","")</f>
        <v/>
      </c>
      <c r="W707" s="39" t="str">
        <f>IF(AND(B707&gt;='IN-NX'!$P$3,B707&lt;='IN-NX'!$Q$3,'IN-NX'!$D$7=D707,OR(LEFT(L707,2)="15",AND(LEFT(M707,2)&lt;&gt;"15",LEFT(M707,2)&lt;&gt;"33"))),"x","")</f>
        <v/>
      </c>
      <c r="X707" s="39" t="str">
        <f>IF(AND(OR(LEFT(TH!L707,2)="15",LEFT(TH!M707,2)="15"),'152-CT'!$J$8=TH!F707),"x","")</f>
        <v/>
      </c>
      <c r="Y707" s="39" t="str">
        <f>IF(AND(OR(LEFT(TH!L707,2)="15",LEFT(TH!M707,2)="15"),TK!$E$7=TH!F707),"x","")</f>
        <v/>
      </c>
      <c r="Z707" s="39" t="str">
        <f>IF(AND(B707&lt;=NKC!$N$8,B707&gt;=NKC!$M$8),"x","")</f>
        <v/>
      </c>
      <c r="AA707" s="894"/>
      <c r="AB707" s="598" t="e">
        <f t="shared" si="31"/>
        <v>#N/A</v>
      </c>
    </row>
    <row r="708" spans="1:30" ht="15.75" customHeight="1">
      <c r="A708" s="199" t="str">
        <f>IF(B708&lt;&gt;"",IF(AND(B708&gt;=_TM1,B708&lt;=_TM2,OR(TH!L708="1111",TH!M708="1111")),TH!D708,""),"")</f>
        <v/>
      </c>
      <c r="B708" s="36">
        <f t="shared" si="32"/>
        <v>1</v>
      </c>
      <c r="C708" s="190">
        <f t="shared" si="33"/>
        <v>0</v>
      </c>
      <c r="D708" s="183"/>
      <c r="E708" s="190"/>
      <c r="F708" s="188"/>
      <c r="G708" s="491"/>
      <c r="H708" s="7"/>
      <c r="I708" s="253"/>
      <c r="J708" s="253"/>
      <c r="K708" s="38"/>
      <c r="L708" s="193"/>
      <c r="M708" s="193"/>
      <c r="N708" s="39" t="str">
        <f>IF(AND('331-CT'!$E$7=TH!H708,OR(L708="331",M708="331")),"331",IF(AND(OR(L708="131",M708="131"),H708='131-CT'!$E$7),"131",""))</f>
        <v/>
      </c>
      <c r="O708" s="39" t="str">
        <f>IF(AND($B708&gt;='111'!$N$11,$B708&lt;='111'!$O$11,OR($L708=$O$7,$M708=$O$7)),"x","")</f>
        <v/>
      </c>
      <c r="P708" s="39" t="str">
        <f>IF(AND($L708=$O$7,$B708&lt;'111'!$N$11),"x","")</f>
        <v/>
      </c>
      <c r="Q708" s="39" t="str">
        <f>IF(AND($M708=$O$7,$B708&lt;'111'!$N$11),"x","")</f>
        <v/>
      </c>
      <c r="R708" s="39" t="str">
        <f>IF(ISERROR(FIND('112'!$M$9,G708,1)),"",IF((AND(FIND('112'!$M$9,G708,1)&gt;=1,$B708&gt;='112'!$N$8,$B708&lt;='112'!$O$8,OR($L708='112'!$I$6,$M708='112'!$I$6))),"x",""))</f>
        <v/>
      </c>
      <c r="S708" s="39" t="str">
        <f>IF(ISERROR(FIND('112'!$M$9,G708,1)),"",IF((AND(LEFT(G708,2)=LEFT('112'!$M$9,2),B708&lt;'112'!$N$8,$L708='112'!$I$6)),"x",""))</f>
        <v/>
      </c>
      <c r="T708" s="39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39" t="str">
        <f>IF(OR(TH!L708=TH!$V$7,M708=TH!$V$7),"x","")</f>
        <v/>
      </c>
      <c r="W708" s="39" t="str">
        <f>IF(AND(B708&gt;='IN-NX'!$P$3,B708&lt;='IN-NX'!$Q$3,'IN-NX'!$D$7=D708,OR(LEFT(L708,2)="15",AND(LEFT(M708,2)&lt;&gt;"15",LEFT(M708,2)&lt;&gt;"33"))),"x","")</f>
        <v/>
      </c>
      <c r="X708" s="39" t="str">
        <f>IF(AND(OR(LEFT(TH!L708,2)="15",LEFT(TH!M708,2)="15"),'152-CT'!$J$8=TH!F708),"x","")</f>
        <v/>
      </c>
      <c r="Y708" s="39" t="str">
        <f>IF(AND(OR(LEFT(TH!L708,2)="15",LEFT(TH!M708,2)="15"),TK!$E$7=TH!F708),"x","")</f>
        <v/>
      </c>
      <c r="Z708" s="39" t="str">
        <f>IF(AND(B708&lt;=NKC!$N$8,B708&gt;=NKC!$M$8),"x","")</f>
        <v/>
      </c>
      <c r="AA708" s="894"/>
      <c r="AB708" s="598" t="e">
        <f t="shared" si="31"/>
        <v>#N/A</v>
      </c>
    </row>
    <row r="709" spans="1:30" ht="15.75" customHeight="1">
      <c r="A709" s="199" t="str">
        <f>IF(B709&lt;&gt;"",IF(AND(B709&gt;=_TM1,B709&lt;=_TM2,OR(TH!L709="1111",TH!M709="1111")),TH!D709,""),"")</f>
        <v/>
      </c>
      <c r="B709" s="36">
        <f t="shared" si="32"/>
        <v>1</v>
      </c>
      <c r="C709" s="190">
        <f t="shared" si="33"/>
        <v>0</v>
      </c>
      <c r="D709" s="183"/>
      <c r="E709" s="190"/>
      <c r="F709" s="40"/>
      <c r="G709" s="491"/>
      <c r="H709" s="7"/>
      <c r="I709" s="253"/>
      <c r="J709" s="253"/>
      <c r="K709" s="606"/>
      <c r="L709" s="193"/>
      <c r="M709" s="193"/>
      <c r="N709" s="39" t="str">
        <f>IF(AND('331-CT'!$E$7=TH!H709,OR(L709="331",M709="331")),"331",IF(AND(OR(L709="131",M709="131"),H709='131-CT'!$E$7),"131",""))</f>
        <v/>
      </c>
      <c r="O709" s="39" t="str">
        <f>IF(AND($B709&gt;='111'!$N$11,$B709&lt;='111'!$O$11,OR($L709=$O$7,$M709=$O$7)),"x","")</f>
        <v/>
      </c>
      <c r="P709" s="39" t="str">
        <f>IF(AND($L709=$O$7,$B709&lt;'111'!$N$11),"x","")</f>
        <v/>
      </c>
      <c r="Q709" s="39" t="str">
        <f>IF(AND($M709=$O$7,$B709&lt;'111'!$N$11),"x","")</f>
        <v/>
      </c>
      <c r="R709" s="39" t="str">
        <f>IF(ISERROR(FIND('112'!$M$9,G709,1)),"",IF((AND(FIND('112'!$M$9,G709,1)&gt;=1,$B709&gt;='112'!$N$8,$B709&lt;='112'!$O$8,OR($L709='112'!$I$6,$M709='112'!$I$6))),"x",""))</f>
        <v/>
      </c>
      <c r="S709" s="39" t="str">
        <f>IF(ISERROR(FIND('112'!$M$9,G709,1)),"",IF((AND(LEFT(G709,2)=LEFT('112'!$M$9,2),B709&lt;'112'!$N$8,$L709='112'!$I$6)),"x",""))</f>
        <v/>
      </c>
      <c r="T709" s="39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39" t="str">
        <f>IF(OR(TH!L709=TH!$V$7,M709=TH!$V$7),"x","")</f>
        <v/>
      </c>
      <c r="W709" s="39" t="str">
        <f>IF(AND(B709&gt;='IN-NX'!$P$3,B709&lt;='IN-NX'!$Q$3,'IN-NX'!$D$7=D709,OR(LEFT(L709,2)="15",AND(LEFT(M709,2)&lt;&gt;"15",LEFT(M709,2)&lt;&gt;"33"))),"x","")</f>
        <v/>
      </c>
      <c r="X709" s="39" t="str">
        <f>IF(AND(OR(LEFT(TH!L709,2)="15",LEFT(TH!M709,2)="15"),'152-CT'!$J$8=TH!F709),"x","")</f>
        <v/>
      </c>
      <c r="Y709" s="39" t="str">
        <f>IF(AND(OR(LEFT(TH!L709,2)="15",LEFT(TH!M709,2)="15"),TK!$E$7=TH!F709),"x","")</f>
        <v/>
      </c>
      <c r="Z709" s="39" t="str">
        <f>IF(AND(B709&lt;=NKC!$N$8,B709&gt;=NKC!$M$8),"x","")</f>
        <v/>
      </c>
      <c r="AA709" s="894"/>
      <c r="AB709" s="598" t="e">
        <f t="shared" si="31"/>
        <v>#N/A</v>
      </c>
    </row>
    <row r="710" spans="1:30" ht="15.75" customHeight="1">
      <c r="A710" s="199" t="str">
        <f>IF(B710&lt;&gt;"",IF(AND(B710&gt;=_TM1,B710&lt;=_TM2,OR(TH!L710="1111",TH!M710="1111")),TH!D710,""),"")</f>
        <v/>
      </c>
      <c r="B710" s="36">
        <f t="shared" si="32"/>
        <v>1</v>
      </c>
      <c r="C710" s="190">
        <f t="shared" si="33"/>
        <v>0</v>
      </c>
      <c r="D710" s="183"/>
      <c r="E710" s="190"/>
      <c r="F710" s="191"/>
      <c r="G710" s="491"/>
      <c r="H710" s="7"/>
      <c r="I710" s="253"/>
      <c r="J710" s="253"/>
      <c r="K710" s="38"/>
      <c r="L710" s="193"/>
      <c r="M710" s="193"/>
      <c r="N710" s="39" t="str">
        <f>IF(AND('331-CT'!$E$7=TH!H710,OR(L710="331",M710="331")),"331",IF(AND(OR(L710="131",M710="131"),H710='131-CT'!$E$7),"131",""))</f>
        <v/>
      </c>
      <c r="O710" s="39" t="str">
        <f>IF(AND($B710&gt;='111'!$N$11,$B710&lt;='111'!$O$11,OR($L710=$O$7,$M710=$O$7)),"x","")</f>
        <v/>
      </c>
      <c r="P710" s="39" t="str">
        <f>IF(AND($L710=$O$7,$B710&lt;'111'!$N$11),"x","")</f>
        <v/>
      </c>
      <c r="Q710" s="39" t="str">
        <f>IF(AND($M710=$O$7,$B710&lt;'111'!$N$11),"x","")</f>
        <v/>
      </c>
      <c r="R710" s="39" t="str">
        <f>IF(ISERROR(FIND('112'!$M$9,G710,1)),"",IF((AND(FIND('112'!$M$9,G710,1)&gt;=1,$B710&gt;='112'!$N$8,$B710&lt;='112'!$O$8,OR($L710='112'!$I$6,$M710='112'!$I$6))),"x",""))</f>
        <v/>
      </c>
      <c r="S710" s="39" t="str">
        <f>IF(ISERROR(FIND('112'!$M$9,G710,1)),"",IF((AND(LEFT(G710,2)=LEFT('112'!$M$9,2),B710&lt;'112'!$N$8,$L710='112'!$I$6)),"x",""))</f>
        <v/>
      </c>
      <c r="T710" s="39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39" t="str">
        <f>IF(OR(TH!L710=TH!$V$7,M710=TH!$V$7),"x","")</f>
        <v/>
      </c>
      <c r="W710" s="39" t="str">
        <f>IF(AND(B710&gt;='IN-NX'!$P$3,B710&lt;='IN-NX'!$Q$3,'IN-NX'!$D$7=D710,OR(LEFT(L710,2)="15",AND(LEFT(M710,2)&lt;&gt;"15",LEFT(M710,2)&lt;&gt;"33"))),"x","")</f>
        <v/>
      </c>
      <c r="X710" s="39" t="str">
        <f>IF(AND(OR(LEFT(TH!L710,2)="15",LEFT(TH!M710,2)="15"),'152-CT'!$J$8=TH!F710),"x","")</f>
        <v/>
      </c>
      <c r="Y710" s="39" t="str">
        <f>IF(AND(OR(LEFT(TH!L710,2)="15",LEFT(TH!M710,2)="15"),TK!$E$7=TH!F710),"x","")</f>
        <v/>
      </c>
      <c r="Z710" s="39" t="str">
        <f>IF(AND(B710&lt;=NKC!$N$8,B710&gt;=NKC!$M$8),"x","")</f>
        <v/>
      </c>
      <c r="AA710" s="894"/>
      <c r="AB710" s="598" t="e">
        <f t="shared" si="31"/>
        <v>#N/A</v>
      </c>
    </row>
    <row r="711" spans="1:30" ht="15.75" customHeight="1">
      <c r="A711" s="199" t="str">
        <f>IF(B711&lt;&gt;"",IF(AND(B711&gt;=_TM1,B711&lt;=_TM2,OR(TH!L711="1111",TH!M711="1111")),TH!D711,""),"")</f>
        <v/>
      </c>
      <c r="B711" s="36">
        <f t="shared" si="32"/>
        <v>1</v>
      </c>
      <c r="C711" s="190">
        <f t="shared" si="33"/>
        <v>0</v>
      </c>
      <c r="D711" s="183"/>
      <c r="E711" s="190"/>
      <c r="F711" s="191"/>
      <c r="G711" s="491"/>
      <c r="H711" s="7"/>
      <c r="I711" s="253"/>
      <c r="J711" s="253"/>
      <c r="K711" s="38"/>
      <c r="L711" s="193"/>
      <c r="M711" s="193"/>
      <c r="N711" s="39" t="str">
        <f>IF(AND('331-CT'!$E$7=TH!H711,OR(L711="331",M711="331")),"331",IF(AND(OR(L711="131",M711="131"),H711='131-CT'!$E$7),"131",""))</f>
        <v/>
      </c>
      <c r="O711" s="39" t="str">
        <f>IF(AND($B711&gt;='111'!$N$11,$B711&lt;='111'!$O$11,OR($L711=$O$7,$M711=$O$7)),"x","")</f>
        <v/>
      </c>
      <c r="P711" s="39" t="str">
        <f>IF(AND($L711=$O$7,$B711&lt;'111'!$N$11),"x","")</f>
        <v/>
      </c>
      <c r="Q711" s="39" t="str">
        <f>IF(AND($M711=$O$7,$B711&lt;'111'!$N$11),"x","")</f>
        <v/>
      </c>
      <c r="R711" s="39" t="str">
        <f>IF(ISERROR(FIND('112'!$M$9,G711,1)),"",IF((AND(FIND('112'!$M$9,G711,1)&gt;=1,$B711&gt;='112'!$N$8,$B711&lt;='112'!$O$8,OR($L711='112'!$I$6,$M711='112'!$I$6))),"x",""))</f>
        <v/>
      </c>
      <c r="S711" s="39" t="str">
        <f>IF(ISERROR(FIND('112'!$M$9,G711,1)),"",IF((AND(LEFT(G711,2)=LEFT('112'!$M$9,2),B711&lt;'112'!$N$8,$L711='112'!$I$6)),"x",""))</f>
        <v/>
      </c>
      <c r="T711" s="39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39" t="str">
        <f>IF(OR(TH!L711=TH!$V$7,M711=TH!$V$7),"x","")</f>
        <v/>
      </c>
      <c r="W711" s="39" t="str">
        <f>IF(AND(B711&gt;='IN-NX'!$P$3,B711&lt;='IN-NX'!$Q$3,'IN-NX'!$D$7=D711,OR(LEFT(L711,2)="15",AND(LEFT(M711,2)&lt;&gt;"15",LEFT(M711,2)&lt;&gt;"33"))),"x","")</f>
        <v/>
      </c>
      <c r="X711" s="39" t="str">
        <f>IF(AND(OR(LEFT(TH!L711,2)="15",LEFT(TH!M711,2)="15"),'152-CT'!$J$8=TH!F711),"x","")</f>
        <v/>
      </c>
      <c r="Y711" s="39" t="str">
        <f>IF(AND(OR(LEFT(TH!L711,2)="15",LEFT(TH!M711,2)="15"),TK!$E$7=TH!F711),"x","")</f>
        <v/>
      </c>
      <c r="Z711" s="39" t="str">
        <f>IF(AND(B711&lt;=NKC!$N$8,B711&gt;=NKC!$M$8),"x","")</f>
        <v/>
      </c>
      <c r="AA711" s="894"/>
      <c r="AB711" s="598" t="e">
        <f t="shared" si="31"/>
        <v>#N/A</v>
      </c>
      <c r="AC711" s="598"/>
    </row>
    <row r="712" spans="1:30" ht="15.75" customHeight="1">
      <c r="A712" s="199" t="str">
        <f>IF(B712&lt;&gt;"",IF(AND(B712&gt;=_TM1,B712&lt;=_TM2,OR(TH!L712="1111",TH!M712="1111")),TH!D712,""),"")</f>
        <v/>
      </c>
      <c r="B712" s="36">
        <f t="shared" si="32"/>
        <v>1</v>
      </c>
      <c r="C712" s="190">
        <f t="shared" si="33"/>
        <v>0</v>
      </c>
      <c r="D712" s="183"/>
      <c r="E712" s="190"/>
      <c r="F712" s="191"/>
      <c r="G712" s="491"/>
      <c r="H712" s="7"/>
      <c r="I712" s="253"/>
      <c r="J712" s="253"/>
      <c r="K712" s="38"/>
      <c r="L712" s="193"/>
      <c r="M712" s="193"/>
      <c r="N712" s="39" t="str">
        <f>IF(AND('331-CT'!$E$7=TH!H712,OR(L712="331",M712="331")),"331",IF(AND(OR(L712="131",M712="131"),H712='131-CT'!$E$7),"131",""))</f>
        <v/>
      </c>
      <c r="O712" s="39" t="str">
        <f>IF(AND($B712&gt;='111'!$N$11,$B712&lt;='111'!$O$11,OR($L712=$O$7,$M712=$O$7)),"x","")</f>
        <v/>
      </c>
      <c r="P712" s="39" t="str">
        <f>IF(AND($L712=$O$7,$B712&lt;'111'!$N$11),"x","")</f>
        <v/>
      </c>
      <c r="Q712" s="39" t="str">
        <f>IF(AND($M712=$O$7,$B712&lt;'111'!$N$11),"x","")</f>
        <v/>
      </c>
      <c r="R712" s="39" t="str">
        <f>IF(ISERROR(FIND('112'!$M$9,G712,1)),"",IF((AND(FIND('112'!$M$9,G712,1)&gt;=1,$B712&gt;='112'!$N$8,$B712&lt;='112'!$O$8,OR($L712='112'!$I$6,$M712='112'!$I$6))),"x",""))</f>
        <v/>
      </c>
      <c r="S712" s="39" t="str">
        <f>IF(ISERROR(FIND('112'!$M$9,G712,1)),"",IF((AND(LEFT(G712,2)=LEFT('112'!$M$9,2),B712&lt;'112'!$N$8,$L712='112'!$I$6)),"x",""))</f>
        <v/>
      </c>
      <c r="T712" s="39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39" t="str">
        <f>IF(OR(TH!L712=TH!$V$7,M712=TH!$V$7),"x","")</f>
        <v/>
      </c>
      <c r="W712" s="39" t="str">
        <f>IF(AND(B712&gt;='IN-NX'!$P$3,B712&lt;='IN-NX'!$Q$3,'IN-NX'!$D$7=D712,OR(LEFT(L712,2)="15",AND(LEFT(M712,2)&lt;&gt;"15",LEFT(M712,2)&lt;&gt;"33"))),"x","")</f>
        <v/>
      </c>
      <c r="X712" s="39" t="str">
        <f>IF(AND(OR(LEFT(TH!L712,2)="15",LEFT(TH!M712,2)="15"),'152-CT'!$J$8=TH!F712),"x","")</f>
        <v/>
      </c>
      <c r="Y712" s="39" t="str">
        <f>IF(AND(OR(LEFT(TH!L712,2)="15",LEFT(TH!M712,2)="15"),TK!$E$7=TH!F712),"x","")</f>
        <v/>
      </c>
      <c r="Z712" s="39" t="str">
        <f>IF(AND(B712&lt;=NKC!$N$8,B712&gt;=NKC!$M$8),"x","")</f>
        <v/>
      </c>
      <c r="AA712" s="894"/>
      <c r="AB712" s="598" t="e">
        <f t="shared" si="31"/>
        <v>#N/A</v>
      </c>
      <c r="AC712" s="671"/>
      <c r="AD712" s="671"/>
    </row>
    <row r="713" spans="1:30" ht="15.75" customHeight="1">
      <c r="A713" s="199" t="str">
        <f>IF(B713&lt;&gt;"",IF(AND(B713&gt;=_TM1,B713&lt;=_TM2,OR(TH!L713="1111",TH!M713="1111")),TH!D713,""),"")</f>
        <v/>
      </c>
      <c r="B713" s="36">
        <f t="shared" si="32"/>
        <v>1</v>
      </c>
      <c r="C713" s="190">
        <f t="shared" si="33"/>
        <v>0</v>
      </c>
      <c r="D713" s="183"/>
      <c r="E713" s="190"/>
      <c r="F713" s="191"/>
      <c r="G713" s="491"/>
      <c r="H713" s="7"/>
      <c r="I713" s="253"/>
      <c r="J713" s="253"/>
      <c r="K713" s="606"/>
      <c r="L713" s="193"/>
      <c r="M713" s="193"/>
      <c r="N713" s="39" t="str">
        <f>IF(AND('331-CT'!$E$7=TH!H713,OR(L713="331",M713="331")),"331",IF(AND(OR(L713="131",M713="131"),H713='131-CT'!$E$7),"131",""))</f>
        <v/>
      </c>
      <c r="O713" s="39" t="str">
        <f>IF(AND($B713&gt;='111'!$N$11,$B713&lt;='111'!$O$11,OR($L713=$O$7,$M713=$O$7)),"x","")</f>
        <v/>
      </c>
      <c r="P713" s="39" t="str">
        <f>IF(AND($L713=$O$7,$B713&lt;'111'!$N$11),"x","")</f>
        <v/>
      </c>
      <c r="Q713" s="39" t="str">
        <f>IF(AND($M713=$O$7,$B713&lt;'111'!$N$11),"x","")</f>
        <v/>
      </c>
      <c r="R713" s="39" t="str">
        <f>IF(ISERROR(FIND('112'!$M$9,G713,1)),"",IF((AND(FIND('112'!$M$9,G713,1)&gt;=1,$B713&gt;='112'!$N$8,$B713&lt;='112'!$O$8,OR($L713='112'!$I$6,$M713='112'!$I$6))),"x",""))</f>
        <v/>
      </c>
      <c r="S713" s="39" t="str">
        <f>IF(ISERROR(FIND('112'!$M$9,G713,1)),"",IF((AND(LEFT(G713,2)=LEFT('112'!$M$9,2),B713&lt;'112'!$N$8,$L713='112'!$I$6)),"x",""))</f>
        <v/>
      </c>
      <c r="T713" s="39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39" t="str">
        <f>IF(OR(TH!L713=TH!$V$7,M713=TH!$V$7),"x","")</f>
        <v/>
      </c>
      <c r="W713" s="39" t="str">
        <f>IF(AND(B713&gt;='IN-NX'!$P$3,B713&lt;='IN-NX'!$Q$3,'IN-NX'!$D$7=D713,OR(LEFT(L713,2)="15",AND(LEFT(M713,2)&lt;&gt;"15",LEFT(M713,2)&lt;&gt;"33"))),"x","")</f>
        <v/>
      </c>
      <c r="X713" s="39" t="str">
        <f>IF(AND(OR(LEFT(TH!L713,2)="15",LEFT(TH!M713,2)="15"),'152-CT'!$J$8=TH!F713),"x","")</f>
        <v/>
      </c>
      <c r="Y713" s="39" t="str">
        <f>IF(AND(OR(LEFT(TH!L713,2)="15",LEFT(TH!M713,2)="15"),TK!$E$7=TH!F713),"x","")</f>
        <v/>
      </c>
      <c r="Z713" s="39" t="str">
        <f>IF(AND(B713&lt;=NKC!$N$8,B713&gt;=NKC!$M$8),"x","")</f>
        <v/>
      </c>
      <c r="AA713" s="894"/>
      <c r="AB713" s="598" t="e">
        <f t="shared" si="31"/>
        <v>#N/A</v>
      </c>
      <c r="AC713" s="598"/>
    </row>
    <row r="714" spans="1:30" ht="15.75" customHeight="1">
      <c r="A714" s="199" t="str">
        <f>IF(B714&lt;&gt;"",IF(AND(B714&gt;=_TM1,B714&lt;=_TM2,OR(TH!L714="1111",TH!M714="1111")),TH!D714,""),"")</f>
        <v/>
      </c>
      <c r="B714" s="36">
        <f t="shared" si="32"/>
        <v>1</v>
      </c>
      <c r="C714" s="190">
        <f t="shared" si="33"/>
        <v>0</v>
      </c>
      <c r="D714" s="183"/>
      <c r="E714" s="190"/>
      <c r="F714" s="191"/>
      <c r="G714" s="491"/>
      <c r="H714" s="192"/>
      <c r="I714" s="253"/>
      <c r="J714" s="253"/>
      <c r="K714" s="38"/>
      <c r="L714" s="193"/>
      <c r="M714" s="193"/>
      <c r="N714" s="39" t="str">
        <f>IF(AND('331-CT'!$E$7=TH!H714,OR(L714="331",M714="331")),"331",IF(AND(OR(L714="131",M714="131"),H714='131-CT'!$E$7),"131",""))</f>
        <v/>
      </c>
      <c r="O714" s="39" t="str">
        <f>IF(AND($B714&gt;='111'!$N$11,$B714&lt;='111'!$O$11,OR($L714=$O$7,$M714=$O$7)),"x","")</f>
        <v/>
      </c>
      <c r="P714" s="39" t="str">
        <f>IF(AND($L714=$O$7,$B714&lt;'111'!$N$11),"x","")</f>
        <v/>
      </c>
      <c r="Q714" s="39" t="str">
        <f>IF(AND($M714=$O$7,$B714&lt;'111'!$N$11),"x","")</f>
        <v/>
      </c>
      <c r="R714" s="39" t="str">
        <f>IF(ISERROR(FIND('112'!$M$9,G714,1)),"",IF((AND(FIND('112'!$M$9,G714,1)&gt;=1,$B714&gt;='112'!$N$8,$B714&lt;='112'!$O$8,OR($L714='112'!$I$6,$M714='112'!$I$6))),"x",""))</f>
        <v/>
      </c>
      <c r="S714" s="39" t="str">
        <f>IF(ISERROR(FIND('112'!$M$9,G714,1)),"",IF((AND(LEFT(G714,2)=LEFT('112'!$M$9,2),B714&lt;'112'!$N$8,$L714='112'!$I$6)),"x",""))</f>
        <v/>
      </c>
      <c r="T714" s="39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39" t="str">
        <f>IF(OR(TH!L714=TH!$V$7,M714=TH!$V$7),"x","")</f>
        <v/>
      </c>
      <c r="W714" s="39" t="str">
        <f>IF(AND(B714&gt;='IN-NX'!$P$3,B714&lt;='IN-NX'!$Q$3,'IN-NX'!$D$7=D714,OR(LEFT(L714,2)="15",AND(LEFT(M714,2)&lt;&gt;"15",LEFT(M714,2)&lt;&gt;"33"))),"x","")</f>
        <v/>
      </c>
      <c r="X714" s="39" t="str">
        <f>IF(AND(OR(LEFT(TH!L714,2)="15",LEFT(TH!M714,2)="15"),'152-CT'!$J$8=TH!F714),"x","")</f>
        <v/>
      </c>
      <c r="Y714" s="39" t="str">
        <f>IF(AND(OR(LEFT(TH!L714,2)="15",LEFT(TH!M714,2)="15"),TK!$E$7=TH!F714),"x","")</f>
        <v/>
      </c>
      <c r="Z714" s="39" t="str">
        <f>IF(AND(B714&lt;=NKC!$N$8,B714&gt;=NKC!$M$8),"x","")</f>
        <v/>
      </c>
      <c r="AA714" s="894"/>
      <c r="AB714" s="598" t="e">
        <f t="shared" si="31"/>
        <v>#N/A</v>
      </c>
    </row>
    <row r="715" spans="1:30" ht="15.75" customHeight="1">
      <c r="A715" s="199" t="str">
        <f>IF(B715&lt;&gt;"",IF(AND(B715&gt;=_TM1,B715&lt;=_TM2,OR(TH!L715="1111",TH!M715="1111")),TH!D715,""),"")</f>
        <v/>
      </c>
      <c r="B715" s="36">
        <f t="shared" si="32"/>
        <v>1</v>
      </c>
      <c r="C715" s="190">
        <f t="shared" si="33"/>
        <v>0</v>
      </c>
      <c r="D715" s="183"/>
      <c r="E715" s="190"/>
      <c r="F715" s="191"/>
      <c r="G715" s="491"/>
      <c r="H715" s="192"/>
      <c r="I715" s="253"/>
      <c r="J715" s="253"/>
      <c r="K715" s="606"/>
      <c r="L715" s="193"/>
      <c r="M715" s="193"/>
      <c r="N715" s="39" t="str">
        <f>IF(AND('331-CT'!$E$7=TH!H715,OR(L715="331",M715="331")),"331",IF(AND(OR(L715="131",M715="131"),H715='131-CT'!$E$7),"131",""))</f>
        <v/>
      </c>
      <c r="O715" s="39" t="str">
        <f>IF(AND($B715&gt;='111'!$N$11,$B715&lt;='111'!$O$11,OR($L715=$O$7,$M715=$O$7)),"x","")</f>
        <v/>
      </c>
      <c r="P715" s="39" t="str">
        <f>IF(AND($L715=$O$7,$B715&lt;'111'!$N$11),"x","")</f>
        <v/>
      </c>
      <c r="Q715" s="39" t="str">
        <f>IF(AND($M715=$O$7,$B715&lt;'111'!$N$11),"x","")</f>
        <v/>
      </c>
      <c r="R715" s="39" t="str">
        <f>IF(ISERROR(FIND('112'!$M$9,G715,1)),"",IF((AND(FIND('112'!$M$9,G715,1)&gt;=1,$B715&gt;='112'!$N$8,$B715&lt;='112'!$O$8,OR($L715='112'!$I$6,$M715='112'!$I$6))),"x",""))</f>
        <v/>
      </c>
      <c r="S715" s="39" t="str">
        <f>IF(ISERROR(FIND('112'!$M$9,G715,1)),"",IF((AND(LEFT(G715,2)=LEFT('112'!$M$9,2),B715&lt;'112'!$N$8,$L715='112'!$I$6)),"x",""))</f>
        <v/>
      </c>
      <c r="T715" s="39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39" t="str">
        <f>IF(OR(TH!L715=TH!$V$7,M715=TH!$V$7),"x","")</f>
        <v/>
      </c>
      <c r="W715" s="39" t="str">
        <f>IF(AND(B715&gt;='IN-NX'!$P$3,B715&lt;='IN-NX'!$Q$3,'IN-NX'!$D$7=D715,OR(LEFT(L715,2)="15",AND(LEFT(M715,2)&lt;&gt;"15",LEFT(M715,2)&lt;&gt;"33"))),"x","")</f>
        <v/>
      </c>
      <c r="X715" s="39" t="str">
        <f>IF(AND(OR(LEFT(TH!L715,2)="15",LEFT(TH!M715,2)="15"),'152-CT'!$J$8=TH!F715),"x","")</f>
        <v/>
      </c>
      <c r="Y715" s="39" t="str">
        <f>IF(AND(OR(LEFT(TH!L715,2)="15",LEFT(TH!M715,2)="15"),TK!$E$7=TH!F715),"x","")</f>
        <v/>
      </c>
      <c r="Z715" s="39" t="str">
        <f>IF(AND(B715&lt;=NKC!$N$8,B715&gt;=NKC!$M$8),"x","")</f>
        <v/>
      </c>
      <c r="AA715" s="894"/>
      <c r="AB715" s="598" t="e">
        <f t="shared" si="31"/>
        <v>#N/A</v>
      </c>
      <c r="AC715" s="598"/>
    </row>
    <row r="716" spans="1:30" ht="15.75" customHeight="1">
      <c r="A716" s="199" t="str">
        <f>IF(B716&lt;&gt;"",IF(AND(B716&gt;=_TM1,B716&lt;=_TM2,OR(TH!L716="1111",TH!M716="1111")),TH!D716,""),"")</f>
        <v/>
      </c>
      <c r="B716" s="36">
        <f t="shared" si="32"/>
        <v>1</v>
      </c>
      <c r="C716" s="190">
        <f t="shared" si="33"/>
        <v>0</v>
      </c>
      <c r="D716" s="183"/>
      <c r="E716" s="190"/>
      <c r="F716" s="191"/>
      <c r="G716" s="491"/>
      <c r="H716" s="192"/>
      <c r="I716" s="253"/>
      <c r="J716" s="253"/>
      <c r="K716" s="38"/>
      <c r="L716" s="193"/>
      <c r="M716" s="193"/>
      <c r="N716" s="39" t="str">
        <f>IF(AND('331-CT'!$E$7=TH!H716,OR(L716="331",M716="331")),"331",IF(AND(OR(L716="131",M716="131"),H716='131-CT'!$E$7),"131",""))</f>
        <v/>
      </c>
      <c r="O716" s="39" t="str">
        <f>IF(AND($B716&gt;='111'!$N$11,$B716&lt;='111'!$O$11,OR($L716=$O$7,$M716=$O$7)),"x","")</f>
        <v/>
      </c>
      <c r="P716" s="39" t="str">
        <f>IF(AND($L716=$O$7,$B716&lt;'111'!$N$11),"x","")</f>
        <v/>
      </c>
      <c r="Q716" s="39" t="str">
        <f>IF(AND($M716=$O$7,$B716&lt;'111'!$N$11),"x","")</f>
        <v/>
      </c>
      <c r="R716" s="39" t="str">
        <f>IF(ISERROR(FIND('112'!$M$9,G716,1)),"",IF((AND(FIND('112'!$M$9,G716,1)&gt;=1,$B716&gt;='112'!$N$8,$B716&lt;='112'!$O$8,OR($L716='112'!$I$6,$M716='112'!$I$6))),"x",""))</f>
        <v/>
      </c>
      <c r="S716" s="39" t="str">
        <f>IF(ISERROR(FIND('112'!$M$9,G716,1)),"",IF((AND(LEFT(G716,2)=LEFT('112'!$M$9,2),B716&lt;'112'!$N$8,$L716='112'!$I$6)),"x",""))</f>
        <v/>
      </c>
      <c r="T716" s="39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39" t="str">
        <f>IF(OR(TH!L716=TH!$V$7,M716=TH!$V$7),"x","")</f>
        <v/>
      </c>
      <c r="W716" s="39" t="str">
        <f>IF(AND(B716&gt;='IN-NX'!$P$3,B716&lt;='IN-NX'!$Q$3,'IN-NX'!$D$7=D716,OR(LEFT(L716,2)="15",AND(LEFT(M716,2)&lt;&gt;"15",LEFT(M716,2)&lt;&gt;"33"))),"x","")</f>
        <v/>
      </c>
      <c r="X716" s="39" t="str">
        <f>IF(AND(OR(LEFT(TH!L716,2)="15",LEFT(TH!M716,2)="15"),'152-CT'!$J$8=TH!F716),"x","")</f>
        <v/>
      </c>
      <c r="Y716" s="39" t="str">
        <f>IF(AND(OR(LEFT(TH!L716,2)="15",LEFT(TH!M716,2)="15"),TK!$E$7=TH!F716),"x","")</f>
        <v/>
      </c>
      <c r="Z716" s="39" t="str">
        <f>IF(AND(B716&lt;=NKC!$N$8,B716&gt;=NKC!$M$8),"x","")</f>
        <v/>
      </c>
      <c r="AA716" s="894"/>
      <c r="AB716" s="598" t="e">
        <f t="shared" ref="AB716:AB779" si="34">IF(VLOOKUP(H716,DS_131,1,0)&lt;&gt;"","","x")</f>
        <v>#N/A</v>
      </c>
    </row>
    <row r="717" spans="1:30" ht="15.75" customHeight="1">
      <c r="A717" s="199" t="str">
        <f>IF(B717&lt;&gt;"",IF(AND(B717&gt;=_TM1,B717&lt;=_TM2,OR(TH!L717="1111",TH!M717="1111")),TH!D717,""),"")</f>
        <v/>
      </c>
      <c r="B717" s="36">
        <f t="shared" si="32"/>
        <v>1</v>
      </c>
      <c r="C717" s="190">
        <f t="shared" si="33"/>
        <v>0</v>
      </c>
      <c r="D717" s="183"/>
      <c r="E717" s="190"/>
      <c r="F717" s="191"/>
      <c r="G717" s="491"/>
      <c r="H717" s="192"/>
      <c r="I717" s="253"/>
      <c r="J717" s="253"/>
      <c r="K717" s="38"/>
      <c r="L717" s="193"/>
      <c r="M717" s="193"/>
      <c r="N717" s="39" t="str">
        <f>IF(AND('331-CT'!$E$7=TH!H717,OR(L717="331",M717="331")),"331",IF(AND(OR(L717="131",M717="131"),H717='131-CT'!$E$7),"131",""))</f>
        <v/>
      </c>
      <c r="O717" s="39" t="str">
        <f>IF(AND($B717&gt;='111'!$N$11,$B717&lt;='111'!$O$11,OR($L717=$O$7,$M717=$O$7)),"x","")</f>
        <v/>
      </c>
      <c r="P717" s="39" t="str">
        <f>IF(AND($L717=$O$7,$B717&lt;'111'!$N$11),"x","")</f>
        <v/>
      </c>
      <c r="Q717" s="39" t="str">
        <f>IF(AND($M717=$O$7,$B717&lt;'111'!$N$11),"x","")</f>
        <v/>
      </c>
      <c r="R717" s="39" t="str">
        <f>IF(ISERROR(FIND('112'!$M$9,G717,1)),"",IF((AND(FIND('112'!$M$9,G717,1)&gt;=1,$B717&gt;='112'!$N$8,$B717&lt;='112'!$O$8,OR($L717='112'!$I$6,$M717='112'!$I$6))),"x",""))</f>
        <v/>
      </c>
      <c r="S717" s="39" t="str">
        <f>IF(ISERROR(FIND('112'!$M$9,G717,1)),"",IF((AND(LEFT(G717,2)=LEFT('112'!$M$9,2),B717&lt;'112'!$N$8,$L717='112'!$I$6)),"x",""))</f>
        <v/>
      </c>
      <c r="T717" s="39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39" t="str">
        <f>IF(OR(TH!L717=TH!$V$7,M717=TH!$V$7),"x","")</f>
        <v/>
      </c>
      <c r="W717" s="39" t="str">
        <f>IF(AND(B717&gt;='IN-NX'!$P$3,B717&lt;='IN-NX'!$Q$3,'IN-NX'!$D$7=D717,OR(LEFT(L717,2)="15",AND(LEFT(M717,2)&lt;&gt;"15",LEFT(M717,2)&lt;&gt;"33"))),"x","")</f>
        <v/>
      </c>
      <c r="X717" s="39" t="str">
        <f>IF(AND(OR(LEFT(TH!L717,2)="15",LEFT(TH!M717,2)="15"),'152-CT'!$J$8=TH!F717),"x","")</f>
        <v/>
      </c>
      <c r="Y717" s="39" t="str">
        <f>IF(AND(OR(LEFT(TH!L717,2)="15",LEFT(TH!M717,2)="15"),TK!$E$7=TH!F717),"x","")</f>
        <v/>
      </c>
      <c r="Z717" s="39" t="str">
        <f>IF(AND(B717&lt;=NKC!$N$8,B717&gt;=NKC!$M$8),"x","")</f>
        <v/>
      </c>
      <c r="AA717" s="894"/>
      <c r="AB717" s="598" t="e">
        <f t="shared" si="34"/>
        <v>#N/A</v>
      </c>
      <c r="AC717" s="598"/>
    </row>
    <row r="718" spans="1:30" ht="15.75" customHeight="1">
      <c r="A718" s="199" t="str">
        <f>IF(B718&lt;&gt;"",IF(AND(B718&gt;=_TM1,B718&lt;=_TM2,OR(TH!L718="1111",TH!M718="1111")),TH!D718,""),"")</f>
        <v/>
      </c>
      <c r="B718" s="36">
        <f t="shared" si="32"/>
        <v>1</v>
      </c>
      <c r="C718" s="190">
        <f t="shared" si="33"/>
        <v>0</v>
      </c>
      <c r="D718" s="183"/>
      <c r="E718" s="190"/>
      <c r="F718" s="191"/>
      <c r="G718" s="491"/>
      <c r="H718" s="192"/>
      <c r="I718" s="253"/>
      <c r="J718" s="253"/>
      <c r="K718" s="606"/>
      <c r="L718" s="193"/>
      <c r="M718" s="193"/>
      <c r="N718" s="39" t="str">
        <f>IF(AND('331-CT'!$E$7=TH!H718,OR(L718="331",M718="331")),"331",IF(AND(OR(L718="131",M718="131"),H718='131-CT'!$E$7),"131",""))</f>
        <v/>
      </c>
      <c r="O718" s="39" t="str">
        <f>IF(AND($B718&gt;='111'!$N$11,$B718&lt;='111'!$O$11,OR($L718=$O$7,$M718=$O$7)),"x","")</f>
        <v/>
      </c>
      <c r="P718" s="39" t="str">
        <f>IF(AND($L718=$O$7,$B718&lt;'111'!$N$11),"x","")</f>
        <v/>
      </c>
      <c r="Q718" s="39" t="str">
        <f>IF(AND($M718=$O$7,$B718&lt;'111'!$N$11),"x","")</f>
        <v/>
      </c>
      <c r="R718" s="39" t="str">
        <f>IF(ISERROR(FIND('112'!$M$9,G718,1)),"",IF((AND(FIND('112'!$M$9,G718,1)&gt;=1,$B718&gt;='112'!$N$8,$B718&lt;='112'!$O$8,OR($L718='112'!$I$6,$M718='112'!$I$6))),"x",""))</f>
        <v/>
      </c>
      <c r="S718" s="39" t="str">
        <f>IF(ISERROR(FIND('112'!$M$9,G718,1)),"",IF((AND(LEFT(G718,2)=LEFT('112'!$M$9,2),B718&lt;'112'!$N$8,$L718='112'!$I$6)),"x",""))</f>
        <v/>
      </c>
      <c r="T718" s="39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39" t="str">
        <f>IF(OR(TH!L718=TH!$V$7,M718=TH!$V$7),"x","")</f>
        <v/>
      </c>
      <c r="W718" s="39" t="str">
        <f>IF(AND(B718&gt;='IN-NX'!$P$3,B718&lt;='IN-NX'!$Q$3,'IN-NX'!$D$7=D718,OR(LEFT(L718,2)="15",AND(LEFT(M718,2)&lt;&gt;"15",LEFT(M718,2)&lt;&gt;"33"))),"x","")</f>
        <v/>
      </c>
      <c r="X718" s="39" t="str">
        <f>IF(AND(OR(LEFT(TH!L718,2)="15",LEFT(TH!M718,2)="15"),'152-CT'!$J$8=TH!F718),"x","")</f>
        <v/>
      </c>
      <c r="Y718" s="39" t="str">
        <f>IF(AND(OR(LEFT(TH!L718,2)="15",LEFT(TH!M718,2)="15"),TK!$E$7=TH!F718),"x","")</f>
        <v/>
      </c>
      <c r="Z718" s="39" t="str">
        <f>IF(AND(B718&lt;=NKC!$N$8,B718&gt;=NKC!$M$8),"x","")</f>
        <v/>
      </c>
      <c r="AA718" s="894"/>
      <c r="AB718" s="598" t="e">
        <f t="shared" si="34"/>
        <v>#N/A</v>
      </c>
    </row>
    <row r="719" spans="1:30" ht="15.75" customHeight="1">
      <c r="A719" s="199" t="str">
        <f>IF(B719&lt;&gt;"",IF(AND(B719&gt;=_TM1,B719&lt;=_TM2,OR(TH!L719="1111",TH!M719="1111")),TH!D719,""),"")</f>
        <v/>
      </c>
      <c r="B719" s="36">
        <f t="shared" si="32"/>
        <v>1</v>
      </c>
      <c r="C719" s="190">
        <f t="shared" si="33"/>
        <v>0</v>
      </c>
      <c r="D719" s="183"/>
      <c r="E719" s="190"/>
      <c r="F719" s="191"/>
      <c r="G719" s="491"/>
      <c r="H719" s="192"/>
      <c r="I719" s="253"/>
      <c r="J719" s="253"/>
      <c r="K719" s="38"/>
      <c r="L719" s="193"/>
      <c r="M719" s="193"/>
      <c r="N719" s="39" t="str">
        <f>IF(AND('331-CT'!$E$7=TH!H719,OR(L719="331",M719="331")),"331",IF(AND(OR(L719="131",M719="131"),H719='131-CT'!$E$7),"131",""))</f>
        <v/>
      </c>
      <c r="O719" s="39" t="str">
        <f>IF(AND($B719&gt;='111'!$N$11,$B719&lt;='111'!$O$11,OR($L719=$O$7,$M719=$O$7)),"x","")</f>
        <v/>
      </c>
      <c r="P719" s="39" t="str">
        <f>IF(AND($L719=$O$7,$B719&lt;'111'!$N$11),"x","")</f>
        <v/>
      </c>
      <c r="Q719" s="39" t="str">
        <f>IF(AND($M719=$O$7,$B719&lt;'111'!$N$11),"x","")</f>
        <v/>
      </c>
      <c r="R719" s="39" t="str">
        <f>IF(ISERROR(FIND('112'!$M$9,G719,1)),"",IF((AND(FIND('112'!$M$9,G719,1)&gt;=1,$B719&gt;='112'!$N$8,$B719&lt;='112'!$O$8,OR($L719='112'!$I$6,$M719='112'!$I$6))),"x",""))</f>
        <v/>
      </c>
      <c r="S719" s="39" t="str">
        <f>IF(ISERROR(FIND('112'!$M$9,G719,1)),"",IF((AND(LEFT(G719,2)=LEFT('112'!$M$9,2),B719&lt;'112'!$N$8,$L719='112'!$I$6)),"x",""))</f>
        <v/>
      </c>
      <c r="T719" s="39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39" t="str">
        <f>IF(OR(TH!L719=TH!$V$7,M719=TH!$V$7),"x","")</f>
        <v/>
      </c>
      <c r="W719" s="39" t="str">
        <f>IF(AND(B719&gt;='IN-NX'!$P$3,B719&lt;='IN-NX'!$Q$3,'IN-NX'!$D$7=D719,OR(LEFT(L719,2)="15",AND(LEFT(M719,2)&lt;&gt;"15",LEFT(M719,2)&lt;&gt;"33"))),"x","")</f>
        <v/>
      </c>
      <c r="X719" s="39" t="str">
        <f>IF(AND(OR(LEFT(TH!L719,2)="15",LEFT(TH!M719,2)="15"),'152-CT'!$J$8=TH!F719),"x","")</f>
        <v/>
      </c>
      <c r="Y719" s="39" t="str">
        <f>IF(AND(OR(LEFT(TH!L719,2)="15",LEFT(TH!M719,2)="15"),TK!$E$7=TH!F719),"x","")</f>
        <v/>
      </c>
      <c r="Z719" s="39" t="str">
        <f>IF(AND(B719&lt;=NKC!$N$8,B719&gt;=NKC!$M$8),"x","")</f>
        <v/>
      </c>
      <c r="AA719" s="894"/>
      <c r="AB719" s="598" t="e">
        <f t="shared" si="34"/>
        <v>#N/A</v>
      </c>
      <c r="AC719" s="598"/>
    </row>
    <row r="720" spans="1:30" ht="15.75" customHeight="1">
      <c r="A720" s="199" t="str">
        <f>IF(B720&lt;&gt;"",IF(AND(B720&gt;=_TM1,B720&lt;=_TM2,OR(TH!L720="1111",TH!M720="1111")),TH!D720,""),"")</f>
        <v/>
      </c>
      <c r="B720" s="36">
        <f t="shared" si="32"/>
        <v>1</v>
      </c>
      <c r="C720" s="190">
        <f t="shared" si="33"/>
        <v>0</v>
      </c>
      <c r="D720" s="183"/>
      <c r="E720" s="190"/>
      <c r="F720" s="188"/>
      <c r="G720" s="491"/>
      <c r="H720" s="7"/>
      <c r="I720" s="253"/>
      <c r="J720" s="253"/>
      <c r="K720" s="38"/>
      <c r="L720" s="193"/>
      <c r="M720" s="193"/>
      <c r="N720" s="39" t="str">
        <f>IF(AND('331-CT'!$E$7=TH!H720,OR(L720="331",M720="331")),"331",IF(AND(OR(L720="131",M720="131"),H720='131-CT'!$E$7),"131",""))</f>
        <v/>
      </c>
      <c r="O720" s="39" t="str">
        <f>IF(AND($B720&gt;='111'!$N$11,$B720&lt;='111'!$O$11,OR($L720=$O$7,$M720=$O$7)),"x","")</f>
        <v/>
      </c>
      <c r="P720" s="39" t="str">
        <f>IF(AND($L720=$O$7,$B720&lt;'111'!$N$11),"x","")</f>
        <v/>
      </c>
      <c r="Q720" s="39" t="str">
        <f>IF(AND($M720=$O$7,$B720&lt;'111'!$N$11),"x","")</f>
        <v/>
      </c>
      <c r="R720" s="39" t="str">
        <f>IF(ISERROR(FIND('112'!$M$9,G720,1)),"",IF((AND(FIND('112'!$M$9,G720,1)&gt;=1,$B720&gt;='112'!$N$8,$B720&lt;='112'!$O$8,OR($L720='112'!$I$6,$M720='112'!$I$6))),"x",""))</f>
        <v/>
      </c>
      <c r="S720" s="39" t="str">
        <f>IF(ISERROR(FIND('112'!$M$9,G720,1)),"",IF((AND(LEFT(G720,2)=LEFT('112'!$M$9,2),B720&lt;'112'!$N$8,$L720='112'!$I$6)),"x",""))</f>
        <v/>
      </c>
      <c r="T720" s="39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39" t="str">
        <f>IF(OR(TH!L720=TH!$V$7,M720=TH!$V$7),"x","")</f>
        <v/>
      </c>
      <c r="W720" s="39" t="str">
        <f>IF(AND(B720&gt;='IN-NX'!$P$3,B720&lt;='IN-NX'!$Q$3,'IN-NX'!$D$7=D720,OR(LEFT(L720,2)="15",AND(LEFT(M720,2)&lt;&gt;"15",LEFT(M720,2)&lt;&gt;"33"))),"x","")</f>
        <v/>
      </c>
      <c r="X720" s="39" t="str">
        <f>IF(AND(OR(LEFT(TH!L720,2)="15",LEFT(TH!M720,2)="15"),'152-CT'!$J$8=TH!F720),"x","")</f>
        <v/>
      </c>
      <c r="Y720" s="39" t="str">
        <f>IF(AND(OR(LEFT(TH!L720,2)="15",LEFT(TH!M720,2)="15"),TK!$E$7=TH!F720),"x","")</f>
        <v/>
      </c>
      <c r="Z720" s="39" t="str">
        <f>IF(AND(B720&lt;=NKC!$N$8,B720&gt;=NKC!$M$8),"x","")</f>
        <v/>
      </c>
      <c r="AA720" s="894"/>
      <c r="AB720" s="598" t="e">
        <f t="shared" si="34"/>
        <v>#N/A</v>
      </c>
    </row>
    <row r="721" spans="1:28" ht="15.75" customHeight="1">
      <c r="A721" s="199" t="str">
        <f>IF(B721&lt;&gt;"",IF(AND(B721&gt;=_TM1,B721&lt;=_TM2,OR(TH!L721="1111",TH!M721="1111")),TH!D721,""),"")</f>
        <v/>
      </c>
      <c r="B721" s="36">
        <f t="shared" si="32"/>
        <v>1</v>
      </c>
      <c r="C721" s="190">
        <f t="shared" si="33"/>
        <v>0</v>
      </c>
      <c r="D721" s="183"/>
      <c r="E721" s="190"/>
      <c r="F721" s="293"/>
      <c r="G721" s="491"/>
      <c r="H721" s="7"/>
      <c r="I721" s="253"/>
      <c r="J721" s="253"/>
      <c r="K721" s="38"/>
      <c r="L721" s="193"/>
      <c r="M721" s="193"/>
      <c r="N721" s="39" t="str">
        <f>IF(AND('331-CT'!$E$7=TH!H721,OR(L721="331",M721="331")),"331",IF(AND(OR(L721="131",M721="131"),H721='131-CT'!$E$7),"131",""))</f>
        <v/>
      </c>
      <c r="O721" s="39" t="str">
        <f>IF(AND($B721&gt;='111'!$N$11,$B721&lt;='111'!$O$11,OR($L721=$O$7,$M721=$O$7)),"x","")</f>
        <v/>
      </c>
      <c r="P721" s="39" t="str">
        <f>IF(AND($L721=$O$7,$B721&lt;'111'!$N$11),"x","")</f>
        <v/>
      </c>
      <c r="Q721" s="39" t="str">
        <f>IF(AND($M721=$O$7,$B721&lt;'111'!$N$11),"x","")</f>
        <v/>
      </c>
      <c r="R721" s="39" t="str">
        <f>IF(ISERROR(FIND('112'!$M$9,G721,1)),"",IF((AND(FIND('112'!$M$9,G721,1)&gt;=1,$B721&gt;='112'!$N$8,$B721&lt;='112'!$O$8,OR($L721='112'!$I$6,$M721='112'!$I$6))),"x",""))</f>
        <v/>
      </c>
      <c r="S721" s="39" t="str">
        <f>IF(ISERROR(FIND('112'!$M$9,G721,1)),"",IF((AND(LEFT(G721,2)=LEFT('112'!$M$9,2),B721&lt;'112'!$N$8,$L721='112'!$I$6)),"x",""))</f>
        <v/>
      </c>
      <c r="T721" s="39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39" t="str">
        <f>IF(OR(TH!L721=TH!$V$7,M721=TH!$V$7),"x","")</f>
        <v/>
      </c>
      <c r="W721" s="39" t="str">
        <f>IF(AND(B721&gt;='IN-NX'!$P$3,B721&lt;='IN-NX'!$Q$3,'IN-NX'!$D$7=D721,OR(LEFT(L721,2)="15",AND(LEFT(M721,2)&lt;&gt;"15",LEFT(M721,2)&lt;&gt;"33"))),"x","")</f>
        <v/>
      </c>
      <c r="X721" s="39" t="str">
        <f>IF(AND(OR(LEFT(TH!L721,2)="15",LEFT(TH!M721,2)="15"),'152-CT'!$J$8=TH!F721),"x","")</f>
        <v/>
      </c>
      <c r="Y721" s="39" t="str">
        <f>IF(AND(OR(LEFT(TH!L721,2)="15",LEFT(TH!M721,2)="15"),TK!$E$7=TH!F721),"x","")</f>
        <v/>
      </c>
      <c r="Z721" s="39" t="str">
        <f>IF(AND(B721&lt;=NKC!$N$8,B721&gt;=NKC!$M$8),"x","")</f>
        <v/>
      </c>
      <c r="AA721" s="894"/>
      <c r="AB721" s="598" t="e">
        <f t="shared" si="34"/>
        <v>#N/A</v>
      </c>
    </row>
    <row r="722" spans="1:28" ht="15.75" customHeight="1">
      <c r="A722" s="199" t="str">
        <f>IF(B722&lt;&gt;"",IF(AND(B722&gt;=_TM1,B722&lt;=_TM2,OR(TH!L722="1111",TH!M722="1111")),TH!D722,""),"")</f>
        <v/>
      </c>
      <c r="B722" s="36">
        <f t="shared" si="32"/>
        <v>1</v>
      </c>
      <c r="C722" s="190">
        <f t="shared" si="33"/>
        <v>0</v>
      </c>
      <c r="D722" s="183"/>
      <c r="E722" s="190"/>
      <c r="F722" s="293"/>
      <c r="G722" s="491"/>
      <c r="H722" s="7"/>
      <c r="I722" s="253"/>
      <c r="J722" s="253"/>
      <c r="K722" s="38"/>
      <c r="L722" s="193"/>
      <c r="M722" s="193"/>
      <c r="N722" s="39" t="str">
        <f>IF(AND('331-CT'!$E$7=TH!H722,OR(L722="331",M722="331")),"331",IF(AND(OR(L722="131",M722="131"),H722='131-CT'!$E$7),"131",""))</f>
        <v/>
      </c>
      <c r="O722" s="39" t="str">
        <f>IF(AND($B722&gt;='111'!$N$11,$B722&lt;='111'!$O$11,OR($L722=$O$7,$M722=$O$7)),"x","")</f>
        <v/>
      </c>
      <c r="P722" s="39" t="str">
        <f>IF(AND($L722=$O$7,$B722&lt;'111'!$N$11),"x","")</f>
        <v/>
      </c>
      <c r="Q722" s="39" t="str">
        <f>IF(AND($M722=$O$7,$B722&lt;'111'!$N$11),"x","")</f>
        <v/>
      </c>
      <c r="R722" s="39" t="str">
        <f>IF(ISERROR(FIND('112'!$M$9,G722,1)),"",IF((AND(FIND('112'!$M$9,G722,1)&gt;=1,$B722&gt;='112'!$N$8,$B722&lt;='112'!$O$8,OR($L722='112'!$I$6,$M722='112'!$I$6))),"x",""))</f>
        <v/>
      </c>
      <c r="S722" s="39" t="str">
        <f>IF(ISERROR(FIND('112'!$M$9,G722,1)),"",IF((AND(LEFT(G722,2)=LEFT('112'!$M$9,2),B722&lt;'112'!$N$8,$L722='112'!$I$6)),"x",""))</f>
        <v/>
      </c>
      <c r="T722" s="39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39" t="str">
        <f>IF(OR(TH!L722=TH!$V$7,M722=TH!$V$7),"x","")</f>
        <v/>
      </c>
      <c r="W722" s="39" t="str">
        <f>IF(AND(B722&gt;='IN-NX'!$P$3,B722&lt;='IN-NX'!$Q$3,'IN-NX'!$D$7=D722,OR(LEFT(L722,2)="15",AND(LEFT(M722,2)&lt;&gt;"15",LEFT(M722,2)&lt;&gt;"33"))),"x","")</f>
        <v/>
      </c>
      <c r="X722" s="39" t="str">
        <f>IF(AND(OR(LEFT(TH!L722,2)="15",LEFT(TH!M722,2)="15"),'152-CT'!$J$8=TH!F722),"x","")</f>
        <v/>
      </c>
      <c r="Y722" s="39" t="str">
        <f>IF(AND(OR(LEFT(TH!L722,2)="15",LEFT(TH!M722,2)="15"),TK!$E$7=TH!F722),"x","")</f>
        <v/>
      </c>
      <c r="Z722" s="39" t="str">
        <f>IF(AND(B722&lt;=NKC!$N$8,B722&gt;=NKC!$M$8),"x","")</f>
        <v/>
      </c>
      <c r="AA722" s="894"/>
      <c r="AB722" s="598" t="e">
        <f t="shared" si="34"/>
        <v>#N/A</v>
      </c>
    </row>
    <row r="723" spans="1:28" ht="15.75" customHeight="1">
      <c r="A723" s="199" t="str">
        <f>IF(B723&lt;&gt;"",IF(AND(B723&gt;=_TM1,B723&lt;=_TM2,OR(TH!L723="1111",TH!M723="1111")),TH!D723,""),"")</f>
        <v/>
      </c>
      <c r="B723" s="36">
        <f t="shared" si="32"/>
        <v>1</v>
      </c>
      <c r="C723" s="190">
        <f t="shared" si="33"/>
        <v>0</v>
      </c>
      <c r="D723" s="183"/>
      <c r="E723" s="190"/>
      <c r="F723" s="293"/>
      <c r="G723" s="491"/>
      <c r="H723" s="7"/>
      <c r="I723" s="253"/>
      <c r="J723" s="253"/>
      <c r="K723" s="38"/>
      <c r="L723" s="193"/>
      <c r="M723" s="193"/>
      <c r="N723" s="39" t="str">
        <f>IF(AND('331-CT'!$E$7=TH!H723,OR(L723="331",M723="331")),"331",IF(AND(OR(L723="131",M723="131"),H723='131-CT'!$E$7),"131",""))</f>
        <v/>
      </c>
      <c r="O723" s="39" t="str">
        <f>IF(AND($B723&gt;='111'!$N$11,$B723&lt;='111'!$O$11,OR($L723=$O$7,$M723=$O$7)),"x","")</f>
        <v/>
      </c>
      <c r="P723" s="39" t="str">
        <f>IF(AND($L723=$O$7,$B723&lt;'111'!$N$11),"x","")</f>
        <v/>
      </c>
      <c r="Q723" s="39" t="str">
        <f>IF(AND($M723=$O$7,$B723&lt;'111'!$N$11),"x","")</f>
        <v/>
      </c>
      <c r="R723" s="39" t="str">
        <f>IF(ISERROR(FIND('112'!$M$9,G723,1)),"",IF((AND(FIND('112'!$M$9,G723,1)&gt;=1,$B723&gt;='112'!$N$8,$B723&lt;='112'!$O$8,OR($L723='112'!$I$6,$M723='112'!$I$6))),"x",""))</f>
        <v/>
      </c>
      <c r="S723" s="39" t="str">
        <f>IF(ISERROR(FIND('112'!$M$9,G723,1)),"",IF((AND(LEFT(G723,2)=LEFT('112'!$M$9,2),B723&lt;'112'!$N$8,$L723='112'!$I$6)),"x",""))</f>
        <v/>
      </c>
      <c r="T723" s="39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39" t="str">
        <f>IF(OR(TH!L723=TH!$V$7,M723=TH!$V$7),"x","")</f>
        <v/>
      </c>
      <c r="W723" s="39" t="str">
        <f>IF(AND(B723&gt;='IN-NX'!$P$3,B723&lt;='IN-NX'!$Q$3,'IN-NX'!$D$7=D723,OR(LEFT(L723,2)="15",AND(LEFT(M723,2)&lt;&gt;"15",LEFT(M723,2)&lt;&gt;"33"))),"x","")</f>
        <v/>
      </c>
      <c r="X723" s="39" t="str">
        <f>IF(AND(OR(LEFT(TH!L723,2)="15",LEFT(TH!M723,2)="15"),'152-CT'!$J$8=TH!F723),"x","")</f>
        <v/>
      </c>
      <c r="Y723" s="39" t="str">
        <f>IF(AND(OR(LEFT(TH!L723,2)="15",LEFT(TH!M723,2)="15"),TK!$E$7=TH!F723),"x","")</f>
        <v/>
      </c>
      <c r="Z723" s="39" t="str">
        <f>IF(AND(B723&lt;=NKC!$N$8,B723&gt;=NKC!$M$8),"x","")</f>
        <v/>
      </c>
      <c r="AA723" s="894"/>
      <c r="AB723" s="598" t="e">
        <f t="shared" si="34"/>
        <v>#N/A</v>
      </c>
    </row>
    <row r="724" spans="1:28" ht="15.75" customHeight="1">
      <c r="A724" s="199" t="str">
        <f>IF(B724&lt;&gt;"",IF(AND(B724&gt;=_TM1,B724&lt;=_TM2,OR(TH!L724="1111",TH!M724="1111")),TH!D724,""),"")</f>
        <v/>
      </c>
      <c r="B724" s="36">
        <f t="shared" si="32"/>
        <v>1</v>
      </c>
      <c r="C724" s="190">
        <f t="shared" si="33"/>
        <v>0</v>
      </c>
      <c r="D724" s="183"/>
      <c r="E724" s="190"/>
      <c r="F724" s="40"/>
      <c r="G724" s="491"/>
      <c r="H724" s="7"/>
      <c r="I724" s="253"/>
      <c r="J724" s="253"/>
      <c r="K724" s="38"/>
      <c r="L724" s="193"/>
      <c r="M724" s="193"/>
      <c r="N724" s="39" t="str">
        <f>IF(AND('331-CT'!$E$7=TH!H724,OR(L724="331",M724="331")),"331",IF(AND(OR(L724="131",M724="131"),H724='131-CT'!$E$7),"131",""))</f>
        <v/>
      </c>
      <c r="O724" s="39" t="str">
        <f>IF(AND($B724&gt;='111'!$N$11,$B724&lt;='111'!$O$11,OR($L724=$O$7,$M724=$O$7)),"x","")</f>
        <v/>
      </c>
      <c r="P724" s="39" t="str">
        <f>IF(AND($L724=$O$7,$B724&lt;'111'!$N$11),"x","")</f>
        <v/>
      </c>
      <c r="Q724" s="39" t="str">
        <f>IF(AND($M724=$O$7,$B724&lt;'111'!$N$11),"x","")</f>
        <v/>
      </c>
      <c r="R724" s="39" t="str">
        <f>IF(ISERROR(FIND('112'!$M$9,G724,1)),"",IF((AND(FIND('112'!$M$9,G724,1)&gt;=1,$B724&gt;='112'!$N$8,$B724&lt;='112'!$O$8,OR($L724='112'!$I$6,$M724='112'!$I$6))),"x",""))</f>
        <v/>
      </c>
      <c r="S724" s="39" t="str">
        <f>IF(ISERROR(FIND('112'!$M$9,G724,1)),"",IF((AND(LEFT(G724,2)=LEFT('112'!$M$9,2),B724&lt;'112'!$N$8,$L724='112'!$I$6)),"x",""))</f>
        <v/>
      </c>
      <c r="T724" s="39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39" t="str">
        <f>IF(OR(TH!L724=TH!$V$7,M724=TH!$V$7),"x","")</f>
        <v/>
      </c>
      <c r="W724" s="39" t="str">
        <f>IF(AND(B724&gt;='IN-NX'!$P$3,B724&lt;='IN-NX'!$Q$3,'IN-NX'!$D$7=D724,OR(LEFT(L724,2)="15",AND(LEFT(M724,2)&lt;&gt;"15",LEFT(M724,2)&lt;&gt;"33"))),"x","")</f>
        <v/>
      </c>
      <c r="X724" s="39" t="str">
        <f>IF(AND(OR(LEFT(TH!L724,2)="15",LEFT(TH!M724,2)="15"),'152-CT'!$J$8=TH!F724),"x","")</f>
        <v/>
      </c>
      <c r="Y724" s="39" t="str">
        <f>IF(AND(OR(LEFT(TH!L724,2)="15",LEFT(TH!M724,2)="15"),TK!$E$7=TH!F724),"x","")</f>
        <v/>
      </c>
      <c r="Z724" s="39" t="str">
        <f>IF(AND(B724&lt;=NKC!$N$8,B724&gt;=NKC!$M$8),"x","")</f>
        <v/>
      </c>
      <c r="AA724" s="894"/>
      <c r="AB724" s="598" t="e">
        <f t="shared" si="34"/>
        <v>#N/A</v>
      </c>
    </row>
    <row r="725" spans="1:28" ht="15.75" customHeight="1">
      <c r="A725" s="199" t="str">
        <f>IF(B725&lt;&gt;"",IF(AND(B725&gt;=_TM1,B725&lt;=_TM2,OR(TH!L725="1111",TH!M725="1111")),TH!D725,""),"")</f>
        <v/>
      </c>
      <c r="B725" s="36">
        <f t="shared" si="32"/>
        <v>1</v>
      </c>
      <c r="C725" s="190">
        <f t="shared" si="33"/>
        <v>0</v>
      </c>
      <c r="D725" s="183"/>
      <c r="E725" s="190"/>
      <c r="F725" s="188"/>
      <c r="G725" s="491"/>
      <c r="H725" s="7"/>
      <c r="I725" s="253"/>
      <c r="J725" s="253"/>
      <c r="K725" s="38"/>
      <c r="L725" s="193"/>
      <c r="M725" s="193"/>
      <c r="N725" s="39" t="str">
        <f>IF(AND('331-CT'!$E$7=TH!H725,OR(L725="331",M725="331")),"331",IF(AND(OR(L725="131",M725="131"),H725='131-CT'!$E$7),"131",""))</f>
        <v/>
      </c>
      <c r="O725" s="39" t="str">
        <f>IF(AND($B725&gt;='111'!$N$11,$B725&lt;='111'!$O$11,OR($L725=$O$7,$M725=$O$7)),"x","")</f>
        <v/>
      </c>
      <c r="P725" s="39" t="str">
        <f>IF(AND($L725=$O$7,$B725&lt;'111'!$N$11),"x","")</f>
        <v/>
      </c>
      <c r="Q725" s="39" t="str">
        <f>IF(AND($M725=$O$7,$B725&lt;'111'!$N$11),"x","")</f>
        <v/>
      </c>
      <c r="R725" s="39" t="str">
        <f>IF(ISERROR(FIND('112'!$M$9,G725,1)),"",IF((AND(FIND('112'!$M$9,G725,1)&gt;=1,$B725&gt;='112'!$N$8,$B725&lt;='112'!$O$8,OR($L725='112'!$I$6,$M725='112'!$I$6))),"x",""))</f>
        <v/>
      </c>
      <c r="S725" s="39" t="str">
        <f>IF(ISERROR(FIND('112'!$M$9,G725,1)),"",IF((AND(LEFT(G725,2)=LEFT('112'!$M$9,2),B725&lt;'112'!$N$8,$L725='112'!$I$6)),"x",""))</f>
        <v/>
      </c>
      <c r="T725" s="39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39" t="str">
        <f>IF(OR(TH!L725=TH!$V$7,M725=TH!$V$7),"x","")</f>
        <v/>
      </c>
      <c r="W725" s="39" t="str">
        <f>IF(AND(B725&gt;='IN-NX'!$P$3,B725&lt;='IN-NX'!$Q$3,'IN-NX'!$D$7=D725,OR(LEFT(L725,2)="15",AND(LEFT(M725,2)&lt;&gt;"15",LEFT(M725,2)&lt;&gt;"33"))),"x","")</f>
        <v/>
      </c>
      <c r="X725" s="39" t="str">
        <f>IF(AND(OR(LEFT(TH!L725,2)="15",LEFT(TH!M725,2)="15"),'152-CT'!$J$8=TH!F725),"x","")</f>
        <v/>
      </c>
      <c r="Y725" s="39" t="str">
        <f>IF(AND(OR(LEFT(TH!L725,2)="15",LEFT(TH!M725,2)="15"),TK!$E$7=TH!F725),"x","")</f>
        <v/>
      </c>
      <c r="Z725" s="39" t="str">
        <f>IF(AND(B725&lt;=NKC!$N$8,B725&gt;=NKC!$M$8),"x","")</f>
        <v/>
      </c>
      <c r="AA725" s="894"/>
      <c r="AB725" s="598" t="e">
        <f t="shared" si="34"/>
        <v>#N/A</v>
      </c>
    </row>
    <row r="726" spans="1:28" ht="15.75" customHeight="1">
      <c r="A726" s="199" t="str">
        <f>IF(B726&lt;&gt;"",IF(AND(B726&gt;=_TM1,B726&lt;=_TM2,OR(TH!L726="1111",TH!M726="1111")),TH!D726,""),"")</f>
        <v/>
      </c>
      <c r="B726" s="36">
        <f t="shared" si="32"/>
        <v>1</v>
      </c>
      <c r="C726" s="190">
        <f t="shared" si="33"/>
        <v>0</v>
      </c>
      <c r="D726" s="183"/>
      <c r="E726" s="190"/>
      <c r="F726" s="293"/>
      <c r="G726" s="491"/>
      <c r="H726" s="7"/>
      <c r="I726" s="254"/>
      <c r="J726" s="254"/>
      <c r="K726" s="38"/>
      <c r="L726" s="193"/>
      <c r="M726" s="193"/>
      <c r="N726" s="39" t="str">
        <f>IF(AND('331-CT'!$E$7=TH!H726,OR(L726="331",M726="331")),"331",IF(AND(OR(L726="131",M726="131"),H726='131-CT'!$E$7),"131",""))</f>
        <v/>
      </c>
      <c r="O726" s="39" t="str">
        <f>IF(AND($B726&gt;='111'!$N$11,$B726&lt;='111'!$O$11,OR($L726=$O$7,$M726=$O$7)),"x","")</f>
        <v/>
      </c>
      <c r="P726" s="39" t="str">
        <f>IF(AND($L726=$O$7,$B726&lt;'111'!$N$11),"x","")</f>
        <v/>
      </c>
      <c r="Q726" s="39" t="str">
        <f>IF(AND($M726=$O$7,$B726&lt;'111'!$N$11),"x","")</f>
        <v/>
      </c>
      <c r="R726" s="39" t="str">
        <f>IF(ISERROR(FIND('112'!$M$9,G726,1)),"",IF((AND(FIND('112'!$M$9,G726,1)&gt;=1,$B726&gt;='112'!$N$8,$B726&lt;='112'!$O$8,OR($L726='112'!$I$6,$M726='112'!$I$6))),"x",""))</f>
        <v/>
      </c>
      <c r="S726" s="39" t="str">
        <f>IF(ISERROR(FIND('112'!$M$9,G726,1)),"",IF((AND(LEFT(G726,2)=LEFT('112'!$M$9,2),B726&lt;'112'!$N$8,$L726='112'!$I$6)),"x",""))</f>
        <v/>
      </c>
      <c r="T726" s="39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39" t="str">
        <f>IF(OR(TH!L726=TH!$V$7,M726=TH!$V$7),"x","")</f>
        <v/>
      </c>
      <c r="W726" s="39" t="str">
        <f>IF(AND(B726&gt;='IN-NX'!$P$3,B726&lt;='IN-NX'!$Q$3,'IN-NX'!$D$7=D726,OR(LEFT(L726,2)="15",AND(LEFT(M726,2)&lt;&gt;"15",LEFT(M726,2)&lt;&gt;"33"))),"x","")</f>
        <v/>
      </c>
      <c r="X726" s="39" t="str">
        <f>IF(AND(OR(LEFT(TH!L726,2)="15",LEFT(TH!M726,2)="15"),'152-CT'!$J$8=TH!F726),"x","")</f>
        <v/>
      </c>
      <c r="Y726" s="39" t="str">
        <f>IF(AND(OR(LEFT(TH!L726,2)="15",LEFT(TH!M726,2)="15"),TK!$E$7=TH!F726),"x","")</f>
        <v/>
      </c>
      <c r="Z726" s="39" t="str">
        <f>IF(AND(B726&lt;=NKC!$N$8,B726&gt;=NKC!$M$8),"x","")</f>
        <v/>
      </c>
      <c r="AA726" s="894"/>
      <c r="AB726" s="598" t="e">
        <f t="shared" si="34"/>
        <v>#N/A</v>
      </c>
    </row>
    <row r="727" spans="1:28" ht="15.75" customHeight="1">
      <c r="A727" s="199" t="str">
        <f>IF(B727&lt;&gt;"",IF(AND(B727&gt;=_TM1,B727&lt;=_TM2,OR(TH!L727="1111",TH!M727="1111")),TH!D727,""),"")</f>
        <v/>
      </c>
      <c r="B727" s="36">
        <f t="shared" si="32"/>
        <v>1</v>
      </c>
      <c r="C727" s="190">
        <f t="shared" si="33"/>
        <v>0</v>
      </c>
      <c r="D727" s="183"/>
      <c r="E727" s="190"/>
      <c r="F727" s="191"/>
      <c r="G727" s="491"/>
      <c r="H727" s="192"/>
      <c r="I727" s="253"/>
      <c r="J727" s="253"/>
      <c r="K727" s="38"/>
      <c r="L727" s="193"/>
      <c r="M727" s="193"/>
      <c r="N727" s="39" t="str">
        <f>IF(AND('331-CT'!$E$7=TH!H727,OR(L727="331",M727="331")),"331",IF(AND(OR(L727="131",M727="131"),H727='131-CT'!$E$7),"131",""))</f>
        <v/>
      </c>
      <c r="O727" s="39" t="str">
        <f>IF(AND($B727&gt;='111'!$N$11,$B727&lt;='111'!$O$11,OR($L727=$O$7,$M727=$O$7)),"x","")</f>
        <v/>
      </c>
      <c r="P727" s="39" t="str">
        <f>IF(AND($L727=$O$7,$B727&lt;'111'!$N$11),"x","")</f>
        <v/>
      </c>
      <c r="Q727" s="39" t="str">
        <f>IF(AND($M727=$O$7,$B727&lt;'111'!$N$11),"x","")</f>
        <v/>
      </c>
      <c r="R727" s="39" t="str">
        <f>IF(ISERROR(FIND('112'!$M$9,G727,1)),"",IF((AND(FIND('112'!$M$9,G727,1)&gt;=1,$B727&gt;='112'!$N$8,$B727&lt;='112'!$O$8,OR($L727='112'!$I$6,$M727='112'!$I$6))),"x",""))</f>
        <v/>
      </c>
      <c r="S727" s="39" t="str">
        <f>IF(ISERROR(FIND('112'!$M$9,G727,1)),"",IF((AND(LEFT(G727,2)=LEFT('112'!$M$9,2),B727&lt;'112'!$N$8,$L727='112'!$I$6)),"x",""))</f>
        <v/>
      </c>
      <c r="T727" s="39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39" t="str">
        <f>IF(OR(TH!L727=TH!$V$7,M727=TH!$V$7),"x","")</f>
        <v/>
      </c>
      <c r="W727" s="39" t="str">
        <f>IF(AND(B727&gt;='IN-NX'!$P$3,B727&lt;='IN-NX'!$Q$3,'IN-NX'!$D$7=D727,OR(LEFT(L727,2)="15",AND(LEFT(M727,2)&lt;&gt;"15",LEFT(M727,2)&lt;&gt;"33"))),"x","")</f>
        <v/>
      </c>
      <c r="X727" s="39" t="str">
        <f>IF(AND(OR(LEFT(TH!L727,2)="15",LEFT(TH!M727,2)="15"),'152-CT'!$J$8=TH!F727),"x","")</f>
        <v/>
      </c>
      <c r="Y727" s="39" t="str">
        <f>IF(AND(OR(LEFT(TH!L727,2)="15",LEFT(TH!M727,2)="15"),TK!$E$7=TH!F727),"x","")</f>
        <v/>
      </c>
      <c r="Z727" s="39" t="str">
        <f>IF(AND(B727&lt;=NKC!$N$8,B727&gt;=NKC!$M$8),"x","")</f>
        <v/>
      </c>
      <c r="AA727" s="894"/>
      <c r="AB727" s="598" t="e">
        <f t="shared" si="34"/>
        <v>#N/A</v>
      </c>
    </row>
    <row r="728" spans="1:28" ht="15.75" customHeight="1">
      <c r="A728" s="199" t="str">
        <f>IF(B728&lt;&gt;"",IF(AND(B728&gt;=_TM1,B728&lt;=_TM2,OR(TH!L728="1111",TH!M728="1111")),TH!D728,""),"")</f>
        <v/>
      </c>
      <c r="B728" s="36">
        <f t="shared" si="32"/>
        <v>1</v>
      </c>
      <c r="C728" s="190">
        <f t="shared" si="33"/>
        <v>0</v>
      </c>
      <c r="D728" s="183"/>
      <c r="E728" s="190"/>
      <c r="F728" s="191"/>
      <c r="G728" s="491"/>
      <c r="H728" s="192"/>
      <c r="I728" s="253"/>
      <c r="J728" s="253"/>
      <c r="K728" s="606"/>
      <c r="L728" s="193"/>
      <c r="M728" s="193"/>
      <c r="N728" s="39" t="str">
        <f>IF(AND('331-CT'!$E$7=TH!H728,OR(L728="331",M728="331")),"331",IF(AND(OR(L728="131",M728="131"),H728='131-CT'!$E$7),"131",""))</f>
        <v/>
      </c>
      <c r="O728" s="39" t="str">
        <f>IF(AND($B728&gt;='111'!$N$11,$B728&lt;='111'!$O$11,OR($L728=$O$7,$M728=$O$7)),"x","")</f>
        <v/>
      </c>
      <c r="P728" s="39" t="str">
        <f>IF(AND($L728=$O$7,$B728&lt;'111'!$N$11),"x","")</f>
        <v/>
      </c>
      <c r="Q728" s="39" t="str">
        <f>IF(AND($M728=$O$7,$B728&lt;'111'!$N$11),"x","")</f>
        <v/>
      </c>
      <c r="R728" s="39" t="str">
        <f>IF(ISERROR(FIND('112'!$M$9,G728,1)),"",IF((AND(FIND('112'!$M$9,G728,1)&gt;=1,$B728&gt;='112'!$N$8,$B728&lt;='112'!$O$8,OR($L728='112'!$I$6,$M728='112'!$I$6))),"x",""))</f>
        <v/>
      </c>
      <c r="S728" s="39" t="str">
        <f>IF(ISERROR(FIND('112'!$M$9,G728,1)),"",IF((AND(LEFT(G728,2)=LEFT('112'!$M$9,2),B728&lt;'112'!$N$8,$L728='112'!$I$6)),"x",""))</f>
        <v/>
      </c>
      <c r="T728" s="39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39" t="str">
        <f>IF(OR(TH!L728=TH!$V$7,M728=TH!$V$7),"x","")</f>
        <v/>
      </c>
      <c r="W728" s="39" t="str">
        <f>IF(AND(B728&gt;='IN-NX'!$P$3,B728&lt;='IN-NX'!$Q$3,'IN-NX'!$D$7=D728,OR(LEFT(L728,2)="15",AND(LEFT(M728,2)&lt;&gt;"15",LEFT(M728,2)&lt;&gt;"33"))),"x","")</f>
        <v/>
      </c>
      <c r="X728" s="39" t="str">
        <f>IF(AND(OR(LEFT(TH!L728,2)="15",LEFT(TH!M728,2)="15"),'152-CT'!$J$8=TH!F728),"x","")</f>
        <v/>
      </c>
      <c r="Y728" s="39" t="str">
        <f>IF(AND(OR(LEFT(TH!L728,2)="15",LEFT(TH!M728,2)="15"),TK!$E$7=TH!F728),"x","")</f>
        <v/>
      </c>
      <c r="Z728" s="39" t="str">
        <f>IF(AND(B728&lt;=NKC!$N$8,B728&gt;=NKC!$M$8),"x","")</f>
        <v/>
      </c>
      <c r="AA728" s="894"/>
      <c r="AB728" s="598" t="e">
        <f t="shared" si="34"/>
        <v>#N/A</v>
      </c>
    </row>
    <row r="729" spans="1:28" ht="15.75" customHeight="1">
      <c r="A729" s="199" t="str">
        <f>IF(B729&lt;&gt;"",IF(AND(B729&gt;=_TM1,B729&lt;=_TM2,OR(TH!L729="1111",TH!M729="1111")),TH!D729,""),"")</f>
        <v/>
      </c>
      <c r="B729" s="36">
        <f t="shared" ref="B729:B792" si="35">IF(C729&lt;&gt;"",MONTH(C729),"")</f>
        <v>1</v>
      </c>
      <c r="C729" s="190">
        <f t="shared" si="33"/>
        <v>0</v>
      </c>
      <c r="D729" s="183"/>
      <c r="E729" s="190"/>
      <c r="F729" s="191"/>
      <c r="G729" s="491"/>
      <c r="H729" s="192"/>
      <c r="I729" s="253"/>
      <c r="J729" s="253"/>
      <c r="K729" s="38"/>
      <c r="L729" s="193"/>
      <c r="M729" s="193"/>
      <c r="N729" s="39" t="str">
        <f>IF(AND('331-CT'!$E$7=TH!H729,OR(L729="331",M729="331")),"331",IF(AND(OR(L729="131",M729="131"),H729='131-CT'!$E$7),"131",""))</f>
        <v/>
      </c>
      <c r="O729" s="39" t="str">
        <f>IF(AND($B729&gt;='111'!$N$11,$B729&lt;='111'!$O$11,OR($L729=$O$7,$M729=$O$7)),"x","")</f>
        <v/>
      </c>
      <c r="P729" s="39" t="str">
        <f>IF(AND($L729=$O$7,$B729&lt;'111'!$N$11),"x","")</f>
        <v/>
      </c>
      <c r="Q729" s="39" t="str">
        <f>IF(AND($M729=$O$7,$B729&lt;'111'!$N$11),"x","")</f>
        <v/>
      </c>
      <c r="R729" s="39" t="str">
        <f>IF(ISERROR(FIND('112'!$M$9,G729,1)),"",IF((AND(FIND('112'!$M$9,G729,1)&gt;=1,$B729&gt;='112'!$N$8,$B729&lt;='112'!$O$8,OR($L729='112'!$I$6,$M729='112'!$I$6))),"x",""))</f>
        <v/>
      </c>
      <c r="S729" s="39" t="str">
        <f>IF(ISERROR(FIND('112'!$M$9,G729,1)),"",IF((AND(LEFT(G729,2)=LEFT('112'!$M$9,2),B729&lt;'112'!$N$8,$L729='112'!$I$6)),"x",""))</f>
        <v/>
      </c>
      <c r="T729" s="39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39" t="str">
        <f>IF(OR(TH!L729=TH!$V$7,M729=TH!$V$7),"x","")</f>
        <v/>
      </c>
      <c r="W729" s="39" t="str">
        <f>IF(AND(B729&gt;='IN-NX'!$P$3,B729&lt;='IN-NX'!$Q$3,'IN-NX'!$D$7=D729,OR(LEFT(L729,2)="15",AND(LEFT(M729,2)&lt;&gt;"15",LEFT(M729,2)&lt;&gt;"33"))),"x","")</f>
        <v/>
      </c>
      <c r="X729" s="39" t="str">
        <f>IF(AND(OR(LEFT(TH!L729,2)="15",LEFT(TH!M729,2)="15"),'152-CT'!$J$8=TH!F729),"x","")</f>
        <v/>
      </c>
      <c r="Y729" s="39" t="str">
        <f>IF(AND(OR(LEFT(TH!L729,2)="15",LEFT(TH!M729,2)="15"),TK!$E$7=TH!F729),"x","")</f>
        <v/>
      </c>
      <c r="Z729" s="39" t="str">
        <f>IF(AND(B729&lt;=NKC!$N$8,B729&gt;=NKC!$M$8),"x","")</f>
        <v/>
      </c>
      <c r="AA729" s="894"/>
      <c r="AB729" s="598" t="e">
        <f t="shared" si="34"/>
        <v>#N/A</v>
      </c>
    </row>
    <row r="730" spans="1:28" ht="15.75" customHeight="1">
      <c r="A730" s="199" t="str">
        <f>IF(B730&lt;&gt;"",IF(AND(B730&gt;=_TM1,B730&lt;=_TM2,OR(TH!L730="1111",TH!M730="1111")),TH!D730,""),"")</f>
        <v/>
      </c>
      <c r="B730" s="36">
        <f t="shared" si="35"/>
        <v>1</v>
      </c>
      <c r="C730" s="190">
        <f t="shared" si="33"/>
        <v>0</v>
      </c>
      <c r="D730" s="183"/>
      <c r="E730" s="190"/>
      <c r="F730" s="191"/>
      <c r="G730" s="491"/>
      <c r="H730" s="192"/>
      <c r="I730" s="253"/>
      <c r="J730" s="253"/>
      <c r="K730" s="38"/>
      <c r="L730" s="193"/>
      <c r="M730" s="193"/>
      <c r="N730" s="39" t="str">
        <f>IF(AND('331-CT'!$E$7=TH!H730,OR(L730="331",M730="331")),"331",IF(AND(OR(L730="131",M730="131"),H730='131-CT'!$E$7),"131",""))</f>
        <v/>
      </c>
      <c r="O730" s="39" t="str">
        <f>IF(AND($B730&gt;='111'!$N$11,$B730&lt;='111'!$O$11,OR($L730=$O$7,$M730=$O$7)),"x","")</f>
        <v/>
      </c>
      <c r="P730" s="39" t="str">
        <f>IF(AND($L730=$O$7,$B730&lt;'111'!$N$11),"x","")</f>
        <v/>
      </c>
      <c r="Q730" s="39" t="str">
        <f>IF(AND($M730=$O$7,$B730&lt;'111'!$N$11),"x","")</f>
        <v/>
      </c>
      <c r="R730" s="39" t="str">
        <f>IF(ISERROR(FIND('112'!$M$9,G730,1)),"",IF((AND(FIND('112'!$M$9,G730,1)&gt;=1,$B730&gt;='112'!$N$8,$B730&lt;='112'!$O$8,OR($L730='112'!$I$6,$M730='112'!$I$6))),"x",""))</f>
        <v/>
      </c>
      <c r="S730" s="39" t="str">
        <f>IF(ISERROR(FIND('112'!$M$9,G730,1)),"",IF((AND(LEFT(G730,2)=LEFT('112'!$M$9,2),B730&lt;'112'!$N$8,$L730='112'!$I$6)),"x",""))</f>
        <v/>
      </c>
      <c r="T730" s="39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39" t="str">
        <f>IF(OR(TH!L730=TH!$V$7,M730=TH!$V$7),"x","")</f>
        <v/>
      </c>
      <c r="W730" s="39" t="str">
        <f>IF(AND(B730&gt;='IN-NX'!$P$3,B730&lt;='IN-NX'!$Q$3,'IN-NX'!$D$7=D730,OR(LEFT(L730,2)="15",AND(LEFT(M730,2)&lt;&gt;"15",LEFT(M730,2)&lt;&gt;"33"))),"x","")</f>
        <v/>
      </c>
      <c r="X730" s="39" t="str">
        <f>IF(AND(OR(LEFT(TH!L730,2)="15",LEFT(TH!M730,2)="15"),'152-CT'!$J$8=TH!F730),"x","")</f>
        <v/>
      </c>
      <c r="Y730" s="39" t="str">
        <f>IF(AND(OR(LEFT(TH!L730,2)="15",LEFT(TH!M730,2)="15"),TK!$E$7=TH!F730),"x","")</f>
        <v/>
      </c>
      <c r="Z730" s="39" t="str">
        <f>IF(AND(B730&lt;=NKC!$N$8,B730&gt;=NKC!$M$8),"x","")</f>
        <v/>
      </c>
      <c r="AA730" s="894"/>
      <c r="AB730" s="598" t="e">
        <f t="shared" si="34"/>
        <v>#N/A</v>
      </c>
    </row>
    <row r="731" spans="1:28" ht="15.75" customHeight="1">
      <c r="A731" s="199" t="str">
        <f>IF(B731&lt;&gt;"",IF(AND(B731&gt;=_TM1,B731&lt;=_TM2,OR(TH!L731="1111",TH!M731="1111")),TH!D731,""),"")</f>
        <v/>
      </c>
      <c r="B731" s="36">
        <f t="shared" si="35"/>
        <v>1</v>
      </c>
      <c r="C731" s="190">
        <f t="shared" si="33"/>
        <v>0</v>
      </c>
      <c r="D731" s="183"/>
      <c r="E731" s="190"/>
      <c r="F731" s="191"/>
      <c r="G731" s="491"/>
      <c r="H731" s="192"/>
      <c r="I731" s="253"/>
      <c r="J731" s="253"/>
      <c r="K731" s="38"/>
      <c r="L731" s="193"/>
      <c r="M731" s="193"/>
      <c r="N731" s="39" t="str">
        <f>IF(AND('331-CT'!$E$7=TH!H731,OR(L731="331",M731="331")),"331",IF(AND(OR(L731="131",M731="131"),H731='131-CT'!$E$7),"131",""))</f>
        <v/>
      </c>
      <c r="O731" s="39" t="str">
        <f>IF(AND($B731&gt;='111'!$N$11,$B731&lt;='111'!$O$11,OR($L731=$O$7,$M731=$O$7)),"x","")</f>
        <v/>
      </c>
      <c r="P731" s="39" t="str">
        <f>IF(AND($L731=$O$7,$B731&lt;'111'!$N$11),"x","")</f>
        <v/>
      </c>
      <c r="Q731" s="39" t="str">
        <f>IF(AND($M731=$O$7,$B731&lt;'111'!$N$11),"x","")</f>
        <v/>
      </c>
      <c r="R731" s="39" t="str">
        <f>IF(ISERROR(FIND('112'!$M$9,G731,1)),"",IF((AND(FIND('112'!$M$9,G731,1)&gt;=1,$B731&gt;='112'!$N$8,$B731&lt;='112'!$O$8,OR($L731='112'!$I$6,$M731='112'!$I$6))),"x",""))</f>
        <v/>
      </c>
      <c r="S731" s="39" t="str">
        <f>IF(ISERROR(FIND('112'!$M$9,G731,1)),"",IF((AND(LEFT(G731,2)=LEFT('112'!$M$9,2),B731&lt;'112'!$N$8,$L731='112'!$I$6)),"x",""))</f>
        <v/>
      </c>
      <c r="T731" s="39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39" t="str">
        <f>IF(OR(TH!L731=TH!$V$7,M731=TH!$V$7),"x","")</f>
        <v/>
      </c>
      <c r="W731" s="39" t="str">
        <f>IF(AND(B731&gt;='IN-NX'!$P$3,B731&lt;='IN-NX'!$Q$3,'IN-NX'!$D$7=D731,OR(LEFT(L731,2)="15",AND(LEFT(M731,2)&lt;&gt;"15",LEFT(M731,2)&lt;&gt;"33"))),"x","")</f>
        <v/>
      </c>
      <c r="X731" s="39" t="str">
        <f>IF(AND(OR(LEFT(TH!L731,2)="15",LEFT(TH!M731,2)="15"),'152-CT'!$J$8=TH!F731),"x","")</f>
        <v/>
      </c>
      <c r="Y731" s="39" t="str">
        <f>IF(AND(OR(LEFT(TH!L731,2)="15",LEFT(TH!M731,2)="15"),TK!$E$7=TH!F731),"x","")</f>
        <v/>
      </c>
      <c r="Z731" s="39" t="str">
        <f>IF(AND(B731&lt;=NKC!$N$8,B731&gt;=NKC!$M$8),"x","")</f>
        <v/>
      </c>
      <c r="AA731" s="894"/>
      <c r="AB731" s="598" t="e">
        <f t="shared" si="34"/>
        <v>#N/A</v>
      </c>
    </row>
    <row r="732" spans="1:28" ht="15.75" customHeight="1">
      <c r="A732" s="199" t="str">
        <f>IF(B732&lt;&gt;"",IF(AND(B732&gt;=_TM1,B732&lt;=_TM2,OR(TH!L732="1111",TH!M732="1111")),TH!D732,""),"")</f>
        <v/>
      </c>
      <c r="B732" s="36">
        <f t="shared" si="35"/>
        <v>1</v>
      </c>
      <c r="C732" s="190">
        <f t="shared" si="33"/>
        <v>0</v>
      </c>
      <c r="D732" s="183"/>
      <c r="E732" s="190"/>
      <c r="F732" s="191"/>
      <c r="G732" s="491"/>
      <c r="H732" s="192"/>
      <c r="I732" s="253"/>
      <c r="J732" s="253"/>
      <c r="K732" s="38"/>
      <c r="L732" s="193"/>
      <c r="M732" s="193"/>
      <c r="N732" s="39" t="str">
        <f>IF(AND('331-CT'!$E$7=TH!H732,OR(L732="331",M732="331")),"331",IF(AND(OR(L732="131",M732="131"),H732='131-CT'!$E$7),"131",""))</f>
        <v/>
      </c>
      <c r="O732" s="39" t="str">
        <f>IF(AND($B732&gt;='111'!$N$11,$B732&lt;='111'!$O$11,OR($L732=$O$7,$M732=$O$7)),"x","")</f>
        <v/>
      </c>
      <c r="P732" s="39" t="str">
        <f>IF(AND($L732=$O$7,$B732&lt;'111'!$N$11),"x","")</f>
        <v/>
      </c>
      <c r="Q732" s="39" t="str">
        <f>IF(AND($M732=$O$7,$B732&lt;'111'!$N$11),"x","")</f>
        <v/>
      </c>
      <c r="R732" s="39" t="str">
        <f>IF(ISERROR(FIND('112'!$M$9,G732,1)),"",IF((AND(FIND('112'!$M$9,G732,1)&gt;=1,$B732&gt;='112'!$N$8,$B732&lt;='112'!$O$8,OR($L732='112'!$I$6,$M732='112'!$I$6))),"x",""))</f>
        <v/>
      </c>
      <c r="S732" s="39" t="str">
        <f>IF(ISERROR(FIND('112'!$M$9,G732,1)),"",IF((AND(LEFT(G732,2)=LEFT('112'!$M$9,2),B732&lt;'112'!$N$8,$L732='112'!$I$6)),"x",""))</f>
        <v/>
      </c>
      <c r="T732" s="39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39" t="str">
        <f>IF(OR(TH!L732=TH!$V$7,M732=TH!$V$7),"x","")</f>
        <v/>
      </c>
      <c r="W732" s="39" t="str">
        <f>IF(AND(B732&gt;='IN-NX'!$P$3,B732&lt;='IN-NX'!$Q$3,'IN-NX'!$D$7=D732,OR(LEFT(L732,2)="15",AND(LEFT(M732,2)&lt;&gt;"15",LEFT(M732,2)&lt;&gt;"33"))),"x","")</f>
        <v/>
      </c>
      <c r="X732" s="39" t="str">
        <f>IF(AND(OR(LEFT(TH!L732,2)="15",LEFT(TH!M732,2)="15"),'152-CT'!$J$8=TH!F732),"x","")</f>
        <v/>
      </c>
      <c r="Y732" s="39" t="str">
        <f>IF(AND(OR(LEFT(TH!L732,2)="15",LEFT(TH!M732,2)="15"),TK!$E$7=TH!F732),"x","")</f>
        <v/>
      </c>
      <c r="Z732" s="39" t="str">
        <f>IF(AND(B732&lt;=NKC!$N$8,B732&gt;=NKC!$M$8),"x","")</f>
        <v/>
      </c>
      <c r="AA732" s="894"/>
      <c r="AB732" s="598" t="e">
        <f t="shared" si="34"/>
        <v>#N/A</v>
      </c>
    </row>
    <row r="733" spans="1:28" ht="15.75" customHeight="1">
      <c r="A733" s="199" t="str">
        <f>IF(B733&lt;&gt;"",IF(AND(B733&gt;=_TM1,B733&lt;=_TM2,OR(TH!L733="1111",TH!M733="1111")),TH!D733,""),"")</f>
        <v/>
      </c>
      <c r="B733" s="36">
        <f t="shared" si="35"/>
        <v>1</v>
      </c>
      <c r="C733" s="190">
        <f t="shared" si="33"/>
        <v>0</v>
      </c>
      <c r="D733" s="183"/>
      <c r="E733" s="190"/>
      <c r="F733" s="191"/>
      <c r="G733" s="491"/>
      <c r="H733" s="192"/>
      <c r="I733" s="253"/>
      <c r="J733" s="253"/>
      <c r="K733" s="38"/>
      <c r="L733" s="193"/>
      <c r="M733" s="193"/>
      <c r="N733" s="39" t="str">
        <f>IF(AND('331-CT'!$E$7=TH!H733,OR(L733="331",M733="331")),"331",IF(AND(OR(L733="131",M733="131"),H733='131-CT'!$E$7),"131",""))</f>
        <v/>
      </c>
      <c r="O733" s="39" t="str">
        <f>IF(AND($B733&gt;='111'!$N$11,$B733&lt;='111'!$O$11,OR($L733=$O$7,$M733=$O$7)),"x","")</f>
        <v/>
      </c>
      <c r="P733" s="39" t="str">
        <f>IF(AND($L733=$O$7,$B733&lt;'111'!$N$11),"x","")</f>
        <v/>
      </c>
      <c r="Q733" s="39" t="str">
        <f>IF(AND($M733=$O$7,$B733&lt;'111'!$N$11),"x","")</f>
        <v/>
      </c>
      <c r="R733" s="39" t="str">
        <f>IF(ISERROR(FIND('112'!$M$9,G733,1)),"",IF((AND(FIND('112'!$M$9,G733,1)&gt;=1,$B733&gt;='112'!$N$8,$B733&lt;='112'!$O$8,OR($L733='112'!$I$6,$M733='112'!$I$6))),"x",""))</f>
        <v/>
      </c>
      <c r="S733" s="39" t="str">
        <f>IF(ISERROR(FIND('112'!$M$9,G733,1)),"",IF((AND(LEFT(G733,2)=LEFT('112'!$M$9,2),B733&lt;'112'!$N$8,$L733='112'!$I$6)),"x",""))</f>
        <v/>
      </c>
      <c r="T733" s="39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39" t="str">
        <f>IF(OR(TH!L733=TH!$V$7,M733=TH!$V$7),"x","")</f>
        <v/>
      </c>
      <c r="W733" s="39" t="str">
        <f>IF(AND(B733&gt;='IN-NX'!$P$3,B733&lt;='IN-NX'!$Q$3,'IN-NX'!$D$7=D733,OR(LEFT(L733,2)="15",AND(LEFT(M733,2)&lt;&gt;"15",LEFT(M733,2)&lt;&gt;"33"))),"x","")</f>
        <v/>
      </c>
      <c r="X733" s="39" t="str">
        <f>IF(AND(OR(LEFT(TH!L733,2)="15",LEFT(TH!M733,2)="15"),'152-CT'!$J$8=TH!F733),"x","")</f>
        <v/>
      </c>
      <c r="Y733" s="39" t="str">
        <f>IF(AND(OR(LEFT(TH!L733,2)="15",LEFT(TH!M733,2)="15"),TK!$E$7=TH!F733),"x","")</f>
        <v/>
      </c>
      <c r="Z733" s="39" t="str">
        <f>IF(AND(B733&lt;=NKC!$N$8,B733&gt;=NKC!$M$8),"x","")</f>
        <v/>
      </c>
      <c r="AA733" s="894"/>
      <c r="AB733" s="598" t="e">
        <f t="shared" si="34"/>
        <v>#N/A</v>
      </c>
    </row>
    <row r="734" spans="1:28" ht="15.75" customHeight="1">
      <c r="A734" s="199" t="str">
        <f>IF(B734&lt;&gt;"",IF(AND(B734&gt;=_TM1,B734&lt;=_TM2,OR(TH!L734="1111",TH!M734="1111")),TH!D734,""),"")</f>
        <v/>
      </c>
      <c r="B734" s="36">
        <f t="shared" si="35"/>
        <v>1</v>
      </c>
      <c r="C734" s="190">
        <f t="shared" si="33"/>
        <v>0</v>
      </c>
      <c r="D734" s="183"/>
      <c r="E734" s="190"/>
      <c r="F734" s="191"/>
      <c r="G734" s="491"/>
      <c r="H734" s="192"/>
      <c r="I734" s="833"/>
      <c r="J734" s="255"/>
      <c r="K734" s="38"/>
      <c r="L734" s="193"/>
      <c r="M734" s="193"/>
      <c r="N734" s="39" t="str">
        <f>IF(AND('331-CT'!$E$7=TH!H734,OR(L734="331",M734="331")),"331",IF(AND(OR(L734="131",M734="131"),H734='131-CT'!$E$7),"131",""))</f>
        <v/>
      </c>
      <c r="O734" s="39" t="str">
        <f>IF(AND($B734&gt;='111'!$N$11,$B734&lt;='111'!$O$11,OR($L734=$O$7,$M734=$O$7)),"x","")</f>
        <v/>
      </c>
      <c r="P734" s="39" t="str">
        <f>IF(AND($L734=$O$7,$B734&lt;'111'!$N$11),"x","")</f>
        <v/>
      </c>
      <c r="Q734" s="39" t="str">
        <f>IF(AND($M734=$O$7,$B734&lt;'111'!$N$11),"x","")</f>
        <v/>
      </c>
      <c r="R734" s="39" t="str">
        <f>IF(ISERROR(FIND('112'!$M$9,G734,1)),"",IF((AND(FIND('112'!$M$9,G734,1)&gt;=1,$B734&gt;='112'!$N$8,$B734&lt;='112'!$O$8,OR($L734='112'!$I$6,$M734='112'!$I$6))),"x",""))</f>
        <v/>
      </c>
      <c r="S734" s="39" t="str">
        <f>IF(ISERROR(FIND('112'!$M$9,G734,1)),"",IF((AND(LEFT(G734,2)=LEFT('112'!$M$9,2),B734&lt;'112'!$N$8,$L734='112'!$I$6)),"x",""))</f>
        <v/>
      </c>
      <c r="T734" s="39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39" t="str">
        <f>IF(OR(TH!L734=TH!$V$7,M734=TH!$V$7),"x","")</f>
        <v/>
      </c>
      <c r="W734" s="39" t="str">
        <f>IF(AND(B734&gt;='IN-NX'!$P$3,B734&lt;='IN-NX'!$Q$3,'IN-NX'!$D$7=D734,OR(LEFT(L734,2)="15",AND(LEFT(M734,2)&lt;&gt;"15",LEFT(M734,2)&lt;&gt;"33"))),"x","")</f>
        <v/>
      </c>
      <c r="X734" s="39" t="str">
        <f>IF(AND(OR(LEFT(TH!L734,2)="15",LEFT(TH!M734,2)="15"),'152-CT'!$J$8=TH!F734),"x","")</f>
        <v/>
      </c>
      <c r="Y734" s="39" t="str">
        <f>IF(AND(OR(LEFT(TH!L734,2)="15",LEFT(TH!M734,2)="15"),TK!$E$7=TH!F734),"x","")</f>
        <v/>
      </c>
      <c r="Z734" s="39" t="str">
        <f>IF(AND(B734&lt;=NKC!$N$8,B734&gt;=NKC!$M$8),"x","")</f>
        <v/>
      </c>
      <c r="AA734" s="894"/>
      <c r="AB734" s="598" t="e">
        <f t="shared" si="34"/>
        <v>#N/A</v>
      </c>
    </row>
    <row r="735" spans="1:28" ht="15.75" customHeight="1">
      <c r="A735" s="199" t="str">
        <f>IF(B735&lt;&gt;"",IF(AND(B735&gt;=_TM1,B735&lt;=_TM2,OR(TH!L735="1111",TH!M735="1111")),TH!D735,""),"")</f>
        <v/>
      </c>
      <c r="B735" s="36">
        <f t="shared" si="35"/>
        <v>1</v>
      </c>
      <c r="C735" s="190">
        <f t="shared" si="33"/>
        <v>0</v>
      </c>
      <c r="D735" s="183"/>
      <c r="E735" s="190"/>
      <c r="F735" s="191"/>
      <c r="G735" s="491"/>
      <c r="H735" s="192"/>
      <c r="I735" s="253"/>
      <c r="J735" s="253"/>
      <c r="K735" s="38"/>
      <c r="L735" s="193"/>
      <c r="M735" s="193"/>
      <c r="N735" s="39" t="str">
        <f>IF(AND('331-CT'!$E$7=TH!H735,OR(L735="331",M735="331")),"331",IF(AND(OR(L735="131",M735="131"),H735='131-CT'!$E$7),"131",""))</f>
        <v/>
      </c>
      <c r="O735" s="39" t="str">
        <f>IF(AND($B735&gt;='111'!$N$11,$B735&lt;='111'!$O$11,OR($L735=$O$7,$M735=$O$7)),"x","")</f>
        <v/>
      </c>
      <c r="P735" s="39" t="str">
        <f>IF(AND($L735=$O$7,$B735&lt;'111'!$N$11),"x","")</f>
        <v/>
      </c>
      <c r="Q735" s="39" t="str">
        <f>IF(AND($M735=$O$7,$B735&lt;'111'!$N$11),"x","")</f>
        <v/>
      </c>
      <c r="R735" s="39" t="str">
        <f>IF(ISERROR(FIND('112'!$M$9,G735,1)),"",IF((AND(FIND('112'!$M$9,G735,1)&gt;=1,$B735&gt;='112'!$N$8,$B735&lt;='112'!$O$8,OR($L735='112'!$I$6,$M735='112'!$I$6))),"x",""))</f>
        <v/>
      </c>
      <c r="S735" s="39" t="str">
        <f>IF(ISERROR(FIND('112'!$M$9,G735,1)),"",IF((AND(LEFT(G735,2)=LEFT('112'!$M$9,2),B735&lt;'112'!$N$8,$L735='112'!$I$6)),"x",""))</f>
        <v/>
      </c>
      <c r="T735" s="39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39" t="str">
        <f>IF(OR(TH!L735=TH!$V$7,M735=TH!$V$7),"x","")</f>
        <v/>
      </c>
      <c r="W735" s="39" t="str">
        <f>IF(AND(B735&gt;='IN-NX'!$P$3,B735&lt;='IN-NX'!$Q$3,'IN-NX'!$D$7=D735,OR(LEFT(L735,2)="15",AND(LEFT(M735,2)&lt;&gt;"15",LEFT(M735,2)&lt;&gt;"33"))),"x","")</f>
        <v/>
      </c>
      <c r="X735" s="39" t="str">
        <f>IF(AND(OR(LEFT(TH!L735,2)="15",LEFT(TH!M735,2)="15"),'152-CT'!$J$8=TH!F735),"x","")</f>
        <v/>
      </c>
      <c r="Y735" s="39" t="str">
        <f>IF(AND(OR(LEFT(TH!L735,2)="15",LEFT(TH!M735,2)="15"),TK!$E$7=TH!F735),"x","")</f>
        <v/>
      </c>
      <c r="Z735" s="39" t="str">
        <f>IF(AND(B735&lt;=NKC!$N$8,B735&gt;=NKC!$M$8),"x","")</f>
        <v/>
      </c>
      <c r="AA735" s="894"/>
      <c r="AB735" s="598" t="e">
        <f t="shared" si="34"/>
        <v>#N/A</v>
      </c>
    </row>
    <row r="736" spans="1:28" ht="15.75" customHeight="1">
      <c r="A736" s="199" t="str">
        <f>IF(B736&lt;&gt;"",IF(AND(B736&gt;=_TM1,B736&lt;=_TM2,OR(TH!L736="1111",TH!M736="1111")),TH!D736,""),"")</f>
        <v/>
      </c>
      <c r="B736" s="36">
        <f t="shared" si="35"/>
        <v>1</v>
      </c>
      <c r="C736" s="190">
        <f t="shared" si="33"/>
        <v>0</v>
      </c>
      <c r="D736" s="183"/>
      <c r="E736" s="190"/>
      <c r="F736" s="191"/>
      <c r="G736" s="491"/>
      <c r="H736" s="192"/>
      <c r="I736" s="255"/>
      <c r="J736" s="255"/>
      <c r="K736" s="38"/>
      <c r="L736" s="193"/>
      <c r="M736" s="193"/>
      <c r="N736" s="39" t="str">
        <f>IF(AND('331-CT'!$E$7=TH!H736,OR(L736="331",M736="331")),"331",IF(AND(OR(L736="131",M736="131"),H736='131-CT'!$E$7),"131",""))</f>
        <v/>
      </c>
      <c r="O736" s="39" t="str">
        <f>IF(AND($B736&gt;='111'!$N$11,$B736&lt;='111'!$O$11,OR($L736=$O$7,$M736=$O$7)),"x","")</f>
        <v/>
      </c>
      <c r="P736" s="39" t="str">
        <f>IF(AND($L736=$O$7,$B736&lt;'111'!$N$11),"x","")</f>
        <v/>
      </c>
      <c r="Q736" s="39" t="str">
        <f>IF(AND($M736=$O$7,$B736&lt;'111'!$N$11),"x","")</f>
        <v/>
      </c>
      <c r="R736" s="39" t="str">
        <f>IF(ISERROR(FIND('112'!$M$9,G736,1)),"",IF((AND(FIND('112'!$M$9,G736,1)&gt;=1,$B736&gt;='112'!$N$8,$B736&lt;='112'!$O$8,OR($L736='112'!$I$6,$M736='112'!$I$6))),"x",""))</f>
        <v/>
      </c>
      <c r="S736" s="39" t="str">
        <f>IF(ISERROR(FIND('112'!$M$9,G736,1)),"",IF((AND(LEFT(G736,2)=LEFT('112'!$M$9,2),B736&lt;'112'!$N$8,$L736='112'!$I$6)),"x",""))</f>
        <v/>
      </c>
      <c r="T736" s="39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39" t="str">
        <f>IF(OR(TH!L736=TH!$V$7,M736=TH!$V$7),"x","")</f>
        <v/>
      </c>
      <c r="W736" s="39" t="str">
        <f>IF(AND(B736&gt;='IN-NX'!$P$3,B736&lt;='IN-NX'!$Q$3,'IN-NX'!$D$7=D736,OR(LEFT(L736,2)="15",AND(LEFT(M736,2)&lt;&gt;"15",LEFT(M736,2)&lt;&gt;"33"))),"x","")</f>
        <v/>
      </c>
      <c r="X736" s="39" t="str">
        <f>IF(AND(OR(LEFT(TH!L736,2)="15",LEFT(TH!M736,2)="15"),'152-CT'!$J$8=TH!F736),"x","")</f>
        <v/>
      </c>
      <c r="Y736" s="39" t="str">
        <f>IF(AND(OR(LEFT(TH!L736,2)="15",LEFT(TH!M736,2)="15"),TK!$E$7=TH!F736),"x","")</f>
        <v/>
      </c>
      <c r="Z736" s="39" t="str">
        <f>IF(AND(B736&lt;=NKC!$N$8,B736&gt;=NKC!$M$8),"x","")</f>
        <v/>
      </c>
      <c r="AA736" s="894"/>
      <c r="AB736" s="598" t="e">
        <f t="shared" si="34"/>
        <v>#N/A</v>
      </c>
    </row>
    <row r="737" spans="1:30" ht="15.75" customHeight="1">
      <c r="A737" s="199" t="str">
        <f>IF(B737&lt;&gt;"",IF(AND(B737&gt;=_TM1,B737&lt;=_TM2,OR(TH!L737="1111",TH!M737="1111")),TH!D737,""),"")</f>
        <v/>
      </c>
      <c r="B737" s="36">
        <f t="shared" si="35"/>
        <v>1</v>
      </c>
      <c r="C737" s="190">
        <f t="shared" si="33"/>
        <v>0</v>
      </c>
      <c r="D737" s="183"/>
      <c r="E737" s="190"/>
      <c r="F737" s="191"/>
      <c r="G737" s="491"/>
      <c r="H737" s="192"/>
      <c r="I737" s="253"/>
      <c r="J737" s="253"/>
      <c r="K737" s="38"/>
      <c r="L737" s="193"/>
      <c r="M737" s="193"/>
      <c r="N737" s="39" t="str">
        <f>IF(AND('331-CT'!$E$7=TH!H737,OR(L737="331",M737="331")),"331",IF(AND(OR(L737="131",M737="131"),H737='131-CT'!$E$7),"131",""))</f>
        <v/>
      </c>
      <c r="O737" s="39" t="str">
        <f>IF(AND($B737&gt;='111'!$N$11,$B737&lt;='111'!$O$11,OR($L737=$O$7,$M737=$O$7)),"x","")</f>
        <v/>
      </c>
      <c r="P737" s="39" t="str">
        <f>IF(AND($L737=$O$7,$B737&lt;'111'!$N$11),"x","")</f>
        <v/>
      </c>
      <c r="Q737" s="39" t="str">
        <f>IF(AND($M737=$O$7,$B737&lt;'111'!$N$11),"x","")</f>
        <v/>
      </c>
      <c r="R737" s="39" t="str">
        <f>IF(ISERROR(FIND('112'!$M$9,G737,1)),"",IF((AND(FIND('112'!$M$9,G737,1)&gt;=1,$B737&gt;='112'!$N$8,$B737&lt;='112'!$O$8,OR($L737='112'!$I$6,$M737='112'!$I$6))),"x",""))</f>
        <v/>
      </c>
      <c r="S737" s="39" t="str">
        <f>IF(ISERROR(FIND('112'!$M$9,G737,1)),"",IF((AND(LEFT(G737,2)=LEFT('112'!$M$9,2),B737&lt;'112'!$N$8,$L737='112'!$I$6)),"x",""))</f>
        <v/>
      </c>
      <c r="T737" s="39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39" t="str">
        <f>IF(OR(TH!L737=TH!$V$7,M737=TH!$V$7),"x","")</f>
        <v/>
      </c>
      <c r="W737" s="39" t="str">
        <f>IF(AND(B737&gt;='IN-NX'!$P$3,B737&lt;='IN-NX'!$Q$3,'IN-NX'!$D$7=D737,OR(LEFT(L737,2)="15",AND(LEFT(M737,2)&lt;&gt;"15",LEFT(M737,2)&lt;&gt;"33"))),"x","")</f>
        <v/>
      </c>
      <c r="X737" s="39" t="str">
        <f>IF(AND(OR(LEFT(TH!L737,2)="15",LEFT(TH!M737,2)="15"),'152-CT'!$J$8=TH!F737),"x","")</f>
        <v/>
      </c>
      <c r="Y737" s="39" t="str">
        <f>IF(AND(OR(LEFT(TH!L737,2)="15",LEFT(TH!M737,2)="15"),TK!$E$7=TH!F737),"x","")</f>
        <v/>
      </c>
      <c r="Z737" s="39" t="str">
        <f>IF(AND(B737&lt;=NKC!$N$8,B737&gt;=NKC!$M$8),"x","")</f>
        <v/>
      </c>
      <c r="AA737" s="894"/>
      <c r="AB737" s="598" t="e">
        <f t="shared" si="34"/>
        <v>#N/A</v>
      </c>
      <c r="AD737" s="598"/>
    </row>
    <row r="738" spans="1:30" ht="15.75" customHeight="1">
      <c r="A738" s="199" t="str">
        <f>IF(B738&lt;&gt;"",IF(AND(B738&gt;=_TM1,B738&lt;=_TM2,OR(TH!L738="1111",TH!M738="1111")),TH!D738,""),"")</f>
        <v/>
      </c>
      <c r="B738" s="36">
        <f t="shared" si="35"/>
        <v>1</v>
      </c>
      <c r="C738" s="190">
        <f t="shared" si="33"/>
        <v>0</v>
      </c>
      <c r="D738" s="183"/>
      <c r="E738" s="190"/>
      <c r="F738" s="191"/>
      <c r="G738" s="491"/>
      <c r="H738" s="192"/>
      <c r="I738" s="253"/>
      <c r="J738" s="253"/>
      <c r="K738" s="606"/>
      <c r="L738" s="193"/>
      <c r="M738" s="193"/>
      <c r="N738" s="39" t="str">
        <f>IF(AND('331-CT'!$E$7=TH!H738,OR(L738="331",M738="331")),"331",IF(AND(OR(L738="131",M738="131"),H738='131-CT'!$E$7),"131",""))</f>
        <v/>
      </c>
      <c r="O738" s="39" t="str">
        <f>IF(AND($B738&gt;='111'!$N$11,$B738&lt;='111'!$O$11,OR($L738=$O$7,$M738=$O$7)),"x","")</f>
        <v/>
      </c>
      <c r="P738" s="39" t="str">
        <f>IF(AND($L738=$O$7,$B738&lt;'111'!$N$11),"x","")</f>
        <v/>
      </c>
      <c r="Q738" s="39" t="str">
        <f>IF(AND($M738=$O$7,$B738&lt;'111'!$N$11),"x","")</f>
        <v/>
      </c>
      <c r="R738" s="39" t="str">
        <f>IF(ISERROR(FIND('112'!$M$9,G738,1)),"",IF((AND(FIND('112'!$M$9,G738,1)&gt;=1,$B738&gt;='112'!$N$8,$B738&lt;='112'!$O$8,OR($L738='112'!$I$6,$M738='112'!$I$6))),"x",""))</f>
        <v/>
      </c>
      <c r="S738" s="39" t="str">
        <f>IF(ISERROR(FIND('112'!$M$9,G738,1)),"",IF((AND(LEFT(G738,2)=LEFT('112'!$M$9,2),B738&lt;'112'!$N$8,$L738='112'!$I$6)),"x",""))</f>
        <v/>
      </c>
      <c r="T738" s="39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39" t="str">
        <f>IF(OR(TH!L738=TH!$V$7,M738=TH!$V$7),"x","")</f>
        <v/>
      </c>
      <c r="W738" s="39" t="str">
        <f>IF(AND(B738&gt;='IN-NX'!$P$3,B738&lt;='IN-NX'!$Q$3,'IN-NX'!$D$7=D738,OR(LEFT(L738,2)="15",AND(LEFT(M738,2)&lt;&gt;"15",LEFT(M738,2)&lt;&gt;"33"))),"x","")</f>
        <v/>
      </c>
      <c r="X738" s="39" t="str">
        <f>IF(AND(OR(LEFT(TH!L738,2)="15",LEFT(TH!M738,2)="15"),'152-CT'!$J$8=TH!F738),"x","")</f>
        <v/>
      </c>
      <c r="Y738" s="39" t="str">
        <f>IF(AND(OR(LEFT(TH!L738,2)="15",LEFT(TH!M738,2)="15"),TK!$E$7=TH!F738),"x","")</f>
        <v/>
      </c>
      <c r="Z738" s="39" t="str">
        <f>IF(AND(B738&lt;=NKC!$N$8,B738&gt;=NKC!$M$8),"x","")</f>
        <v/>
      </c>
      <c r="AA738" s="894"/>
      <c r="AB738" s="598" t="e">
        <f t="shared" si="34"/>
        <v>#N/A</v>
      </c>
      <c r="AD738" s="598"/>
    </row>
    <row r="739" spans="1:30" ht="15.75" customHeight="1">
      <c r="A739" s="199" t="str">
        <f>IF(B739&lt;&gt;"",IF(AND(B739&gt;=_TM1,B739&lt;=_TM2,OR(TH!L739="1111",TH!M739="1111")),TH!D739,""),"")</f>
        <v/>
      </c>
      <c r="B739" s="36">
        <f t="shared" si="35"/>
        <v>1</v>
      </c>
      <c r="C739" s="190">
        <f t="shared" si="33"/>
        <v>0</v>
      </c>
      <c r="D739" s="183"/>
      <c r="E739" s="190"/>
      <c r="F739" s="191"/>
      <c r="G739" s="491"/>
      <c r="H739" s="192"/>
      <c r="I739" s="253"/>
      <c r="J739" s="253"/>
      <c r="K739" s="38"/>
      <c r="L739" s="193"/>
      <c r="M739" s="193"/>
      <c r="N739" s="39" t="str">
        <f>IF(AND('331-CT'!$E$7=TH!H739,OR(L739="331",M739="331")),"331",IF(AND(OR(L739="131",M739="131"),H739='131-CT'!$E$7),"131",""))</f>
        <v/>
      </c>
      <c r="O739" s="39" t="str">
        <f>IF(AND($B739&gt;='111'!$N$11,$B739&lt;='111'!$O$11,OR($L739=$O$7,$M739=$O$7)),"x","")</f>
        <v/>
      </c>
      <c r="P739" s="39" t="str">
        <f>IF(AND($L739=$O$7,$B739&lt;'111'!$N$11),"x","")</f>
        <v/>
      </c>
      <c r="Q739" s="39" t="str">
        <f>IF(AND($M739=$O$7,$B739&lt;'111'!$N$11),"x","")</f>
        <v/>
      </c>
      <c r="R739" s="39" t="str">
        <f>IF(ISERROR(FIND('112'!$M$9,G739,1)),"",IF((AND(FIND('112'!$M$9,G739,1)&gt;=1,$B739&gt;='112'!$N$8,$B739&lt;='112'!$O$8,OR($L739='112'!$I$6,$M739='112'!$I$6))),"x",""))</f>
        <v/>
      </c>
      <c r="S739" s="39" t="str">
        <f>IF(ISERROR(FIND('112'!$M$9,G739,1)),"",IF((AND(LEFT(G739,2)=LEFT('112'!$M$9,2),B739&lt;'112'!$N$8,$L739='112'!$I$6)),"x",""))</f>
        <v/>
      </c>
      <c r="T739" s="39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39" t="str">
        <f>IF(OR(TH!L739=TH!$V$7,M739=TH!$V$7),"x","")</f>
        <v/>
      </c>
      <c r="W739" s="39" t="str">
        <f>IF(AND(B739&gt;='IN-NX'!$P$3,B739&lt;='IN-NX'!$Q$3,'IN-NX'!$D$7=D739,OR(LEFT(L739,2)="15",AND(LEFT(M739,2)&lt;&gt;"15",LEFT(M739,2)&lt;&gt;"33"))),"x","")</f>
        <v/>
      </c>
      <c r="X739" s="39" t="str">
        <f>IF(AND(OR(LEFT(TH!L739,2)="15",LEFT(TH!M739,2)="15"),'152-CT'!$J$8=TH!F739),"x","")</f>
        <v/>
      </c>
      <c r="Y739" s="39" t="str">
        <f>IF(AND(OR(LEFT(TH!L739,2)="15",LEFT(TH!M739,2)="15"),TK!$E$7=TH!F739),"x","")</f>
        <v/>
      </c>
      <c r="Z739" s="39" t="str">
        <f>IF(AND(B739&lt;=NKC!$N$8,B739&gt;=NKC!$M$8),"x","")</f>
        <v/>
      </c>
      <c r="AA739" s="894"/>
      <c r="AB739" s="598" t="e">
        <f t="shared" si="34"/>
        <v>#N/A</v>
      </c>
      <c r="AD739" s="598"/>
    </row>
    <row r="740" spans="1:30" ht="15.75" customHeight="1">
      <c r="A740" s="199" t="str">
        <f>IF(B740&lt;&gt;"",IF(AND(B740&gt;=_TM1,B740&lt;=_TM2,OR(TH!L740="1111",TH!M740="1111")),TH!D740,""),"")</f>
        <v/>
      </c>
      <c r="B740" s="36">
        <f t="shared" si="35"/>
        <v>1</v>
      </c>
      <c r="C740" s="190">
        <f t="shared" si="33"/>
        <v>0</v>
      </c>
      <c r="D740" s="183"/>
      <c r="E740" s="190"/>
      <c r="F740" s="191"/>
      <c r="G740" s="491"/>
      <c r="H740" s="192"/>
      <c r="I740" s="253"/>
      <c r="J740" s="253"/>
      <c r="K740" s="38"/>
      <c r="L740" s="193"/>
      <c r="M740" s="193"/>
      <c r="N740" s="39" t="str">
        <f>IF(AND('331-CT'!$E$7=TH!H740,OR(L740="331",M740="331")),"331",IF(AND(OR(L740="131",M740="131"),H740='131-CT'!$E$7),"131",""))</f>
        <v/>
      </c>
      <c r="O740" s="39" t="str">
        <f>IF(AND($B740&gt;='111'!$N$11,$B740&lt;='111'!$O$11,OR($L740=$O$7,$M740=$O$7)),"x","")</f>
        <v/>
      </c>
      <c r="P740" s="39" t="str">
        <f>IF(AND($L740=$O$7,$B740&lt;'111'!$N$11),"x","")</f>
        <v/>
      </c>
      <c r="Q740" s="39" t="str">
        <f>IF(AND($M740=$O$7,$B740&lt;'111'!$N$11),"x","")</f>
        <v/>
      </c>
      <c r="R740" s="39" t="str">
        <f>IF(ISERROR(FIND('112'!$M$9,G740,1)),"",IF((AND(FIND('112'!$M$9,G740,1)&gt;=1,$B740&gt;='112'!$N$8,$B740&lt;='112'!$O$8,OR($L740='112'!$I$6,$M740='112'!$I$6))),"x",""))</f>
        <v/>
      </c>
      <c r="S740" s="39" t="str">
        <f>IF(ISERROR(FIND('112'!$M$9,G740,1)),"",IF((AND(LEFT(G740,2)=LEFT('112'!$M$9,2),B740&lt;'112'!$N$8,$L740='112'!$I$6)),"x",""))</f>
        <v/>
      </c>
      <c r="T740" s="39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39" t="str">
        <f>IF(OR(TH!L740=TH!$V$7,M740=TH!$V$7),"x","")</f>
        <v/>
      </c>
      <c r="W740" s="39" t="str">
        <f>IF(AND(B740&gt;='IN-NX'!$P$3,B740&lt;='IN-NX'!$Q$3,'IN-NX'!$D$7=D740,OR(LEFT(L740,2)="15",AND(LEFT(M740,2)&lt;&gt;"15",LEFT(M740,2)&lt;&gt;"33"))),"x","")</f>
        <v/>
      </c>
      <c r="X740" s="39" t="str">
        <f>IF(AND(OR(LEFT(TH!L740,2)="15",LEFT(TH!M740,2)="15"),'152-CT'!$J$8=TH!F740),"x","")</f>
        <v/>
      </c>
      <c r="Y740" s="39" t="str">
        <f>IF(AND(OR(LEFT(TH!L740,2)="15",LEFT(TH!M740,2)="15"),TK!$E$7=TH!F740),"x","")</f>
        <v/>
      </c>
      <c r="Z740" s="39" t="str">
        <f>IF(AND(B740&lt;=NKC!$N$8,B740&gt;=NKC!$M$8),"x","")</f>
        <v/>
      </c>
      <c r="AA740" s="894"/>
      <c r="AB740" s="598" t="e">
        <f t="shared" si="34"/>
        <v>#N/A</v>
      </c>
    </row>
    <row r="741" spans="1:30" ht="15.75" customHeight="1">
      <c r="A741" s="199" t="str">
        <f>IF(B741&lt;&gt;"",IF(AND(B741&gt;=_TM1,B741&lt;=_TM2,OR(TH!L741="1111",TH!M741="1111")),TH!D741,""),"")</f>
        <v/>
      </c>
      <c r="B741" s="36">
        <f t="shared" si="35"/>
        <v>1</v>
      </c>
      <c r="C741" s="190">
        <f t="shared" si="33"/>
        <v>0</v>
      </c>
      <c r="D741" s="183"/>
      <c r="E741" s="798"/>
      <c r="F741" s="188"/>
      <c r="G741" s="491"/>
      <c r="H741" s="7"/>
      <c r="I741" s="256"/>
      <c r="J741" s="256"/>
      <c r="K741" s="38"/>
      <c r="L741" s="193"/>
      <c r="M741" s="193"/>
      <c r="N741" s="39" t="str">
        <f>IF(AND('331-CT'!$E$7=TH!H741,OR(L741="331",M741="331")),"331",IF(AND(OR(L741="131",M741="131"),H741='131-CT'!$E$7),"131",""))</f>
        <v/>
      </c>
      <c r="O741" s="39" t="str">
        <f>IF(AND($B741&gt;='111'!$N$11,$B741&lt;='111'!$O$11,OR($L741=$O$7,$M741=$O$7)),"x","")</f>
        <v/>
      </c>
      <c r="P741" s="39" t="str">
        <f>IF(AND($L741=$O$7,$B741&lt;'111'!$N$11),"x","")</f>
        <v/>
      </c>
      <c r="Q741" s="39" t="str">
        <f>IF(AND($M741=$O$7,$B741&lt;'111'!$N$11),"x","")</f>
        <v/>
      </c>
      <c r="R741" s="39" t="str">
        <f>IF(ISERROR(FIND('112'!$M$9,G741,1)),"",IF((AND(FIND('112'!$M$9,G741,1)&gt;=1,$B741&gt;='112'!$N$8,$B741&lt;='112'!$O$8,OR($L741='112'!$I$6,$M741='112'!$I$6))),"x",""))</f>
        <v/>
      </c>
      <c r="S741" s="39" t="str">
        <f>IF(ISERROR(FIND('112'!$M$9,G741,1)),"",IF((AND(LEFT(G741,2)=LEFT('112'!$M$9,2),B741&lt;'112'!$N$8,$L741='112'!$I$6)),"x",""))</f>
        <v/>
      </c>
      <c r="T741" s="39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39" t="str">
        <f>IF(OR(TH!L741=TH!$V$7,M741=TH!$V$7),"x","")</f>
        <v/>
      </c>
      <c r="W741" s="39" t="str">
        <f>IF(AND(B741&gt;='IN-NX'!$P$3,B741&lt;='IN-NX'!$Q$3,'IN-NX'!$D$7=D741,OR(LEFT(L741,2)="15",AND(LEFT(M741,2)&lt;&gt;"15",LEFT(M741,2)&lt;&gt;"33"))),"x","")</f>
        <v/>
      </c>
      <c r="X741" s="39" t="str">
        <f>IF(AND(OR(LEFT(TH!L741,2)="15",LEFT(TH!M741,2)="15"),'152-CT'!$J$8=TH!F741),"x","")</f>
        <v/>
      </c>
      <c r="Y741" s="39" t="str">
        <f>IF(AND(OR(LEFT(TH!L741,2)="15",LEFT(TH!M741,2)="15"),TK!$E$7=TH!F741),"x","")</f>
        <v/>
      </c>
      <c r="Z741" s="39" t="str">
        <f>IF(AND(B741&lt;=NKC!$N$8,B741&gt;=NKC!$M$8),"x","")</f>
        <v/>
      </c>
      <c r="AA741" s="894"/>
      <c r="AB741" s="598" t="e">
        <f t="shared" si="34"/>
        <v>#N/A</v>
      </c>
      <c r="AD741" s="598"/>
    </row>
    <row r="742" spans="1:30" ht="15.75" customHeight="1">
      <c r="A742" s="199" t="str">
        <f>IF(B742&lt;&gt;"",IF(AND(B742&gt;=_TM1,B742&lt;=_TM2,OR(TH!L742="1111",TH!M742="1111")),TH!D742,""),"")</f>
        <v/>
      </c>
      <c r="B742" s="36">
        <f t="shared" si="35"/>
        <v>1</v>
      </c>
      <c r="C742" s="190">
        <f t="shared" si="33"/>
        <v>0</v>
      </c>
      <c r="D742" s="183"/>
      <c r="E742" s="798"/>
      <c r="F742" s="188"/>
      <c r="G742" s="491"/>
      <c r="H742" s="7"/>
      <c r="I742" s="253"/>
      <c r="J742" s="253"/>
      <c r="K742" s="38"/>
      <c r="L742" s="193"/>
      <c r="M742" s="193"/>
      <c r="N742" s="39" t="str">
        <f>IF(AND('331-CT'!$E$7=TH!H742,OR(L742="331",M742="331")),"331",IF(AND(OR(L742="131",M742="131"),H742='131-CT'!$E$7),"131",""))</f>
        <v/>
      </c>
      <c r="O742" s="39" t="str">
        <f>IF(AND($B742&gt;='111'!$N$11,$B742&lt;='111'!$O$11,OR($L742=$O$7,$M742=$O$7)),"x","")</f>
        <v/>
      </c>
      <c r="P742" s="39" t="str">
        <f>IF(AND($L742=$O$7,$B742&lt;'111'!$N$11),"x","")</f>
        <v/>
      </c>
      <c r="Q742" s="39" t="str">
        <f>IF(AND($M742=$O$7,$B742&lt;'111'!$N$11),"x","")</f>
        <v/>
      </c>
      <c r="R742" s="39" t="str">
        <f>IF(ISERROR(FIND('112'!$M$9,G742,1)),"",IF((AND(FIND('112'!$M$9,G742,1)&gt;=1,$B742&gt;='112'!$N$8,$B742&lt;='112'!$O$8,OR($L742='112'!$I$6,$M742='112'!$I$6))),"x",""))</f>
        <v/>
      </c>
      <c r="S742" s="39" t="str">
        <f>IF(ISERROR(FIND('112'!$M$9,G742,1)),"",IF((AND(LEFT(G742,2)=LEFT('112'!$M$9,2),B742&lt;'112'!$N$8,$L742='112'!$I$6)),"x",""))</f>
        <v/>
      </c>
      <c r="T742" s="39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39" t="str">
        <f>IF(OR(TH!L742=TH!$V$7,M742=TH!$V$7),"x","")</f>
        <v/>
      </c>
      <c r="W742" s="39" t="str">
        <f>IF(AND(B742&gt;='IN-NX'!$P$3,B742&lt;='IN-NX'!$Q$3,'IN-NX'!$D$7=D742,OR(LEFT(L742,2)="15",AND(LEFT(M742,2)&lt;&gt;"15",LEFT(M742,2)&lt;&gt;"33"))),"x","")</f>
        <v/>
      </c>
      <c r="X742" s="39" t="str">
        <f>IF(AND(OR(LEFT(TH!L742,2)="15",LEFT(TH!M742,2)="15"),'152-CT'!$J$8=TH!F742),"x","")</f>
        <v/>
      </c>
      <c r="Y742" s="39" t="str">
        <f>IF(AND(OR(LEFT(TH!L742,2)="15",LEFT(TH!M742,2)="15"),TK!$E$7=TH!F742),"x","")</f>
        <v/>
      </c>
      <c r="Z742" s="39" t="str">
        <f>IF(AND(B742&lt;=NKC!$N$8,B742&gt;=NKC!$M$8),"x","")</f>
        <v/>
      </c>
      <c r="AA742" s="894"/>
      <c r="AB742" s="598" t="e">
        <f t="shared" si="34"/>
        <v>#N/A</v>
      </c>
      <c r="AD742" s="598"/>
    </row>
    <row r="743" spans="1:30" ht="15.75" customHeight="1">
      <c r="A743" s="199" t="str">
        <f>IF(B743&lt;&gt;"",IF(AND(B743&gt;=_TM1,B743&lt;=_TM2,OR(TH!L743="1111",TH!M743="1111")),TH!D743,""),"")</f>
        <v/>
      </c>
      <c r="B743" s="36">
        <f t="shared" si="35"/>
        <v>1</v>
      </c>
      <c r="C743" s="190">
        <f t="shared" si="33"/>
        <v>0</v>
      </c>
      <c r="D743" s="183"/>
      <c r="E743" s="798"/>
      <c r="F743" s="188"/>
      <c r="G743" s="491"/>
      <c r="H743" s="7"/>
      <c r="I743" s="253"/>
      <c r="J743" s="253"/>
      <c r="K743" s="38"/>
      <c r="L743" s="193"/>
      <c r="M743" s="193"/>
      <c r="N743" s="39" t="str">
        <f>IF(AND('331-CT'!$E$7=TH!H743,OR(L743="331",M743="331")),"331",IF(AND(OR(L743="131",M743="131"),H743='131-CT'!$E$7),"131",""))</f>
        <v/>
      </c>
      <c r="O743" s="39" t="str">
        <f>IF(AND($B743&gt;='111'!$N$11,$B743&lt;='111'!$O$11,OR($L743=$O$7,$M743=$O$7)),"x","")</f>
        <v/>
      </c>
      <c r="P743" s="39" t="str">
        <f>IF(AND($L743=$O$7,$B743&lt;'111'!$N$11),"x","")</f>
        <v/>
      </c>
      <c r="Q743" s="39" t="str">
        <f>IF(AND($M743=$O$7,$B743&lt;'111'!$N$11),"x","")</f>
        <v/>
      </c>
      <c r="R743" s="39" t="str">
        <f>IF(ISERROR(FIND('112'!$M$9,G743,1)),"",IF((AND(FIND('112'!$M$9,G743,1)&gt;=1,$B743&gt;='112'!$N$8,$B743&lt;='112'!$O$8,OR($L743='112'!$I$6,$M743='112'!$I$6))),"x",""))</f>
        <v/>
      </c>
      <c r="S743" s="39" t="str">
        <f>IF(ISERROR(FIND('112'!$M$9,G743,1)),"",IF((AND(LEFT(G743,2)=LEFT('112'!$M$9,2),B743&lt;'112'!$N$8,$L743='112'!$I$6)),"x",""))</f>
        <v/>
      </c>
      <c r="T743" s="39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39" t="str">
        <f>IF(OR(TH!L743=TH!$V$7,M743=TH!$V$7),"x","")</f>
        <v/>
      </c>
      <c r="W743" s="39" t="str">
        <f>IF(AND(B743&gt;='IN-NX'!$P$3,B743&lt;='IN-NX'!$Q$3,'IN-NX'!$D$7=D743,OR(LEFT(L743,2)="15",AND(LEFT(M743,2)&lt;&gt;"15",LEFT(M743,2)&lt;&gt;"33"))),"x","")</f>
        <v/>
      </c>
      <c r="X743" s="39" t="str">
        <f>IF(AND(OR(LEFT(TH!L743,2)="15",LEFT(TH!M743,2)="15"),'152-CT'!$J$8=TH!F743),"x","")</f>
        <v/>
      </c>
      <c r="Y743" s="39" t="str">
        <f>IF(AND(OR(LEFT(TH!L743,2)="15",LEFT(TH!M743,2)="15"),TK!$E$7=TH!F743),"x","")</f>
        <v/>
      </c>
      <c r="Z743" s="39" t="str">
        <f>IF(AND(B743&lt;=NKC!$N$8,B743&gt;=NKC!$M$8),"x","")</f>
        <v/>
      </c>
      <c r="AA743" s="894"/>
      <c r="AB743" s="598" t="e">
        <f t="shared" si="34"/>
        <v>#N/A</v>
      </c>
    </row>
    <row r="744" spans="1:30" ht="15.75" customHeight="1">
      <c r="A744" s="199" t="str">
        <f>IF(B744&lt;&gt;"",IF(AND(B744&gt;=_TM1,B744&lt;=_TM2,OR(TH!L744="1111",TH!M744="1111")),TH!D744,""),"")</f>
        <v/>
      </c>
      <c r="B744" s="36">
        <f t="shared" si="35"/>
        <v>1</v>
      </c>
      <c r="C744" s="190">
        <f t="shared" si="33"/>
        <v>0</v>
      </c>
      <c r="D744" s="190"/>
      <c r="E744" s="183"/>
      <c r="F744" s="191"/>
      <c r="G744" s="491"/>
      <c r="H744" s="204"/>
      <c r="I744" s="253"/>
      <c r="J744" s="253"/>
      <c r="K744" s="38"/>
      <c r="L744" s="193"/>
      <c r="M744" s="193"/>
      <c r="N744" s="39" t="str">
        <f>IF(AND('331-CT'!$E$7=TH!H744,OR(L744="331",M744="331")),"331",IF(AND(OR(L744="131",M744="131"),H744='131-CT'!$E$7),"131",""))</f>
        <v/>
      </c>
      <c r="O744" s="39" t="str">
        <f>IF(AND($B744&gt;='111'!$N$11,$B744&lt;='111'!$O$11,OR($L744=$O$7,$M744=$O$7)),"x","")</f>
        <v/>
      </c>
      <c r="P744" s="39" t="str">
        <f>IF(AND($L744=$O$7,$B744&lt;'111'!$N$11),"x","")</f>
        <v/>
      </c>
      <c r="Q744" s="39" t="str">
        <f>IF(AND($M744=$O$7,$B744&lt;'111'!$N$11),"x","")</f>
        <v/>
      </c>
      <c r="R744" s="39" t="str">
        <f>IF(ISERROR(FIND('112'!$M$9,G744,1)),"",IF((AND(FIND('112'!$M$9,G744,1)&gt;=1,$B744&gt;='112'!$N$8,$B744&lt;='112'!$O$8,OR($L744='112'!$I$6,$M744='112'!$I$6))),"x",""))</f>
        <v/>
      </c>
      <c r="S744" s="39" t="str">
        <f>IF(ISERROR(FIND('112'!$M$9,G744,1)),"",IF((AND(LEFT(G744,2)=LEFT('112'!$M$9,2),B744&lt;'112'!$N$8,$L744='112'!$I$6)),"x",""))</f>
        <v/>
      </c>
      <c r="T744" s="39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39" t="str">
        <f>IF(OR(TH!L744=TH!$V$7,M744=TH!$V$7),"x","")</f>
        <v/>
      </c>
      <c r="W744" s="39" t="str">
        <f>IF(AND(B744&gt;='IN-NX'!$P$3,B744&lt;='IN-NX'!$Q$3,'IN-NX'!$D$7=D744,OR(LEFT(L744,2)="15",AND(LEFT(M744,2)&lt;&gt;"15",LEFT(M744,2)&lt;&gt;"33"))),"x","")</f>
        <v/>
      </c>
      <c r="X744" s="39" t="str">
        <f>IF(AND(OR(LEFT(TH!L744,2)="15",LEFT(TH!M744,2)="15"),'152-CT'!$J$8=TH!F744),"x","")</f>
        <v/>
      </c>
      <c r="Y744" s="39" t="str">
        <f>IF(AND(OR(LEFT(TH!L744,2)="15",LEFT(TH!M744,2)="15"),TK!$E$7=TH!F744),"x","")</f>
        <v/>
      </c>
      <c r="Z744" s="39" t="str">
        <f>IF(AND(B744&lt;=NKC!$N$8,B744&gt;=NKC!$M$8),"x","")</f>
        <v/>
      </c>
      <c r="AA744" s="894"/>
      <c r="AB744" s="598" t="e">
        <f t="shared" si="34"/>
        <v>#N/A</v>
      </c>
    </row>
    <row r="745" spans="1:30" ht="15.75" customHeight="1">
      <c r="A745" s="199" t="str">
        <f>IF(B745&lt;&gt;"",IF(AND(B745&gt;=_TM1,B745&lt;=_TM2,OR(TH!L745="1111",TH!M745="1111")),TH!D745,""),"")</f>
        <v/>
      </c>
      <c r="B745" s="36">
        <f t="shared" si="35"/>
        <v>1</v>
      </c>
      <c r="C745" s="190">
        <f t="shared" si="33"/>
        <v>0</v>
      </c>
      <c r="D745" s="190"/>
      <c r="E745" s="183"/>
      <c r="F745" s="188"/>
      <c r="G745" s="491"/>
      <c r="H745" s="7"/>
      <c r="I745" s="253"/>
      <c r="J745" s="253"/>
      <c r="K745" s="38"/>
      <c r="L745" s="193"/>
      <c r="M745" s="193"/>
      <c r="N745" s="39" t="str">
        <f>IF(AND('331-CT'!$E$7=TH!H745,OR(L745="331",M745="331")),"331",IF(AND(OR(L745="131",M745="131"),H745='131-CT'!$E$7),"131",""))</f>
        <v/>
      </c>
      <c r="O745" s="39" t="str">
        <f>IF(AND($B745&gt;='111'!$N$11,$B745&lt;='111'!$O$11,OR($L745=$O$7,$M745=$O$7)),"x","")</f>
        <v/>
      </c>
      <c r="P745" s="39" t="str">
        <f>IF(AND($L745=$O$7,$B745&lt;'111'!$N$11),"x","")</f>
        <v/>
      </c>
      <c r="Q745" s="39" t="str">
        <f>IF(AND($M745=$O$7,$B745&lt;'111'!$N$11),"x","")</f>
        <v/>
      </c>
      <c r="R745" s="39" t="str">
        <f>IF(ISERROR(FIND('112'!$M$9,G745,1)),"",IF((AND(FIND('112'!$M$9,G745,1)&gt;=1,$B745&gt;='112'!$N$8,$B745&lt;='112'!$O$8,OR($L745='112'!$I$6,$M745='112'!$I$6))),"x",""))</f>
        <v/>
      </c>
      <c r="S745" s="39" t="str">
        <f>IF(ISERROR(FIND('112'!$M$9,G745,1)),"",IF((AND(LEFT(G745,2)=LEFT('112'!$M$9,2),B745&lt;'112'!$N$8,$L745='112'!$I$6)),"x",""))</f>
        <v/>
      </c>
      <c r="T745" s="39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39" t="str">
        <f>IF(OR(TH!L745=TH!$V$7,M745=TH!$V$7),"x","")</f>
        <v/>
      </c>
      <c r="W745" s="39" t="str">
        <f>IF(AND(B745&gt;='IN-NX'!$P$3,B745&lt;='IN-NX'!$Q$3,'IN-NX'!$D$7=D745,OR(LEFT(L745,2)="15",AND(LEFT(M745,2)&lt;&gt;"15",LEFT(M745,2)&lt;&gt;"33"))),"x","")</f>
        <v/>
      </c>
      <c r="X745" s="39" t="str">
        <f>IF(AND(OR(LEFT(TH!L745,2)="15",LEFT(TH!M745,2)="15"),'152-CT'!$J$8=TH!F745),"x","")</f>
        <v/>
      </c>
      <c r="Y745" s="39" t="str">
        <f>IF(AND(OR(LEFT(TH!L745,2)="15",LEFT(TH!M745,2)="15"),TK!$E$7=TH!F745),"x","")</f>
        <v/>
      </c>
      <c r="Z745" s="39" t="str">
        <f>IF(AND(B745&lt;=NKC!$N$8,B745&gt;=NKC!$M$8),"x","")</f>
        <v/>
      </c>
      <c r="AA745" s="894"/>
      <c r="AB745" s="598" t="e">
        <f t="shared" si="34"/>
        <v>#N/A</v>
      </c>
    </row>
    <row r="746" spans="1:30" ht="15.75" customHeight="1">
      <c r="A746" s="199" t="str">
        <f>IF(B746&lt;&gt;"",IF(AND(B746&gt;=_TM1,B746&lt;=_TM2,OR(TH!L746="1111",TH!M746="1111")),TH!D746,""),"")</f>
        <v/>
      </c>
      <c r="B746" s="36">
        <f t="shared" si="35"/>
        <v>1</v>
      </c>
      <c r="C746" s="190">
        <f t="shared" si="33"/>
        <v>0</v>
      </c>
      <c r="D746" s="190"/>
      <c r="E746" s="183"/>
      <c r="F746" s="188"/>
      <c r="G746" s="491"/>
      <c r="H746" s="7"/>
      <c r="I746" s="253"/>
      <c r="J746" s="253"/>
      <c r="K746" s="38"/>
      <c r="L746" s="193"/>
      <c r="M746" s="193"/>
      <c r="N746" s="39" t="str">
        <f>IF(AND('331-CT'!$E$7=TH!H746,OR(L746="331",M746="331")),"331",IF(AND(OR(L746="131",M746="131"),H746='131-CT'!$E$7),"131",""))</f>
        <v/>
      </c>
      <c r="O746" s="39" t="str">
        <f>IF(AND($B746&gt;='111'!$N$11,$B746&lt;='111'!$O$11,OR($L746=$O$7,$M746=$O$7)),"x","")</f>
        <v/>
      </c>
      <c r="P746" s="39" t="str">
        <f>IF(AND($L746=$O$7,$B746&lt;'111'!$N$11),"x","")</f>
        <v/>
      </c>
      <c r="Q746" s="39" t="str">
        <f>IF(AND($M746=$O$7,$B746&lt;'111'!$N$11),"x","")</f>
        <v/>
      </c>
      <c r="R746" s="39" t="str">
        <f>IF(ISERROR(FIND('112'!$M$9,G746,1)),"",IF((AND(FIND('112'!$M$9,G746,1)&gt;=1,$B746&gt;='112'!$N$8,$B746&lt;='112'!$O$8,OR($L746='112'!$I$6,$M746='112'!$I$6))),"x",""))</f>
        <v/>
      </c>
      <c r="S746" s="39" t="str">
        <f>IF(ISERROR(FIND('112'!$M$9,G746,1)),"",IF((AND(LEFT(G746,2)=LEFT('112'!$M$9,2),B746&lt;'112'!$N$8,$L746='112'!$I$6)),"x",""))</f>
        <v/>
      </c>
      <c r="T746" s="39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39" t="str">
        <f>IF(OR(TH!L746=TH!$V$7,M746=TH!$V$7),"x","")</f>
        <v/>
      </c>
      <c r="W746" s="39" t="str">
        <f>IF(AND(B746&gt;='IN-NX'!$P$3,B746&lt;='IN-NX'!$Q$3,'IN-NX'!$D$7=D746,OR(LEFT(L746,2)="15",AND(LEFT(M746,2)&lt;&gt;"15",LEFT(M746,2)&lt;&gt;"33"))),"x","")</f>
        <v/>
      </c>
      <c r="X746" s="39" t="str">
        <f>IF(AND(OR(LEFT(TH!L746,2)="15",LEFT(TH!M746,2)="15"),'152-CT'!$J$8=TH!F746),"x","")</f>
        <v/>
      </c>
      <c r="Y746" s="39" t="str">
        <f>IF(AND(OR(LEFT(TH!L746,2)="15",LEFT(TH!M746,2)="15"),TK!$E$7=TH!F746),"x","")</f>
        <v/>
      </c>
      <c r="Z746" s="39" t="str">
        <f>IF(AND(B746&lt;=NKC!$N$8,B746&gt;=NKC!$M$8),"x","")</f>
        <v/>
      </c>
      <c r="AA746" s="894"/>
      <c r="AB746" s="598" t="e">
        <f t="shared" si="34"/>
        <v>#N/A</v>
      </c>
    </row>
    <row r="747" spans="1:30" ht="15.75" customHeight="1">
      <c r="A747" s="199" t="str">
        <f>IF(B747&lt;&gt;"",IF(AND(B747&gt;=_TM1,B747&lt;=_TM2,OR(TH!L747="1111",TH!M747="1111")),TH!D747,""),"")</f>
        <v/>
      </c>
      <c r="B747" s="36">
        <f t="shared" si="35"/>
        <v>1</v>
      </c>
      <c r="C747" s="190">
        <f t="shared" si="33"/>
        <v>0</v>
      </c>
      <c r="D747" s="190"/>
      <c r="E747" s="183"/>
      <c r="F747" s="188"/>
      <c r="G747" s="491"/>
      <c r="H747" s="7"/>
      <c r="I747" s="253"/>
      <c r="J747" s="253"/>
      <c r="K747" s="38"/>
      <c r="L747" s="193"/>
      <c r="M747" s="193"/>
      <c r="N747" s="39" t="str">
        <f>IF(AND('331-CT'!$E$7=TH!H747,OR(L747="331",M747="331")),"331",IF(AND(OR(L747="131",M747="131"),H747='131-CT'!$E$7),"131",""))</f>
        <v/>
      </c>
      <c r="O747" s="39" t="str">
        <f>IF(AND($B747&gt;='111'!$N$11,$B747&lt;='111'!$O$11,OR($L747=$O$7,$M747=$O$7)),"x","")</f>
        <v/>
      </c>
      <c r="P747" s="39" t="str">
        <f>IF(AND($L747=$O$7,$B747&lt;'111'!$N$11),"x","")</f>
        <v/>
      </c>
      <c r="Q747" s="39" t="str">
        <f>IF(AND($M747=$O$7,$B747&lt;'111'!$N$11),"x","")</f>
        <v/>
      </c>
      <c r="R747" s="39" t="str">
        <f>IF(ISERROR(FIND('112'!$M$9,G747,1)),"",IF((AND(FIND('112'!$M$9,G747,1)&gt;=1,$B747&gt;='112'!$N$8,$B747&lt;='112'!$O$8,OR($L747='112'!$I$6,$M747='112'!$I$6))),"x",""))</f>
        <v/>
      </c>
      <c r="S747" s="39" t="str">
        <f>IF(ISERROR(FIND('112'!$M$9,G747,1)),"",IF((AND(LEFT(G747,2)=LEFT('112'!$M$9,2),B747&lt;'112'!$N$8,$L747='112'!$I$6)),"x",""))</f>
        <v/>
      </c>
      <c r="T747" s="39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39" t="str">
        <f>IF(OR(TH!L747=TH!$V$7,M747=TH!$V$7),"x","")</f>
        <v/>
      </c>
      <c r="W747" s="39" t="str">
        <f>IF(AND(B747&gt;='IN-NX'!$P$3,B747&lt;='IN-NX'!$Q$3,'IN-NX'!$D$7=D747,OR(LEFT(L747,2)="15",AND(LEFT(M747,2)&lt;&gt;"15",LEFT(M747,2)&lt;&gt;"33"))),"x","")</f>
        <v/>
      </c>
      <c r="X747" s="39" t="str">
        <f>IF(AND(OR(LEFT(TH!L747,2)="15",LEFT(TH!M747,2)="15"),'152-CT'!$J$8=TH!F747),"x","")</f>
        <v/>
      </c>
      <c r="Y747" s="39" t="str">
        <f>IF(AND(OR(LEFT(TH!L747,2)="15",LEFT(TH!M747,2)="15"),TK!$E$7=TH!F747),"x","")</f>
        <v/>
      </c>
      <c r="Z747" s="39" t="str">
        <f>IF(AND(B747&lt;=NKC!$N$8,B747&gt;=NKC!$M$8),"x","")</f>
        <v/>
      </c>
      <c r="AA747" s="894"/>
      <c r="AB747" s="598" t="e">
        <f t="shared" si="34"/>
        <v>#N/A</v>
      </c>
    </row>
    <row r="748" spans="1:30" ht="15.75" customHeight="1">
      <c r="A748" s="199" t="str">
        <f>IF(B748&lt;&gt;"",IF(AND(B748&gt;=_TM1,B748&lt;=_TM2,OR(TH!L748="1111",TH!M748="1111")),TH!D748,""),"")</f>
        <v/>
      </c>
      <c r="B748" s="36">
        <f t="shared" si="35"/>
        <v>1</v>
      </c>
      <c r="C748" s="190">
        <f t="shared" si="33"/>
        <v>0</v>
      </c>
      <c r="D748" s="190"/>
      <c r="E748" s="183"/>
      <c r="F748" s="188"/>
      <c r="G748" s="491"/>
      <c r="H748" s="7"/>
      <c r="I748" s="253"/>
      <c r="J748" s="253"/>
      <c r="K748" s="606"/>
      <c r="L748" s="193"/>
      <c r="M748" s="193"/>
      <c r="N748" s="39" t="str">
        <f>IF(AND('331-CT'!$E$7=TH!H748,OR(L748="331",M748="331")),"331",IF(AND(OR(L748="131",M748="131"),H748='131-CT'!$E$7),"131",""))</f>
        <v/>
      </c>
      <c r="O748" s="39" t="str">
        <f>IF(AND($B748&gt;='111'!$N$11,$B748&lt;='111'!$O$11,OR($L748=$O$7,$M748=$O$7)),"x","")</f>
        <v/>
      </c>
      <c r="P748" s="39" t="str">
        <f>IF(AND($L748=$O$7,$B748&lt;'111'!$N$11),"x","")</f>
        <v/>
      </c>
      <c r="Q748" s="39" t="str">
        <f>IF(AND($M748=$O$7,$B748&lt;'111'!$N$11),"x","")</f>
        <v/>
      </c>
      <c r="R748" s="39" t="str">
        <f>IF(ISERROR(FIND('112'!$M$9,G748,1)),"",IF((AND(FIND('112'!$M$9,G748,1)&gt;=1,$B748&gt;='112'!$N$8,$B748&lt;='112'!$O$8,OR($L748='112'!$I$6,$M748='112'!$I$6))),"x",""))</f>
        <v/>
      </c>
      <c r="S748" s="39" t="str">
        <f>IF(ISERROR(FIND('112'!$M$9,G748,1)),"",IF((AND(LEFT(G748,2)=LEFT('112'!$M$9,2),B748&lt;'112'!$N$8,$L748='112'!$I$6)),"x",""))</f>
        <v/>
      </c>
      <c r="T748" s="39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39" t="str">
        <f>IF(OR(TH!L748=TH!$V$7,M748=TH!$V$7),"x","")</f>
        <v/>
      </c>
      <c r="W748" s="39" t="str">
        <f>IF(AND(B748&gt;='IN-NX'!$P$3,B748&lt;='IN-NX'!$Q$3,'IN-NX'!$D$7=D748,OR(LEFT(L748,2)="15",AND(LEFT(M748,2)&lt;&gt;"15",LEFT(M748,2)&lt;&gt;"33"))),"x","")</f>
        <v/>
      </c>
      <c r="X748" s="39" t="str">
        <f>IF(AND(OR(LEFT(TH!L748,2)="15",LEFT(TH!M748,2)="15"),'152-CT'!$J$8=TH!F748),"x","")</f>
        <v/>
      </c>
      <c r="Y748" s="39" t="str">
        <f>IF(AND(OR(LEFT(TH!L748,2)="15",LEFT(TH!M748,2)="15"),TK!$E$7=TH!F748),"x","")</f>
        <v/>
      </c>
      <c r="Z748" s="39" t="str">
        <f>IF(AND(B748&lt;=NKC!$N$8,B748&gt;=NKC!$M$8),"x","")</f>
        <v/>
      </c>
      <c r="AA748" s="894"/>
      <c r="AB748" s="598" t="e">
        <f t="shared" si="34"/>
        <v>#N/A</v>
      </c>
    </row>
    <row r="749" spans="1:30" ht="15.75" customHeight="1">
      <c r="A749" s="199" t="str">
        <f>IF(B749&lt;&gt;"",IF(AND(B749&gt;=_TM1,B749&lt;=_TM2,OR(TH!L749="1111",TH!M749="1111")),TH!D749,""),"")</f>
        <v/>
      </c>
      <c r="B749" s="36">
        <f t="shared" si="35"/>
        <v>1</v>
      </c>
      <c r="C749" s="190">
        <f t="shared" si="33"/>
        <v>0</v>
      </c>
      <c r="D749" s="190"/>
      <c r="E749" s="183"/>
      <c r="F749" s="188"/>
      <c r="G749" s="491"/>
      <c r="H749" s="7"/>
      <c r="I749" s="253"/>
      <c r="J749" s="253"/>
      <c r="K749" s="38"/>
      <c r="L749" s="193"/>
      <c r="M749" s="193"/>
      <c r="N749" s="39" t="str">
        <f>IF(AND('331-CT'!$E$7=TH!H749,OR(L749="331",M749="331")),"331",IF(AND(OR(L749="131",M749="131"),H749='131-CT'!$E$7),"131",""))</f>
        <v/>
      </c>
      <c r="O749" s="39" t="str">
        <f>IF(AND($B749&gt;='111'!$N$11,$B749&lt;='111'!$O$11,OR($L749=$O$7,$M749=$O$7)),"x","")</f>
        <v/>
      </c>
      <c r="P749" s="39" t="str">
        <f>IF(AND($L749=$O$7,$B749&lt;'111'!$N$11),"x","")</f>
        <v/>
      </c>
      <c r="Q749" s="39" t="str">
        <f>IF(AND($M749=$O$7,$B749&lt;'111'!$N$11),"x","")</f>
        <v/>
      </c>
      <c r="R749" s="39" t="str">
        <f>IF(ISERROR(FIND('112'!$M$9,G749,1)),"",IF((AND(FIND('112'!$M$9,G749,1)&gt;=1,$B749&gt;='112'!$N$8,$B749&lt;='112'!$O$8,OR($L749='112'!$I$6,$M749='112'!$I$6))),"x",""))</f>
        <v/>
      </c>
      <c r="S749" s="39" t="str">
        <f>IF(ISERROR(FIND('112'!$M$9,G749,1)),"",IF((AND(LEFT(G749,2)=LEFT('112'!$M$9,2),B749&lt;'112'!$N$8,$L749='112'!$I$6)),"x",""))</f>
        <v/>
      </c>
      <c r="T749" s="39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39" t="str">
        <f>IF(OR(TH!L749=TH!$V$7,M749=TH!$V$7),"x","")</f>
        <v/>
      </c>
      <c r="W749" s="39" t="str">
        <f>IF(AND(B749&gt;='IN-NX'!$P$3,B749&lt;='IN-NX'!$Q$3,'IN-NX'!$D$7=D749,OR(LEFT(L749,2)="15",AND(LEFT(M749,2)&lt;&gt;"15",LEFT(M749,2)&lt;&gt;"33"))),"x","")</f>
        <v/>
      </c>
      <c r="X749" s="39" t="str">
        <f>IF(AND(OR(LEFT(TH!L749,2)="15",LEFT(TH!M749,2)="15"),'152-CT'!$J$8=TH!F749),"x","")</f>
        <v/>
      </c>
      <c r="Y749" s="39" t="str">
        <f>IF(AND(OR(LEFT(TH!L749,2)="15",LEFT(TH!M749,2)="15"),TK!$E$7=TH!F749),"x","")</f>
        <v/>
      </c>
      <c r="Z749" s="39" t="str">
        <f>IF(AND(B749&lt;=NKC!$N$8,B749&gt;=NKC!$M$8),"x","")</f>
        <v/>
      </c>
      <c r="AA749" s="894"/>
      <c r="AB749" s="598" t="e">
        <f t="shared" si="34"/>
        <v>#N/A</v>
      </c>
    </row>
    <row r="750" spans="1:30" ht="15.75" customHeight="1">
      <c r="A750" s="199" t="str">
        <f>IF(B750&lt;&gt;"",IF(AND(B750&gt;=_TM1,B750&lt;=_TM2,OR(TH!L750="1111",TH!M750="1111")),TH!D750,""),"")</f>
        <v/>
      </c>
      <c r="B750" s="36">
        <f t="shared" si="35"/>
        <v>1</v>
      </c>
      <c r="C750" s="190">
        <f t="shared" si="33"/>
        <v>0</v>
      </c>
      <c r="D750" s="190"/>
      <c r="E750" s="183"/>
      <c r="F750" s="188"/>
      <c r="G750" s="491"/>
      <c r="H750" s="7"/>
      <c r="I750" s="253"/>
      <c r="J750" s="253"/>
      <c r="K750" s="38"/>
      <c r="L750" s="193"/>
      <c r="M750" s="193"/>
      <c r="N750" s="39" t="str">
        <f>IF(AND('331-CT'!$E$7=TH!H750,OR(L750="331",M750="331")),"331",IF(AND(OR(L750="131",M750="131"),H750='131-CT'!$E$7),"131",""))</f>
        <v/>
      </c>
      <c r="O750" s="39" t="str">
        <f>IF(AND($B750&gt;='111'!$N$11,$B750&lt;='111'!$O$11,OR($L750=$O$7,$M750=$O$7)),"x","")</f>
        <v/>
      </c>
      <c r="P750" s="39" t="str">
        <f>IF(AND($L750=$O$7,$B750&lt;'111'!$N$11),"x","")</f>
        <v/>
      </c>
      <c r="Q750" s="39" t="str">
        <f>IF(AND($M750=$O$7,$B750&lt;'111'!$N$11),"x","")</f>
        <v/>
      </c>
      <c r="R750" s="39" t="str">
        <f>IF(ISERROR(FIND('112'!$M$9,G750,1)),"",IF((AND(FIND('112'!$M$9,G750,1)&gt;=1,$B750&gt;='112'!$N$8,$B750&lt;='112'!$O$8,OR($L750='112'!$I$6,$M750='112'!$I$6))),"x",""))</f>
        <v/>
      </c>
      <c r="S750" s="39" t="str">
        <f>IF(ISERROR(FIND('112'!$M$9,G750,1)),"",IF((AND(LEFT(G750,2)=LEFT('112'!$M$9,2),B750&lt;'112'!$N$8,$L750='112'!$I$6)),"x",""))</f>
        <v/>
      </c>
      <c r="T750" s="39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39" t="str">
        <f>IF(OR(TH!L750=TH!$V$7,M750=TH!$V$7),"x","")</f>
        <v/>
      </c>
      <c r="W750" s="39" t="str">
        <f>IF(AND(B750&gt;='IN-NX'!$P$3,B750&lt;='IN-NX'!$Q$3,'IN-NX'!$D$7=D750,OR(LEFT(L750,2)="15",AND(LEFT(M750,2)&lt;&gt;"15",LEFT(M750,2)&lt;&gt;"33"))),"x","")</f>
        <v/>
      </c>
      <c r="X750" s="39" t="str">
        <f>IF(AND(OR(LEFT(TH!L750,2)="15",LEFT(TH!M750,2)="15"),'152-CT'!$J$8=TH!F750),"x","")</f>
        <v/>
      </c>
      <c r="Y750" s="39" t="str">
        <f>IF(AND(OR(LEFT(TH!L750,2)="15",LEFT(TH!M750,2)="15"),TK!$E$7=TH!F750),"x","")</f>
        <v/>
      </c>
      <c r="Z750" s="39" t="str">
        <f>IF(AND(B750&lt;=NKC!$N$8,B750&gt;=NKC!$M$8),"x","")</f>
        <v/>
      </c>
      <c r="AA750" s="894"/>
      <c r="AB750" s="598" t="e">
        <f t="shared" si="34"/>
        <v>#N/A</v>
      </c>
    </row>
    <row r="751" spans="1:30" ht="15.75" customHeight="1">
      <c r="A751" s="199" t="str">
        <f>IF(B751&lt;&gt;"",IF(AND(B751&gt;=_TM1,B751&lt;=_TM2,OR(TH!L751="1111",TH!M751="1111")),TH!D751,""),"")</f>
        <v/>
      </c>
      <c r="B751" s="36">
        <f t="shared" si="35"/>
        <v>1</v>
      </c>
      <c r="C751" s="190">
        <f t="shared" si="33"/>
        <v>0</v>
      </c>
      <c r="D751" s="190"/>
      <c r="E751" s="183"/>
      <c r="F751" s="188"/>
      <c r="G751" s="491"/>
      <c r="H751" s="7"/>
      <c r="I751" s="253"/>
      <c r="J751" s="253"/>
      <c r="K751" s="38"/>
      <c r="L751" s="193"/>
      <c r="M751" s="193"/>
      <c r="N751" s="39" t="str">
        <f>IF(AND('331-CT'!$E$7=TH!H751,OR(L751="331",M751="331")),"331",IF(AND(OR(L751="131",M751="131"),H751='131-CT'!$E$7),"131",""))</f>
        <v/>
      </c>
      <c r="O751" s="39" t="str">
        <f>IF(AND($B751&gt;='111'!$N$11,$B751&lt;='111'!$O$11,OR($L751=$O$7,$M751=$O$7)),"x","")</f>
        <v/>
      </c>
      <c r="P751" s="39" t="str">
        <f>IF(AND($L751=$O$7,$B751&lt;'111'!$N$11),"x","")</f>
        <v/>
      </c>
      <c r="Q751" s="39" t="str">
        <f>IF(AND($M751=$O$7,$B751&lt;'111'!$N$11),"x","")</f>
        <v/>
      </c>
      <c r="R751" s="39" t="str">
        <f>IF(ISERROR(FIND('112'!$M$9,G751,1)),"",IF((AND(FIND('112'!$M$9,G751,1)&gt;=1,$B751&gt;='112'!$N$8,$B751&lt;='112'!$O$8,OR($L751='112'!$I$6,$M751='112'!$I$6))),"x",""))</f>
        <v/>
      </c>
      <c r="S751" s="39" t="str">
        <f>IF(ISERROR(FIND('112'!$M$9,G751,1)),"",IF((AND(LEFT(G751,2)=LEFT('112'!$M$9,2),B751&lt;'112'!$N$8,$L751='112'!$I$6)),"x",""))</f>
        <v/>
      </c>
      <c r="T751" s="39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39" t="str">
        <f>IF(OR(TH!L751=TH!$V$7,M751=TH!$V$7),"x","")</f>
        <v/>
      </c>
      <c r="W751" s="39" t="str">
        <f>IF(AND(B751&gt;='IN-NX'!$P$3,B751&lt;='IN-NX'!$Q$3,'IN-NX'!$D$7=D751,OR(LEFT(L751,2)="15",AND(LEFT(M751,2)&lt;&gt;"15",LEFT(M751,2)&lt;&gt;"33"))),"x","")</f>
        <v/>
      </c>
      <c r="X751" s="39" t="str">
        <f>IF(AND(OR(LEFT(TH!L751,2)="15",LEFT(TH!M751,2)="15"),'152-CT'!$J$8=TH!F751),"x","")</f>
        <v/>
      </c>
      <c r="Y751" s="39" t="str">
        <f>IF(AND(OR(LEFT(TH!L751,2)="15",LEFT(TH!M751,2)="15"),TK!$E$7=TH!F751),"x","")</f>
        <v/>
      </c>
      <c r="Z751" s="39" t="str">
        <f>IF(AND(B751&lt;=NKC!$N$8,B751&gt;=NKC!$M$8),"x","")</f>
        <v/>
      </c>
      <c r="AA751" s="894"/>
      <c r="AB751" s="598" t="e">
        <f t="shared" si="34"/>
        <v>#N/A</v>
      </c>
    </row>
    <row r="752" spans="1:30" ht="15.75" customHeight="1">
      <c r="A752" s="199" t="str">
        <f>IF(B752&lt;&gt;"",IF(AND(B752&gt;=_TM1,B752&lt;=_TM2,OR(TH!L752="1111",TH!M752="1111")),TH!D752,""),"")</f>
        <v/>
      </c>
      <c r="B752" s="36">
        <f t="shared" si="35"/>
        <v>1</v>
      </c>
      <c r="C752" s="190">
        <f t="shared" si="33"/>
        <v>0</v>
      </c>
      <c r="D752" s="190"/>
      <c r="E752" s="183"/>
      <c r="F752" s="188"/>
      <c r="G752" s="491"/>
      <c r="H752" s="7"/>
      <c r="I752" s="253"/>
      <c r="J752" s="253"/>
      <c r="K752" s="38"/>
      <c r="L752" s="193"/>
      <c r="M752" s="193"/>
      <c r="N752" s="39" t="str">
        <f>IF(AND('331-CT'!$E$7=TH!H752,OR(L752="331",M752="331")),"331",IF(AND(OR(L752="131",M752="131"),H752='131-CT'!$E$7),"131",""))</f>
        <v/>
      </c>
      <c r="O752" s="39" t="str">
        <f>IF(AND($B752&gt;='111'!$N$11,$B752&lt;='111'!$O$11,OR($L752=$O$7,$M752=$O$7)),"x","")</f>
        <v/>
      </c>
      <c r="P752" s="39" t="str">
        <f>IF(AND($L752=$O$7,$B752&lt;'111'!$N$11),"x","")</f>
        <v/>
      </c>
      <c r="Q752" s="39" t="str">
        <f>IF(AND($M752=$O$7,$B752&lt;'111'!$N$11),"x","")</f>
        <v/>
      </c>
      <c r="R752" s="39" t="str">
        <f>IF(ISERROR(FIND('112'!$M$9,G752,1)),"",IF((AND(FIND('112'!$M$9,G752,1)&gt;=1,$B752&gt;='112'!$N$8,$B752&lt;='112'!$O$8,OR($L752='112'!$I$6,$M752='112'!$I$6))),"x",""))</f>
        <v/>
      </c>
      <c r="S752" s="39" t="str">
        <f>IF(ISERROR(FIND('112'!$M$9,G752,1)),"",IF((AND(LEFT(G752,2)=LEFT('112'!$M$9,2),B752&lt;'112'!$N$8,$L752='112'!$I$6)),"x",""))</f>
        <v/>
      </c>
      <c r="T752" s="39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39" t="str">
        <f>IF(OR(TH!L752=TH!$V$7,M752=TH!$V$7),"x","")</f>
        <v/>
      </c>
      <c r="W752" s="39" t="str">
        <f>IF(AND(B752&gt;='IN-NX'!$P$3,B752&lt;='IN-NX'!$Q$3,'IN-NX'!$D$7=D752,OR(LEFT(L752,2)="15",AND(LEFT(M752,2)&lt;&gt;"15",LEFT(M752,2)&lt;&gt;"33"))),"x","")</f>
        <v/>
      </c>
      <c r="X752" s="39" t="str">
        <f>IF(AND(OR(LEFT(TH!L752,2)="15",LEFT(TH!M752,2)="15"),'152-CT'!$J$8=TH!F752),"x","")</f>
        <v/>
      </c>
      <c r="Y752" s="39" t="str">
        <f>IF(AND(OR(LEFT(TH!L752,2)="15",LEFT(TH!M752,2)="15"),TK!$E$7=TH!F752),"x","")</f>
        <v/>
      </c>
      <c r="Z752" s="39" t="str">
        <f>IF(AND(B752&lt;=NKC!$N$8,B752&gt;=NKC!$M$8),"x","")</f>
        <v/>
      </c>
      <c r="AA752" s="894"/>
      <c r="AB752" s="598" t="e">
        <f t="shared" si="34"/>
        <v>#N/A</v>
      </c>
    </row>
    <row r="753" spans="1:28" ht="15.75" customHeight="1">
      <c r="A753" s="199" t="str">
        <f>IF(B753&lt;&gt;"",IF(AND(B753&gt;=_TM1,B753&lt;=_TM2,OR(TH!L753="1111",TH!M753="1111")),TH!D753,""),"")</f>
        <v/>
      </c>
      <c r="B753" s="36">
        <f t="shared" si="35"/>
        <v>1</v>
      </c>
      <c r="C753" s="190">
        <f t="shared" si="33"/>
        <v>0</v>
      </c>
      <c r="D753" s="190"/>
      <c r="E753" s="183"/>
      <c r="F753" s="191"/>
      <c r="G753" s="491"/>
      <c r="H753" s="7"/>
      <c r="I753" s="253"/>
      <c r="J753" s="253"/>
      <c r="K753" s="38"/>
      <c r="L753" s="193"/>
      <c r="M753" s="193"/>
      <c r="N753" s="39" t="str">
        <f>IF(AND('331-CT'!$E$7=TH!H753,OR(L753="331",M753="331")),"331",IF(AND(OR(L753="131",M753="131"),H753='131-CT'!$E$7),"131",""))</f>
        <v/>
      </c>
      <c r="O753" s="39" t="str">
        <f>IF(AND($B753&gt;='111'!$N$11,$B753&lt;='111'!$O$11,OR($L753=$O$7,$M753=$O$7)),"x","")</f>
        <v/>
      </c>
      <c r="P753" s="39" t="str">
        <f>IF(AND($L753=$O$7,$B753&lt;'111'!$N$11),"x","")</f>
        <v/>
      </c>
      <c r="Q753" s="39" t="str">
        <f>IF(AND($M753=$O$7,$B753&lt;'111'!$N$11),"x","")</f>
        <v/>
      </c>
      <c r="R753" s="39" t="str">
        <f>IF(ISERROR(FIND('112'!$M$9,G753,1)),"",IF((AND(FIND('112'!$M$9,G753,1)&gt;=1,$B753&gt;='112'!$N$8,$B753&lt;='112'!$O$8,OR($L753='112'!$I$6,$M753='112'!$I$6))),"x",""))</f>
        <v/>
      </c>
      <c r="S753" s="39" t="str">
        <f>IF(ISERROR(FIND('112'!$M$9,G753,1)),"",IF((AND(LEFT(G753,2)=LEFT('112'!$M$9,2),B753&lt;'112'!$N$8,$L753='112'!$I$6)),"x",""))</f>
        <v/>
      </c>
      <c r="T753" s="39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39" t="str">
        <f>IF(OR(TH!L753=TH!$V$7,M753=TH!$V$7),"x","")</f>
        <v/>
      </c>
      <c r="W753" s="39" t="str">
        <f>IF(AND(B753&gt;='IN-NX'!$P$3,B753&lt;='IN-NX'!$Q$3,'IN-NX'!$D$7=D753,OR(LEFT(L753,2)="15",AND(LEFT(M753,2)&lt;&gt;"15",LEFT(M753,2)&lt;&gt;"33"))),"x","")</f>
        <v/>
      </c>
      <c r="X753" s="39" t="str">
        <f>IF(AND(OR(LEFT(TH!L753,2)="15",LEFT(TH!M753,2)="15"),'152-CT'!$J$8=TH!F753),"x","")</f>
        <v/>
      </c>
      <c r="Y753" s="39" t="str">
        <f>IF(AND(OR(LEFT(TH!L753,2)="15",LEFT(TH!M753,2)="15"),TK!$E$7=TH!F753),"x","")</f>
        <v/>
      </c>
      <c r="Z753" s="39" t="str">
        <f>IF(AND(B753&lt;=NKC!$N$8,B753&gt;=NKC!$M$8),"x","")</f>
        <v/>
      </c>
      <c r="AA753" s="894"/>
      <c r="AB753" s="598" t="e">
        <f t="shared" si="34"/>
        <v>#N/A</v>
      </c>
    </row>
    <row r="754" spans="1:28" ht="15.75" customHeight="1">
      <c r="A754" s="199" t="str">
        <f>IF(B754&lt;&gt;"",IF(AND(B754&gt;=_TM1,B754&lt;=_TM2,OR(TH!L754="1111",TH!M754="1111")),TH!D754,""),"")</f>
        <v/>
      </c>
      <c r="B754" s="36">
        <f t="shared" si="35"/>
        <v>1</v>
      </c>
      <c r="C754" s="190">
        <f t="shared" si="33"/>
        <v>0</v>
      </c>
      <c r="D754" s="190"/>
      <c r="E754" s="183"/>
      <c r="F754" s="188"/>
      <c r="G754" s="491"/>
      <c r="H754" s="7"/>
      <c r="I754" s="253"/>
      <c r="J754" s="253"/>
      <c r="K754" s="38"/>
      <c r="L754" s="193"/>
      <c r="M754" s="193"/>
      <c r="N754" s="39" t="str">
        <f>IF(AND('331-CT'!$E$7=TH!H754,OR(L754="331",M754="331")),"331",IF(AND(OR(L754="131",M754="131"),H754='131-CT'!$E$7),"131",""))</f>
        <v/>
      </c>
      <c r="O754" s="39" t="str">
        <f>IF(AND($B754&gt;='111'!$N$11,$B754&lt;='111'!$O$11,OR($L754=$O$7,$M754=$O$7)),"x","")</f>
        <v/>
      </c>
      <c r="P754" s="39" t="str">
        <f>IF(AND($L754=$O$7,$B754&lt;'111'!$N$11),"x","")</f>
        <v/>
      </c>
      <c r="Q754" s="39" t="str">
        <f>IF(AND($M754=$O$7,$B754&lt;'111'!$N$11),"x","")</f>
        <v/>
      </c>
      <c r="R754" s="39" t="str">
        <f>IF(ISERROR(FIND('112'!$M$9,G754,1)),"",IF((AND(FIND('112'!$M$9,G754,1)&gt;=1,$B754&gt;='112'!$N$8,$B754&lt;='112'!$O$8,OR($L754='112'!$I$6,$M754='112'!$I$6))),"x",""))</f>
        <v/>
      </c>
      <c r="S754" s="39" t="str">
        <f>IF(ISERROR(FIND('112'!$M$9,G754,1)),"",IF((AND(LEFT(G754,2)=LEFT('112'!$M$9,2),B754&lt;'112'!$N$8,$L754='112'!$I$6)),"x",""))</f>
        <v/>
      </c>
      <c r="T754" s="39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39" t="str">
        <f>IF(OR(TH!L754=TH!$V$7,M754=TH!$V$7),"x","")</f>
        <v/>
      </c>
      <c r="W754" s="39" t="str">
        <f>IF(AND(B754&gt;='IN-NX'!$P$3,B754&lt;='IN-NX'!$Q$3,'IN-NX'!$D$7=D754,OR(LEFT(L754,2)="15",AND(LEFT(M754,2)&lt;&gt;"15",LEFT(M754,2)&lt;&gt;"33"))),"x","")</f>
        <v/>
      </c>
      <c r="X754" s="39" t="str">
        <f>IF(AND(OR(LEFT(TH!L754,2)="15",LEFT(TH!M754,2)="15"),'152-CT'!$J$8=TH!F754),"x","")</f>
        <v/>
      </c>
      <c r="Y754" s="39" t="str">
        <f>IF(AND(OR(LEFT(TH!L754,2)="15",LEFT(TH!M754,2)="15"),TK!$E$7=TH!F754),"x","")</f>
        <v/>
      </c>
      <c r="Z754" s="39" t="str">
        <f>IF(AND(B754&lt;=NKC!$N$8,B754&gt;=NKC!$M$8),"x","")</f>
        <v/>
      </c>
      <c r="AA754" s="894"/>
      <c r="AB754" s="598" t="e">
        <f t="shared" si="34"/>
        <v>#N/A</v>
      </c>
    </row>
    <row r="755" spans="1:28" ht="15.75" customHeight="1">
      <c r="A755" s="199" t="str">
        <f>IF(B755&lt;&gt;"",IF(AND(B755&gt;=_TM1,B755&lt;=_TM2,OR(TH!L755="1111",TH!M755="1111")),TH!D755,""),"")</f>
        <v/>
      </c>
      <c r="B755" s="36">
        <f t="shared" si="35"/>
        <v>1</v>
      </c>
      <c r="C755" s="190">
        <f t="shared" si="33"/>
        <v>0</v>
      </c>
      <c r="D755" s="190"/>
      <c r="E755" s="183"/>
      <c r="F755" s="188"/>
      <c r="G755" s="491"/>
      <c r="H755" s="7"/>
      <c r="I755" s="253"/>
      <c r="J755" s="253"/>
      <c r="K755" s="38"/>
      <c r="L755" s="193"/>
      <c r="M755" s="193"/>
      <c r="N755" s="39" t="str">
        <f>IF(AND('331-CT'!$E$7=TH!H755,OR(L755="331",M755="331")),"331",IF(AND(OR(L755="131",M755="131"),H755='131-CT'!$E$7),"131",""))</f>
        <v/>
      </c>
      <c r="O755" s="39" t="str">
        <f>IF(AND($B755&gt;='111'!$N$11,$B755&lt;='111'!$O$11,OR($L755=$O$7,$M755=$O$7)),"x","")</f>
        <v/>
      </c>
      <c r="P755" s="39" t="str">
        <f>IF(AND($L755=$O$7,$B755&lt;'111'!$N$11),"x","")</f>
        <v/>
      </c>
      <c r="Q755" s="39" t="str">
        <f>IF(AND($M755=$O$7,$B755&lt;'111'!$N$11),"x","")</f>
        <v/>
      </c>
      <c r="R755" s="39" t="str">
        <f>IF(ISERROR(FIND('112'!$M$9,G755,1)),"",IF((AND(FIND('112'!$M$9,G755,1)&gt;=1,$B755&gt;='112'!$N$8,$B755&lt;='112'!$O$8,OR($L755='112'!$I$6,$M755='112'!$I$6))),"x",""))</f>
        <v/>
      </c>
      <c r="S755" s="39" t="str">
        <f>IF(ISERROR(FIND('112'!$M$9,G755,1)),"",IF((AND(LEFT(G755,2)=LEFT('112'!$M$9,2),B755&lt;'112'!$N$8,$L755='112'!$I$6)),"x",""))</f>
        <v/>
      </c>
      <c r="T755" s="39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39" t="str">
        <f>IF(OR(TH!L755=TH!$V$7,M755=TH!$V$7),"x","")</f>
        <v/>
      </c>
      <c r="W755" s="39" t="str">
        <f>IF(AND(B755&gt;='IN-NX'!$P$3,B755&lt;='IN-NX'!$Q$3,'IN-NX'!$D$7=D755,OR(LEFT(L755,2)="15",AND(LEFT(M755,2)&lt;&gt;"15",LEFT(M755,2)&lt;&gt;"33"))),"x","")</f>
        <v/>
      </c>
      <c r="X755" s="39" t="str">
        <f>IF(AND(OR(LEFT(TH!L755,2)="15",LEFT(TH!M755,2)="15"),'152-CT'!$J$8=TH!F755),"x","")</f>
        <v/>
      </c>
      <c r="Y755" s="39" t="str">
        <f>IF(AND(OR(LEFT(TH!L755,2)="15",LEFT(TH!M755,2)="15"),TK!$E$7=TH!F755),"x","")</f>
        <v/>
      </c>
      <c r="Z755" s="39" t="str">
        <f>IF(AND(B755&lt;=NKC!$N$8,B755&gt;=NKC!$M$8),"x","")</f>
        <v/>
      </c>
      <c r="AA755" s="894"/>
      <c r="AB755" s="598" t="e">
        <f t="shared" si="34"/>
        <v>#N/A</v>
      </c>
    </row>
    <row r="756" spans="1:28" ht="15.75" customHeight="1">
      <c r="A756" s="199" t="str">
        <f>IF(B756&lt;&gt;"",IF(AND(B756&gt;=_TM1,B756&lt;=_TM2,OR(TH!L756="1111",TH!M756="1111")),TH!D756,""),"")</f>
        <v/>
      </c>
      <c r="B756" s="36">
        <f t="shared" si="35"/>
        <v>1</v>
      </c>
      <c r="C756" s="190">
        <f t="shared" si="33"/>
        <v>0</v>
      </c>
      <c r="D756" s="190"/>
      <c r="E756" s="183"/>
      <c r="F756" s="188"/>
      <c r="G756" s="491"/>
      <c r="H756" s="7"/>
      <c r="I756" s="253"/>
      <c r="J756" s="253"/>
      <c r="K756" s="38"/>
      <c r="L756" s="193"/>
      <c r="M756" s="193"/>
      <c r="N756" s="39" t="str">
        <f>IF(AND('331-CT'!$E$7=TH!H756,OR(L756="331",M756="331")),"331",IF(AND(OR(L756="131",M756="131"),H756='131-CT'!$E$7),"131",""))</f>
        <v/>
      </c>
      <c r="O756" s="39" t="str">
        <f>IF(AND($B756&gt;='111'!$N$11,$B756&lt;='111'!$O$11,OR($L756=$O$7,$M756=$O$7)),"x","")</f>
        <v/>
      </c>
      <c r="P756" s="39" t="str">
        <f>IF(AND($L756=$O$7,$B756&lt;'111'!$N$11),"x","")</f>
        <v/>
      </c>
      <c r="Q756" s="39" t="str">
        <f>IF(AND($M756=$O$7,$B756&lt;'111'!$N$11),"x","")</f>
        <v/>
      </c>
      <c r="R756" s="39" t="str">
        <f>IF(ISERROR(FIND('112'!$M$9,G756,1)),"",IF((AND(FIND('112'!$M$9,G756,1)&gt;=1,$B756&gt;='112'!$N$8,$B756&lt;='112'!$O$8,OR($L756='112'!$I$6,$M756='112'!$I$6))),"x",""))</f>
        <v/>
      </c>
      <c r="S756" s="39" t="str">
        <f>IF(ISERROR(FIND('112'!$M$9,G756,1)),"",IF((AND(LEFT(G756,2)=LEFT('112'!$M$9,2),B756&lt;'112'!$N$8,$L756='112'!$I$6)),"x",""))</f>
        <v/>
      </c>
      <c r="T756" s="39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39" t="str">
        <f>IF(OR(TH!L756=TH!$V$7,M756=TH!$V$7),"x","")</f>
        <v/>
      </c>
      <c r="W756" s="39" t="str">
        <f>IF(AND(B756&gt;='IN-NX'!$P$3,B756&lt;='IN-NX'!$Q$3,'IN-NX'!$D$7=D756,OR(LEFT(L756,2)="15",AND(LEFT(M756,2)&lt;&gt;"15",LEFT(M756,2)&lt;&gt;"33"))),"x","")</f>
        <v/>
      </c>
      <c r="X756" s="39" t="str">
        <f>IF(AND(OR(LEFT(TH!L756,2)="15",LEFT(TH!M756,2)="15"),'152-CT'!$J$8=TH!F756),"x","")</f>
        <v/>
      </c>
      <c r="Y756" s="39" t="str">
        <f>IF(AND(OR(LEFT(TH!L756,2)="15",LEFT(TH!M756,2)="15"),TK!$E$7=TH!F756),"x","")</f>
        <v/>
      </c>
      <c r="Z756" s="39" t="str">
        <f>IF(AND(B756&lt;=NKC!$N$8,B756&gt;=NKC!$M$8),"x","")</f>
        <v/>
      </c>
      <c r="AA756" s="894"/>
      <c r="AB756" s="598" t="e">
        <f t="shared" si="34"/>
        <v>#N/A</v>
      </c>
    </row>
    <row r="757" spans="1:28" ht="15.75" customHeight="1">
      <c r="A757" s="199" t="str">
        <f>IF(B757&lt;&gt;"",IF(AND(B757&gt;=_TM1,B757&lt;=_TM2,OR(TH!L757="1111",TH!M757="1111")),TH!D757,""),"")</f>
        <v/>
      </c>
      <c r="B757" s="36">
        <f t="shared" si="35"/>
        <v>1</v>
      </c>
      <c r="C757" s="190">
        <f t="shared" ref="C757:C794" si="36">E757</f>
        <v>0</v>
      </c>
      <c r="D757" s="190"/>
      <c r="E757" s="183"/>
      <c r="F757" s="188"/>
      <c r="G757" s="491"/>
      <c r="H757" s="7"/>
      <c r="I757" s="253"/>
      <c r="J757" s="253"/>
      <c r="K757" s="38"/>
      <c r="L757" s="193"/>
      <c r="M757" s="193"/>
      <c r="N757" s="39" t="str">
        <f>IF(AND('331-CT'!$E$7=TH!H757,OR(L757="331",M757="331")),"331",IF(AND(OR(L757="131",M757="131"),H757='131-CT'!$E$7),"131",""))</f>
        <v/>
      </c>
      <c r="O757" s="39" t="str">
        <f>IF(AND($B757&gt;='111'!$N$11,$B757&lt;='111'!$O$11,OR($L757=$O$7,$M757=$O$7)),"x","")</f>
        <v/>
      </c>
      <c r="P757" s="39" t="str">
        <f>IF(AND($L757=$O$7,$B757&lt;'111'!$N$11),"x","")</f>
        <v/>
      </c>
      <c r="Q757" s="39" t="str">
        <f>IF(AND($M757=$O$7,$B757&lt;'111'!$N$11),"x","")</f>
        <v/>
      </c>
      <c r="R757" s="39" t="str">
        <f>IF(ISERROR(FIND('112'!$M$9,G757,1)),"",IF((AND(FIND('112'!$M$9,G757,1)&gt;=1,$B757&gt;='112'!$N$8,$B757&lt;='112'!$O$8,OR($L757='112'!$I$6,$M757='112'!$I$6))),"x",""))</f>
        <v/>
      </c>
      <c r="S757" s="39" t="str">
        <f>IF(ISERROR(FIND('112'!$M$9,G757,1)),"",IF((AND(LEFT(G757,2)=LEFT('112'!$M$9,2),B757&lt;'112'!$N$8,$L757='112'!$I$6)),"x",""))</f>
        <v/>
      </c>
      <c r="T757" s="39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39" t="str">
        <f>IF(OR(TH!L757=TH!$V$7,M757=TH!$V$7),"x","")</f>
        <v/>
      </c>
      <c r="W757" s="39" t="str">
        <f>IF(AND(B757&gt;='IN-NX'!$P$3,B757&lt;='IN-NX'!$Q$3,'IN-NX'!$D$7=D757,OR(LEFT(L757,2)="15",AND(LEFT(M757,2)&lt;&gt;"15",LEFT(M757,2)&lt;&gt;"33"))),"x","")</f>
        <v/>
      </c>
      <c r="X757" s="39" t="str">
        <f>IF(AND(OR(LEFT(TH!L757,2)="15",LEFT(TH!M757,2)="15"),'152-CT'!$J$8=TH!F757),"x","")</f>
        <v/>
      </c>
      <c r="Y757" s="39" t="str">
        <f>IF(AND(OR(LEFT(TH!L757,2)="15",LEFT(TH!M757,2)="15"),TK!$E$7=TH!F757),"x","")</f>
        <v/>
      </c>
      <c r="Z757" s="39" t="str">
        <f>IF(AND(B757&lt;=NKC!$N$8,B757&gt;=NKC!$M$8),"x","")</f>
        <v/>
      </c>
      <c r="AA757" s="894"/>
      <c r="AB757" s="598" t="e">
        <f t="shared" si="34"/>
        <v>#N/A</v>
      </c>
    </row>
    <row r="758" spans="1:28" ht="15.75" customHeight="1">
      <c r="A758" s="199" t="str">
        <f>IF(B758&lt;&gt;"",IF(AND(B758&gt;=_TM1,B758&lt;=_TM2,OR(TH!L758="1111",TH!M758="1111")),TH!D758,""),"")</f>
        <v/>
      </c>
      <c r="B758" s="36">
        <f t="shared" si="35"/>
        <v>1</v>
      </c>
      <c r="C758" s="190">
        <f t="shared" si="36"/>
        <v>0</v>
      </c>
      <c r="D758" s="190"/>
      <c r="E758" s="183"/>
      <c r="F758" s="188"/>
      <c r="G758" s="491"/>
      <c r="H758" s="7"/>
      <c r="I758" s="253"/>
      <c r="J758" s="253"/>
      <c r="K758" s="606"/>
      <c r="L758" s="193"/>
      <c r="M758" s="193"/>
      <c r="N758" s="39" t="str">
        <f>IF(AND('331-CT'!$E$7=TH!H758,OR(L758="331",M758="331")),"331",IF(AND(OR(L758="131",M758="131"),H758='131-CT'!$E$7),"131",""))</f>
        <v/>
      </c>
      <c r="O758" s="39" t="str">
        <f>IF(AND($B758&gt;='111'!$N$11,$B758&lt;='111'!$O$11,OR($L758=$O$7,$M758=$O$7)),"x","")</f>
        <v/>
      </c>
      <c r="P758" s="39" t="str">
        <f>IF(AND($L758=$O$7,$B758&lt;'111'!$N$11),"x","")</f>
        <v/>
      </c>
      <c r="Q758" s="39" t="str">
        <f>IF(AND($M758=$O$7,$B758&lt;'111'!$N$11),"x","")</f>
        <v/>
      </c>
      <c r="R758" s="39" t="str">
        <f>IF(ISERROR(FIND('112'!$M$9,G758,1)),"",IF((AND(FIND('112'!$M$9,G758,1)&gt;=1,$B758&gt;='112'!$N$8,$B758&lt;='112'!$O$8,OR($L758='112'!$I$6,$M758='112'!$I$6))),"x",""))</f>
        <v/>
      </c>
      <c r="S758" s="39" t="str">
        <f>IF(ISERROR(FIND('112'!$M$9,G758,1)),"",IF((AND(LEFT(G758,2)=LEFT('112'!$M$9,2),B758&lt;'112'!$N$8,$L758='112'!$I$6)),"x",""))</f>
        <v/>
      </c>
      <c r="T758" s="39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39" t="str">
        <f>IF(OR(TH!L758=TH!$V$7,M758=TH!$V$7),"x","")</f>
        <v/>
      </c>
      <c r="W758" s="39" t="str">
        <f>IF(AND(B758&gt;='IN-NX'!$P$3,B758&lt;='IN-NX'!$Q$3,'IN-NX'!$D$7=D758,OR(LEFT(L758,2)="15",AND(LEFT(M758,2)&lt;&gt;"15",LEFT(M758,2)&lt;&gt;"33"))),"x","")</f>
        <v/>
      </c>
      <c r="X758" s="39" t="str">
        <f>IF(AND(OR(LEFT(TH!L758,2)="15",LEFT(TH!M758,2)="15"),'152-CT'!$J$8=TH!F758),"x","")</f>
        <v/>
      </c>
      <c r="Y758" s="39" t="str">
        <f>IF(AND(OR(LEFT(TH!L758,2)="15",LEFT(TH!M758,2)="15"),TK!$E$7=TH!F758),"x","")</f>
        <v/>
      </c>
      <c r="Z758" s="39" t="str">
        <f>IF(AND(B758&lt;=NKC!$N$8,B758&gt;=NKC!$M$8),"x","")</f>
        <v/>
      </c>
      <c r="AA758" s="894"/>
      <c r="AB758" s="598" t="e">
        <f t="shared" si="34"/>
        <v>#N/A</v>
      </c>
    </row>
    <row r="759" spans="1:28" ht="15.75" customHeight="1">
      <c r="A759" s="199" t="str">
        <f>IF(B759&lt;&gt;"",IF(AND(B759&gt;=_TM1,B759&lt;=_TM2,OR(TH!L759="1111",TH!M759="1111")),TH!D759,""),"")</f>
        <v/>
      </c>
      <c r="B759" s="36">
        <f t="shared" si="35"/>
        <v>1</v>
      </c>
      <c r="C759" s="190">
        <f t="shared" si="36"/>
        <v>0</v>
      </c>
      <c r="D759" s="190"/>
      <c r="E759" s="183"/>
      <c r="F759" s="191"/>
      <c r="G759" s="491"/>
      <c r="H759" s="7"/>
      <c r="I759" s="253"/>
      <c r="J759" s="253"/>
      <c r="K759" s="38"/>
      <c r="L759" s="193"/>
      <c r="M759" s="193"/>
      <c r="N759" s="39" t="str">
        <f>IF(AND('331-CT'!$E$7=TH!H759,OR(L759="331",M759="331")),"331",IF(AND(OR(L759="131",M759="131"),H759='131-CT'!$E$7),"131",""))</f>
        <v/>
      </c>
      <c r="O759" s="39" t="str">
        <f>IF(AND($B759&gt;='111'!$N$11,$B759&lt;='111'!$O$11,OR($L759=$O$7,$M759=$O$7)),"x","")</f>
        <v/>
      </c>
      <c r="P759" s="39" t="str">
        <f>IF(AND($L759=$O$7,$B759&lt;'111'!$N$11),"x","")</f>
        <v/>
      </c>
      <c r="Q759" s="39" t="str">
        <f>IF(AND($M759=$O$7,$B759&lt;'111'!$N$11),"x","")</f>
        <v/>
      </c>
      <c r="R759" s="39" t="str">
        <f>IF(ISERROR(FIND('112'!$M$9,G759,1)),"",IF((AND(FIND('112'!$M$9,G759,1)&gt;=1,$B759&gt;='112'!$N$8,$B759&lt;='112'!$O$8,OR($L759='112'!$I$6,$M759='112'!$I$6))),"x",""))</f>
        <v/>
      </c>
      <c r="S759" s="39" t="str">
        <f>IF(ISERROR(FIND('112'!$M$9,G759,1)),"",IF((AND(LEFT(G759,2)=LEFT('112'!$M$9,2),B759&lt;'112'!$N$8,$L759='112'!$I$6)),"x",""))</f>
        <v/>
      </c>
      <c r="T759" s="39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39" t="str">
        <f>IF(OR(TH!L759=TH!$V$7,M759=TH!$V$7),"x","")</f>
        <v/>
      </c>
      <c r="W759" s="39" t="str">
        <f>IF(AND(B759&gt;='IN-NX'!$P$3,B759&lt;='IN-NX'!$Q$3,'IN-NX'!$D$7=D759,OR(LEFT(L759,2)="15",AND(LEFT(M759,2)&lt;&gt;"15",LEFT(M759,2)&lt;&gt;"33"))),"x","")</f>
        <v/>
      </c>
      <c r="X759" s="39" t="str">
        <f>IF(AND(OR(LEFT(TH!L759,2)="15",LEFT(TH!M759,2)="15"),'152-CT'!$J$8=TH!F759),"x","")</f>
        <v/>
      </c>
      <c r="Y759" s="39" t="str">
        <f>IF(AND(OR(LEFT(TH!L759,2)="15",LEFT(TH!M759,2)="15"),TK!$E$7=TH!F759),"x","")</f>
        <v/>
      </c>
      <c r="Z759" s="39" t="str">
        <f>IF(AND(B759&lt;=NKC!$N$8,B759&gt;=NKC!$M$8),"x","")</f>
        <v/>
      </c>
      <c r="AA759" s="894"/>
      <c r="AB759" s="598" t="e">
        <f t="shared" si="34"/>
        <v>#N/A</v>
      </c>
    </row>
    <row r="760" spans="1:28" ht="15.75" customHeight="1">
      <c r="A760" s="199" t="str">
        <f>IF(B760&lt;&gt;"",IF(AND(B760&gt;=_TM1,B760&lt;=_TM2,OR(TH!L760="1111",TH!M760="1111")),TH!D760,""),"")</f>
        <v/>
      </c>
      <c r="B760" s="36">
        <f t="shared" si="35"/>
        <v>1</v>
      </c>
      <c r="C760" s="190">
        <f t="shared" si="36"/>
        <v>0</v>
      </c>
      <c r="D760" s="190"/>
      <c r="E760" s="183"/>
      <c r="F760" s="188"/>
      <c r="G760" s="491"/>
      <c r="H760" s="7"/>
      <c r="I760" s="253"/>
      <c r="J760" s="253"/>
      <c r="K760" s="38"/>
      <c r="L760" s="193"/>
      <c r="M760" s="193"/>
      <c r="N760" s="39" t="str">
        <f>IF(AND('331-CT'!$E$7=TH!H760,OR(L760="331",M760="331")),"331",IF(AND(OR(L760="131",M760="131"),H760='131-CT'!$E$7),"131",""))</f>
        <v/>
      </c>
      <c r="O760" s="39" t="str">
        <f>IF(AND($B760&gt;='111'!$N$11,$B760&lt;='111'!$O$11,OR($L760=$O$7,$M760=$O$7)),"x","")</f>
        <v/>
      </c>
      <c r="P760" s="39" t="str">
        <f>IF(AND($L760=$O$7,$B760&lt;'111'!$N$11),"x","")</f>
        <v/>
      </c>
      <c r="Q760" s="39" t="str">
        <f>IF(AND($M760=$O$7,$B760&lt;'111'!$N$11),"x","")</f>
        <v/>
      </c>
      <c r="R760" s="39" t="str">
        <f>IF(ISERROR(FIND('112'!$M$9,G760,1)),"",IF((AND(FIND('112'!$M$9,G760,1)&gt;=1,$B760&gt;='112'!$N$8,$B760&lt;='112'!$O$8,OR($L760='112'!$I$6,$M760='112'!$I$6))),"x",""))</f>
        <v/>
      </c>
      <c r="S760" s="39" t="str">
        <f>IF(ISERROR(FIND('112'!$M$9,G760,1)),"",IF((AND(LEFT(G760,2)=LEFT('112'!$M$9,2),B760&lt;'112'!$N$8,$L760='112'!$I$6)),"x",""))</f>
        <v/>
      </c>
      <c r="T760" s="39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39" t="str">
        <f>IF(OR(TH!L760=TH!$V$7,M760=TH!$V$7),"x","")</f>
        <v/>
      </c>
      <c r="W760" s="39" t="str">
        <f>IF(AND(B760&gt;='IN-NX'!$P$3,B760&lt;='IN-NX'!$Q$3,'IN-NX'!$D$7=D760,OR(LEFT(L760,2)="15",AND(LEFT(M760,2)&lt;&gt;"15",LEFT(M760,2)&lt;&gt;"33"))),"x","")</f>
        <v/>
      </c>
      <c r="X760" s="39" t="str">
        <f>IF(AND(OR(LEFT(TH!L760,2)="15",LEFT(TH!M760,2)="15"),'152-CT'!$J$8=TH!F760),"x","")</f>
        <v/>
      </c>
      <c r="Y760" s="39" t="str">
        <f>IF(AND(OR(LEFT(TH!L760,2)="15",LEFT(TH!M760,2)="15"),TK!$E$7=TH!F760),"x","")</f>
        <v/>
      </c>
      <c r="Z760" s="39" t="str">
        <f>IF(AND(B760&lt;=NKC!$N$8,B760&gt;=NKC!$M$8),"x","")</f>
        <v/>
      </c>
      <c r="AA760" s="894"/>
      <c r="AB760" s="598" t="e">
        <f t="shared" si="34"/>
        <v>#N/A</v>
      </c>
    </row>
    <row r="761" spans="1:28" ht="15.75" customHeight="1">
      <c r="A761" s="199" t="str">
        <f>IF(B761&lt;&gt;"",IF(AND(B761&gt;=_TM1,B761&lt;=_TM2,OR(TH!L761="1111",TH!M761="1111")),TH!D761,""),"")</f>
        <v/>
      </c>
      <c r="B761" s="36">
        <f t="shared" si="35"/>
        <v>1</v>
      </c>
      <c r="C761" s="190">
        <f t="shared" si="36"/>
        <v>0</v>
      </c>
      <c r="D761" s="190"/>
      <c r="E761" s="183"/>
      <c r="F761" s="188"/>
      <c r="G761" s="491"/>
      <c r="H761" s="7"/>
      <c r="I761" s="253"/>
      <c r="J761" s="253"/>
      <c r="K761" s="606"/>
      <c r="L761" s="193"/>
      <c r="M761" s="193"/>
      <c r="N761" s="39" t="str">
        <f>IF(AND('331-CT'!$E$7=TH!H761,OR(L761="331",M761="331")),"331",IF(AND(OR(L761="131",M761="131"),H761='131-CT'!$E$7),"131",""))</f>
        <v/>
      </c>
      <c r="O761" s="39" t="str">
        <f>IF(AND($B761&gt;='111'!$N$11,$B761&lt;='111'!$O$11,OR($L761=$O$7,$M761=$O$7)),"x","")</f>
        <v/>
      </c>
      <c r="P761" s="39" t="str">
        <f>IF(AND($L761=$O$7,$B761&lt;'111'!$N$11),"x","")</f>
        <v/>
      </c>
      <c r="Q761" s="39" t="str">
        <f>IF(AND($M761=$O$7,$B761&lt;'111'!$N$11),"x","")</f>
        <v/>
      </c>
      <c r="R761" s="39" t="str">
        <f>IF(ISERROR(FIND('112'!$M$9,G761,1)),"",IF((AND(FIND('112'!$M$9,G761,1)&gt;=1,$B761&gt;='112'!$N$8,$B761&lt;='112'!$O$8,OR($L761='112'!$I$6,$M761='112'!$I$6))),"x",""))</f>
        <v/>
      </c>
      <c r="S761" s="39" t="str">
        <f>IF(ISERROR(FIND('112'!$M$9,G761,1)),"",IF((AND(LEFT(G761,2)=LEFT('112'!$M$9,2),B761&lt;'112'!$N$8,$L761='112'!$I$6)),"x",""))</f>
        <v/>
      </c>
      <c r="T761" s="39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39" t="str">
        <f>IF(OR(TH!L761=TH!$V$7,M761=TH!$V$7),"x","")</f>
        <v/>
      </c>
      <c r="W761" s="39" t="str">
        <f>IF(AND(B761&gt;='IN-NX'!$P$3,B761&lt;='IN-NX'!$Q$3,'IN-NX'!$D$7=D761,OR(LEFT(L761,2)="15",AND(LEFT(M761,2)&lt;&gt;"15",LEFT(M761,2)&lt;&gt;"33"))),"x","")</f>
        <v/>
      </c>
      <c r="X761" s="39" t="str">
        <f>IF(AND(OR(LEFT(TH!L761,2)="15",LEFT(TH!M761,2)="15"),'152-CT'!$J$8=TH!F761),"x","")</f>
        <v/>
      </c>
      <c r="Y761" s="39" t="str">
        <f>IF(AND(OR(LEFT(TH!L761,2)="15",LEFT(TH!M761,2)="15"),TK!$E$7=TH!F761),"x","")</f>
        <v/>
      </c>
      <c r="Z761" s="39" t="str">
        <f>IF(AND(B761&lt;=NKC!$N$8,B761&gt;=NKC!$M$8),"x","")</f>
        <v/>
      </c>
      <c r="AA761" s="894"/>
      <c r="AB761" s="598" t="e">
        <f t="shared" si="34"/>
        <v>#N/A</v>
      </c>
    </row>
    <row r="762" spans="1:28" ht="15.75" customHeight="1">
      <c r="A762" s="199" t="str">
        <f>IF(B762&lt;&gt;"",IF(AND(B762&gt;=_TM1,B762&lt;=_TM2,OR(TH!L762="1111",TH!M762="1111")),TH!D762,""),"")</f>
        <v/>
      </c>
      <c r="B762" s="36">
        <f t="shared" si="35"/>
        <v>1</v>
      </c>
      <c r="C762" s="190">
        <f t="shared" si="36"/>
        <v>0</v>
      </c>
      <c r="D762" s="190"/>
      <c r="E762" s="183"/>
      <c r="F762" s="191"/>
      <c r="G762" s="491"/>
      <c r="H762" s="7"/>
      <c r="I762" s="253"/>
      <c r="J762" s="253"/>
      <c r="K762" s="38"/>
      <c r="L762" s="193"/>
      <c r="M762" s="193"/>
      <c r="N762" s="39" t="str">
        <f>IF(AND('331-CT'!$E$7=TH!H762,OR(L762="331",M762="331")),"331",IF(AND(OR(L762="131",M762="131"),H762='131-CT'!$E$7),"131",""))</f>
        <v/>
      </c>
      <c r="O762" s="39" t="str">
        <f>IF(AND($B762&gt;='111'!$N$11,$B762&lt;='111'!$O$11,OR($L762=$O$7,$M762=$O$7)),"x","")</f>
        <v/>
      </c>
      <c r="P762" s="39" t="str">
        <f>IF(AND($L762=$O$7,$B762&lt;'111'!$N$11),"x","")</f>
        <v/>
      </c>
      <c r="Q762" s="39" t="str">
        <f>IF(AND($M762=$O$7,$B762&lt;'111'!$N$11),"x","")</f>
        <v/>
      </c>
      <c r="R762" s="39" t="str">
        <f>IF(ISERROR(FIND('112'!$M$9,G762,1)),"",IF((AND(FIND('112'!$M$9,G762,1)&gt;=1,$B762&gt;='112'!$N$8,$B762&lt;='112'!$O$8,OR($L762='112'!$I$6,$M762='112'!$I$6))),"x",""))</f>
        <v/>
      </c>
      <c r="S762" s="39" t="str">
        <f>IF(ISERROR(FIND('112'!$M$9,G762,1)),"",IF((AND(LEFT(G762,2)=LEFT('112'!$M$9,2),B762&lt;'112'!$N$8,$L762='112'!$I$6)),"x",""))</f>
        <v/>
      </c>
      <c r="T762" s="39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39" t="str">
        <f>IF(OR(TH!L762=TH!$V$7,M762=TH!$V$7),"x","")</f>
        <v/>
      </c>
      <c r="W762" s="39" t="str">
        <f>IF(AND(B762&gt;='IN-NX'!$P$3,B762&lt;='IN-NX'!$Q$3,'IN-NX'!$D$7=D762,OR(LEFT(L762,2)="15",AND(LEFT(M762,2)&lt;&gt;"15",LEFT(M762,2)&lt;&gt;"33"))),"x","")</f>
        <v/>
      </c>
      <c r="X762" s="39" t="str">
        <f>IF(AND(OR(LEFT(TH!L762,2)="15",LEFT(TH!M762,2)="15"),'152-CT'!$J$8=TH!F762),"x","")</f>
        <v/>
      </c>
      <c r="Y762" s="39" t="str">
        <f>IF(AND(OR(LEFT(TH!L762,2)="15",LEFT(TH!M762,2)="15"),TK!$E$7=TH!F762),"x","")</f>
        <v/>
      </c>
      <c r="Z762" s="39" t="str">
        <f>IF(AND(B762&lt;=NKC!$N$8,B762&gt;=NKC!$M$8),"x","")</f>
        <v/>
      </c>
      <c r="AA762" s="894"/>
      <c r="AB762" s="598" t="e">
        <f t="shared" si="34"/>
        <v>#N/A</v>
      </c>
    </row>
    <row r="763" spans="1:28" ht="15.75" customHeight="1">
      <c r="A763" s="199" t="str">
        <f>IF(B763&lt;&gt;"",IF(AND(B763&gt;=_TM1,B763&lt;=_TM2,OR(TH!L763="1111",TH!M763="1111")),TH!D763,""),"")</f>
        <v/>
      </c>
      <c r="B763" s="36">
        <f t="shared" si="35"/>
        <v>1</v>
      </c>
      <c r="C763" s="190">
        <f t="shared" si="36"/>
        <v>0</v>
      </c>
      <c r="D763" s="190"/>
      <c r="E763" s="183"/>
      <c r="F763" s="188"/>
      <c r="G763" s="491"/>
      <c r="H763" s="7"/>
      <c r="I763" s="253"/>
      <c r="J763" s="253"/>
      <c r="K763" s="38"/>
      <c r="L763" s="193"/>
      <c r="M763" s="193"/>
      <c r="N763" s="39" t="str">
        <f>IF(AND('331-CT'!$E$7=TH!H763,OR(L763="331",M763="331")),"331",IF(AND(OR(L763="131",M763="131"),H763='131-CT'!$E$7),"131",""))</f>
        <v/>
      </c>
      <c r="O763" s="39" t="str">
        <f>IF(AND($B763&gt;='111'!$N$11,$B763&lt;='111'!$O$11,OR($L763=$O$7,$M763=$O$7)),"x","")</f>
        <v/>
      </c>
      <c r="P763" s="39" t="str">
        <f>IF(AND($L763=$O$7,$B763&lt;'111'!$N$11),"x","")</f>
        <v/>
      </c>
      <c r="Q763" s="39" t="str">
        <f>IF(AND($M763=$O$7,$B763&lt;'111'!$N$11),"x","")</f>
        <v/>
      </c>
      <c r="R763" s="39" t="str">
        <f>IF(ISERROR(FIND('112'!$M$9,G763,1)),"",IF((AND(FIND('112'!$M$9,G763,1)&gt;=1,$B763&gt;='112'!$N$8,$B763&lt;='112'!$O$8,OR($L763='112'!$I$6,$M763='112'!$I$6))),"x",""))</f>
        <v/>
      </c>
      <c r="S763" s="39" t="str">
        <f>IF(ISERROR(FIND('112'!$M$9,G763,1)),"",IF((AND(LEFT(G763,2)=LEFT('112'!$M$9,2),B763&lt;'112'!$N$8,$L763='112'!$I$6)),"x",""))</f>
        <v/>
      </c>
      <c r="T763" s="39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39" t="str">
        <f>IF(OR(TH!L763=TH!$V$7,M763=TH!$V$7),"x","")</f>
        <v/>
      </c>
      <c r="W763" s="39" t="str">
        <f>IF(AND(B763&gt;='IN-NX'!$P$3,B763&lt;='IN-NX'!$Q$3,'IN-NX'!$D$7=D763,OR(LEFT(L763,2)="15",AND(LEFT(M763,2)&lt;&gt;"15",LEFT(M763,2)&lt;&gt;"33"))),"x","")</f>
        <v/>
      </c>
      <c r="X763" s="39" t="str">
        <f>IF(AND(OR(LEFT(TH!L763,2)="15",LEFT(TH!M763,2)="15"),'152-CT'!$J$8=TH!F763),"x","")</f>
        <v/>
      </c>
      <c r="Y763" s="39" t="str">
        <f>IF(AND(OR(LEFT(TH!L763,2)="15",LEFT(TH!M763,2)="15"),TK!$E$7=TH!F763),"x","")</f>
        <v/>
      </c>
      <c r="Z763" s="39" t="str">
        <f>IF(AND(B763&lt;=NKC!$N$8,B763&gt;=NKC!$M$8),"x","")</f>
        <v/>
      </c>
      <c r="AA763" s="894"/>
      <c r="AB763" s="598" t="e">
        <f t="shared" si="34"/>
        <v>#N/A</v>
      </c>
    </row>
    <row r="764" spans="1:28" ht="15.75" customHeight="1">
      <c r="A764" s="199" t="str">
        <f>IF(B764&lt;&gt;"",IF(AND(B764&gt;=_TM1,B764&lt;=_TM2,OR(TH!L764="1111",TH!M764="1111")),TH!D764,""),"")</f>
        <v/>
      </c>
      <c r="B764" s="36">
        <f t="shared" si="35"/>
        <v>1</v>
      </c>
      <c r="C764" s="190">
        <f t="shared" si="36"/>
        <v>0</v>
      </c>
      <c r="D764" s="190"/>
      <c r="E764" s="183"/>
      <c r="F764" s="188"/>
      <c r="G764" s="491"/>
      <c r="H764" s="7"/>
      <c r="I764" s="253"/>
      <c r="J764" s="253"/>
      <c r="K764" s="38"/>
      <c r="L764" s="193"/>
      <c r="M764" s="193"/>
      <c r="N764" s="39" t="str">
        <f>IF(AND('331-CT'!$E$7=TH!H764,OR(L764="331",M764="331")),"331",IF(AND(OR(L764="131",M764="131"),H764='131-CT'!$E$7),"131",""))</f>
        <v/>
      </c>
      <c r="O764" s="39" t="str">
        <f>IF(AND($B764&gt;='111'!$N$11,$B764&lt;='111'!$O$11,OR($L764=$O$7,$M764=$O$7)),"x","")</f>
        <v/>
      </c>
      <c r="P764" s="39" t="str">
        <f>IF(AND($L764=$O$7,$B764&lt;'111'!$N$11),"x","")</f>
        <v/>
      </c>
      <c r="Q764" s="39" t="str">
        <f>IF(AND($M764=$O$7,$B764&lt;'111'!$N$11),"x","")</f>
        <v/>
      </c>
      <c r="R764" s="39" t="str">
        <f>IF(ISERROR(FIND('112'!$M$9,G764,1)),"",IF((AND(FIND('112'!$M$9,G764,1)&gt;=1,$B764&gt;='112'!$N$8,$B764&lt;='112'!$O$8,OR($L764='112'!$I$6,$M764='112'!$I$6))),"x",""))</f>
        <v/>
      </c>
      <c r="S764" s="39" t="str">
        <f>IF(ISERROR(FIND('112'!$M$9,G764,1)),"",IF((AND(LEFT(G764,2)=LEFT('112'!$M$9,2),B764&lt;'112'!$N$8,$L764='112'!$I$6)),"x",""))</f>
        <v/>
      </c>
      <c r="T764" s="39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39" t="str">
        <f>IF(OR(TH!L764=TH!$V$7,M764=TH!$V$7),"x","")</f>
        <v/>
      </c>
      <c r="W764" s="39" t="str">
        <f>IF(AND(B764&gt;='IN-NX'!$P$3,B764&lt;='IN-NX'!$Q$3,'IN-NX'!$D$7=D764,OR(LEFT(L764,2)="15",AND(LEFT(M764,2)&lt;&gt;"15",LEFT(M764,2)&lt;&gt;"33"))),"x","")</f>
        <v/>
      </c>
      <c r="X764" s="39" t="str">
        <f>IF(AND(OR(LEFT(TH!L764,2)="15",LEFT(TH!M764,2)="15"),'152-CT'!$J$8=TH!F764),"x","")</f>
        <v/>
      </c>
      <c r="Y764" s="39" t="str">
        <f>IF(AND(OR(LEFT(TH!L764,2)="15",LEFT(TH!M764,2)="15"),TK!$E$7=TH!F764),"x","")</f>
        <v/>
      </c>
      <c r="Z764" s="39" t="str">
        <f>IF(AND(B764&lt;=NKC!$N$8,B764&gt;=NKC!$M$8),"x","")</f>
        <v/>
      </c>
      <c r="AA764" s="894"/>
      <c r="AB764" s="598" t="e">
        <f t="shared" si="34"/>
        <v>#N/A</v>
      </c>
    </row>
    <row r="765" spans="1:28" ht="15.75" customHeight="1">
      <c r="A765" s="199" t="str">
        <f>IF(B765&lt;&gt;"",IF(AND(B765&gt;=_TM1,B765&lt;=_TM2,OR(TH!L765="1111",TH!M765="1111")),TH!D765,""),"")</f>
        <v/>
      </c>
      <c r="B765" s="36">
        <f t="shared" si="35"/>
        <v>1</v>
      </c>
      <c r="C765" s="190">
        <f t="shared" si="36"/>
        <v>0</v>
      </c>
      <c r="D765" s="190"/>
      <c r="E765" s="183"/>
      <c r="F765" s="188"/>
      <c r="G765" s="491"/>
      <c r="H765" s="7"/>
      <c r="I765" s="253"/>
      <c r="J765" s="253"/>
      <c r="K765" s="38"/>
      <c r="L765" s="193"/>
      <c r="M765" s="193"/>
      <c r="N765" s="39" t="str">
        <f>IF(AND('331-CT'!$E$7=TH!H765,OR(L765="331",M765="331")),"331",IF(AND(OR(L765="131",M765="131"),H765='131-CT'!$E$7),"131",""))</f>
        <v/>
      </c>
      <c r="O765" s="39" t="str">
        <f>IF(AND($B765&gt;='111'!$N$11,$B765&lt;='111'!$O$11,OR($L765=$O$7,$M765=$O$7)),"x","")</f>
        <v/>
      </c>
      <c r="P765" s="39" t="str">
        <f>IF(AND($L765=$O$7,$B765&lt;'111'!$N$11),"x","")</f>
        <v/>
      </c>
      <c r="Q765" s="39" t="str">
        <f>IF(AND($M765=$O$7,$B765&lt;'111'!$N$11),"x","")</f>
        <v/>
      </c>
      <c r="R765" s="39" t="str">
        <f>IF(ISERROR(FIND('112'!$M$9,G765,1)),"",IF((AND(FIND('112'!$M$9,G765,1)&gt;=1,$B765&gt;='112'!$N$8,$B765&lt;='112'!$O$8,OR($L765='112'!$I$6,$M765='112'!$I$6))),"x",""))</f>
        <v/>
      </c>
      <c r="S765" s="39" t="str">
        <f>IF(ISERROR(FIND('112'!$M$9,G765,1)),"",IF((AND(LEFT(G765,2)=LEFT('112'!$M$9,2),B765&lt;'112'!$N$8,$L765='112'!$I$6)),"x",""))</f>
        <v/>
      </c>
      <c r="T765" s="39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39" t="str">
        <f>IF(OR(TH!L765=TH!$V$7,M765=TH!$V$7),"x","")</f>
        <v/>
      </c>
      <c r="W765" s="39" t="str">
        <f>IF(AND(B765&gt;='IN-NX'!$P$3,B765&lt;='IN-NX'!$Q$3,'IN-NX'!$D$7=D765,OR(LEFT(L765,2)="15",AND(LEFT(M765,2)&lt;&gt;"15",LEFT(M765,2)&lt;&gt;"33"))),"x","")</f>
        <v/>
      </c>
      <c r="X765" s="39" t="str">
        <f>IF(AND(OR(LEFT(TH!L765,2)="15",LEFT(TH!M765,2)="15"),'152-CT'!$J$8=TH!F765),"x","")</f>
        <v/>
      </c>
      <c r="Y765" s="39" t="str">
        <f>IF(AND(OR(LEFT(TH!L765,2)="15",LEFT(TH!M765,2)="15"),TK!$E$7=TH!F765),"x","")</f>
        <v/>
      </c>
      <c r="Z765" s="39" t="str">
        <f>IF(AND(B765&lt;=NKC!$N$8,B765&gt;=NKC!$M$8),"x","")</f>
        <v/>
      </c>
      <c r="AA765" s="894"/>
      <c r="AB765" s="598" t="e">
        <f t="shared" si="34"/>
        <v>#N/A</v>
      </c>
    </row>
    <row r="766" spans="1:28" ht="15.75" customHeight="1">
      <c r="A766" s="199" t="str">
        <f>IF(B766&lt;&gt;"",IF(AND(B766&gt;=_TM1,B766&lt;=_TM2,OR(TH!L766="1111",TH!M766="1111")),TH!D766,""),"")</f>
        <v/>
      </c>
      <c r="B766" s="36">
        <f t="shared" si="35"/>
        <v>1</v>
      </c>
      <c r="C766" s="190">
        <f t="shared" si="36"/>
        <v>0</v>
      </c>
      <c r="D766" s="190"/>
      <c r="E766" s="183"/>
      <c r="F766" s="191"/>
      <c r="G766" s="491"/>
      <c r="H766" s="7"/>
      <c r="I766" s="253"/>
      <c r="J766" s="253"/>
      <c r="K766" s="38"/>
      <c r="L766" s="193"/>
      <c r="M766" s="193"/>
      <c r="N766" s="39" t="str">
        <f>IF(AND('331-CT'!$E$7=TH!H766,OR(L766="331",M766="331")),"331",IF(AND(OR(L766="131",M766="131"),H766='131-CT'!$E$7),"131",""))</f>
        <v/>
      </c>
      <c r="O766" s="39" t="str">
        <f>IF(AND($B766&gt;='111'!$N$11,$B766&lt;='111'!$O$11,OR($L766=$O$7,$M766=$O$7)),"x","")</f>
        <v/>
      </c>
      <c r="P766" s="39" t="str">
        <f>IF(AND($L766=$O$7,$B766&lt;'111'!$N$11),"x","")</f>
        <v/>
      </c>
      <c r="Q766" s="39" t="str">
        <f>IF(AND($M766=$O$7,$B766&lt;'111'!$N$11),"x","")</f>
        <v/>
      </c>
      <c r="R766" s="39" t="str">
        <f>IF(ISERROR(FIND('112'!$M$9,G766,1)),"",IF((AND(FIND('112'!$M$9,G766,1)&gt;=1,$B766&gt;='112'!$N$8,$B766&lt;='112'!$O$8,OR($L766='112'!$I$6,$M766='112'!$I$6))),"x",""))</f>
        <v/>
      </c>
      <c r="S766" s="39" t="str">
        <f>IF(ISERROR(FIND('112'!$M$9,G766,1)),"",IF((AND(LEFT(G766,2)=LEFT('112'!$M$9,2),B766&lt;'112'!$N$8,$L766='112'!$I$6)),"x",""))</f>
        <v/>
      </c>
      <c r="T766" s="39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39" t="str">
        <f>IF(OR(TH!L766=TH!$V$7,M766=TH!$V$7),"x","")</f>
        <v/>
      </c>
      <c r="W766" s="39" t="str">
        <f>IF(AND(B766&gt;='IN-NX'!$P$3,B766&lt;='IN-NX'!$Q$3,'IN-NX'!$D$7=D766,OR(LEFT(L766,2)="15",AND(LEFT(M766,2)&lt;&gt;"15",LEFT(M766,2)&lt;&gt;"33"))),"x","")</f>
        <v/>
      </c>
      <c r="X766" s="39" t="str">
        <f>IF(AND(OR(LEFT(TH!L766,2)="15",LEFT(TH!M766,2)="15"),'152-CT'!$J$8=TH!F766),"x","")</f>
        <v/>
      </c>
      <c r="Y766" s="39" t="str">
        <f>IF(AND(OR(LEFT(TH!L766,2)="15",LEFT(TH!M766,2)="15"),TK!$E$7=TH!F766),"x","")</f>
        <v/>
      </c>
      <c r="Z766" s="39" t="str">
        <f>IF(AND(B766&lt;=NKC!$N$8,B766&gt;=NKC!$M$8),"x","")</f>
        <v/>
      </c>
      <c r="AA766" s="894"/>
      <c r="AB766" s="598" t="e">
        <f t="shared" si="34"/>
        <v>#N/A</v>
      </c>
    </row>
    <row r="767" spans="1:28" ht="15.75" customHeight="1">
      <c r="A767" s="199" t="str">
        <f>IF(B767&lt;&gt;"",IF(AND(B767&gt;=_TM1,B767&lt;=_TM2,OR(TH!L767="1111",TH!M767="1111")),TH!D767,""),"")</f>
        <v/>
      </c>
      <c r="B767" s="36">
        <f t="shared" si="35"/>
        <v>1</v>
      </c>
      <c r="C767" s="190">
        <f t="shared" si="36"/>
        <v>0</v>
      </c>
      <c r="D767" s="190"/>
      <c r="E767" s="183"/>
      <c r="F767" s="188"/>
      <c r="G767" s="491"/>
      <c r="H767" s="7"/>
      <c r="I767" s="253"/>
      <c r="J767" s="253"/>
      <c r="K767" s="38"/>
      <c r="L767" s="193"/>
      <c r="M767" s="193"/>
      <c r="N767" s="39" t="str">
        <f>IF(AND('331-CT'!$E$7=TH!H767,OR(L767="331",M767="331")),"331",IF(AND(OR(L767="131",M767="131"),H767='131-CT'!$E$7),"131",""))</f>
        <v/>
      </c>
      <c r="O767" s="39" t="str">
        <f>IF(AND($B767&gt;='111'!$N$11,$B767&lt;='111'!$O$11,OR($L767=$O$7,$M767=$O$7)),"x","")</f>
        <v/>
      </c>
      <c r="P767" s="39" t="str">
        <f>IF(AND($L767=$O$7,$B767&lt;'111'!$N$11),"x","")</f>
        <v/>
      </c>
      <c r="Q767" s="39" t="str">
        <f>IF(AND($M767=$O$7,$B767&lt;'111'!$N$11),"x","")</f>
        <v/>
      </c>
      <c r="R767" s="39" t="str">
        <f>IF(ISERROR(FIND('112'!$M$9,G767,1)),"",IF((AND(FIND('112'!$M$9,G767,1)&gt;=1,$B767&gt;='112'!$N$8,$B767&lt;='112'!$O$8,OR($L767='112'!$I$6,$M767='112'!$I$6))),"x",""))</f>
        <v/>
      </c>
      <c r="S767" s="39" t="str">
        <f>IF(ISERROR(FIND('112'!$M$9,G767,1)),"",IF((AND(LEFT(G767,2)=LEFT('112'!$M$9,2),B767&lt;'112'!$N$8,$L767='112'!$I$6)),"x",""))</f>
        <v/>
      </c>
      <c r="T767" s="39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39" t="str">
        <f>IF(OR(TH!L767=TH!$V$7,M767=TH!$V$7),"x","")</f>
        <v/>
      </c>
      <c r="W767" s="39" t="str">
        <f>IF(AND(B767&gt;='IN-NX'!$P$3,B767&lt;='IN-NX'!$Q$3,'IN-NX'!$D$7=D767,OR(LEFT(L767,2)="15",AND(LEFT(M767,2)&lt;&gt;"15",LEFT(M767,2)&lt;&gt;"33"))),"x","")</f>
        <v/>
      </c>
      <c r="X767" s="39" t="str">
        <f>IF(AND(OR(LEFT(TH!L767,2)="15",LEFT(TH!M767,2)="15"),'152-CT'!$J$8=TH!F767),"x","")</f>
        <v/>
      </c>
      <c r="Y767" s="39" t="str">
        <f>IF(AND(OR(LEFT(TH!L767,2)="15",LEFT(TH!M767,2)="15"),TK!$E$7=TH!F767),"x","")</f>
        <v/>
      </c>
      <c r="Z767" s="39" t="str">
        <f>IF(AND(B767&lt;=NKC!$N$8,B767&gt;=NKC!$M$8),"x","")</f>
        <v/>
      </c>
      <c r="AA767" s="894"/>
      <c r="AB767" s="598" t="e">
        <f t="shared" si="34"/>
        <v>#N/A</v>
      </c>
    </row>
    <row r="768" spans="1:28" ht="15.75" customHeight="1">
      <c r="A768" s="199" t="str">
        <f>IF(B768&lt;&gt;"",IF(AND(B768&gt;=_TM1,B768&lt;=_TM2,OR(TH!L768="1111",TH!M768="1111")),TH!D768,""),"")</f>
        <v/>
      </c>
      <c r="B768" s="36">
        <f t="shared" si="35"/>
        <v>1</v>
      </c>
      <c r="C768" s="190">
        <f t="shared" si="36"/>
        <v>0</v>
      </c>
      <c r="D768" s="190"/>
      <c r="E768" s="183"/>
      <c r="F768" s="188"/>
      <c r="G768" s="491"/>
      <c r="H768" s="7"/>
      <c r="I768" s="253"/>
      <c r="J768" s="253"/>
      <c r="K768" s="38"/>
      <c r="L768" s="193"/>
      <c r="M768" s="193"/>
      <c r="N768" s="39" t="str">
        <f>IF(AND('331-CT'!$E$7=TH!H768,OR(L768="331",M768="331")),"331",IF(AND(OR(L768="131",M768="131"),H768='131-CT'!$E$7),"131",""))</f>
        <v/>
      </c>
      <c r="O768" s="39" t="str">
        <f>IF(AND($B768&gt;='111'!$N$11,$B768&lt;='111'!$O$11,OR($L768=$O$7,$M768=$O$7)),"x","")</f>
        <v/>
      </c>
      <c r="P768" s="39" t="str">
        <f>IF(AND($L768=$O$7,$B768&lt;'111'!$N$11),"x","")</f>
        <v/>
      </c>
      <c r="Q768" s="39" t="str">
        <f>IF(AND($M768=$O$7,$B768&lt;'111'!$N$11),"x","")</f>
        <v/>
      </c>
      <c r="R768" s="39" t="str">
        <f>IF(ISERROR(FIND('112'!$M$9,G768,1)),"",IF((AND(FIND('112'!$M$9,G768,1)&gt;=1,$B768&gt;='112'!$N$8,$B768&lt;='112'!$O$8,OR($L768='112'!$I$6,$M768='112'!$I$6))),"x",""))</f>
        <v/>
      </c>
      <c r="S768" s="39" t="str">
        <f>IF(ISERROR(FIND('112'!$M$9,G768,1)),"",IF((AND(LEFT(G768,2)=LEFT('112'!$M$9,2),B768&lt;'112'!$N$8,$L768='112'!$I$6)),"x",""))</f>
        <v/>
      </c>
      <c r="T768" s="39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39" t="str">
        <f>IF(OR(TH!L768=TH!$V$7,M768=TH!$V$7),"x","")</f>
        <v/>
      </c>
      <c r="W768" s="39" t="str">
        <f>IF(AND(B768&gt;='IN-NX'!$P$3,B768&lt;='IN-NX'!$Q$3,'IN-NX'!$D$7=D768,OR(LEFT(L768,2)="15",AND(LEFT(M768,2)&lt;&gt;"15",LEFT(M768,2)&lt;&gt;"33"))),"x","")</f>
        <v/>
      </c>
      <c r="X768" s="39" t="str">
        <f>IF(AND(OR(LEFT(TH!L768,2)="15",LEFT(TH!M768,2)="15"),'152-CT'!$J$8=TH!F768),"x","")</f>
        <v/>
      </c>
      <c r="Y768" s="39" t="str">
        <f>IF(AND(OR(LEFT(TH!L768,2)="15",LEFT(TH!M768,2)="15"),TK!$E$7=TH!F768),"x","")</f>
        <v/>
      </c>
      <c r="Z768" s="39" t="str">
        <f>IF(AND(B768&lt;=NKC!$N$8,B768&gt;=NKC!$M$8),"x","")</f>
        <v/>
      </c>
      <c r="AA768" s="894"/>
      <c r="AB768" s="598" t="e">
        <f t="shared" si="34"/>
        <v>#N/A</v>
      </c>
    </row>
    <row r="769" spans="1:28" ht="15.75" customHeight="1">
      <c r="A769" s="199" t="str">
        <f>IF(B769&lt;&gt;"",IF(AND(B769&gt;=_TM1,B769&lt;=_TM2,OR(TH!L769="1111",TH!M769="1111")),TH!D769,""),"")</f>
        <v/>
      </c>
      <c r="B769" s="36">
        <f t="shared" si="35"/>
        <v>1</v>
      </c>
      <c r="C769" s="190">
        <f t="shared" si="36"/>
        <v>0</v>
      </c>
      <c r="D769" s="190"/>
      <c r="E769" s="183"/>
      <c r="F769" s="188"/>
      <c r="G769" s="491"/>
      <c r="H769" s="7"/>
      <c r="I769" s="253"/>
      <c r="J769" s="253"/>
      <c r="K769" s="38"/>
      <c r="L769" s="193"/>
      <c r="M769" s="193"/>
      <c r="N769" s="39" t="str">
        <f>IF(AND('331-CT'!$E$7=TH!H769,OR(L769="331",M769="331")),"331",IF(AND(OR(L769="131",M769="131"),H769='131-CT'!$E$7),"131",""))</f>
        <v/>
      </c>
      <c r="O769" s="39" t="str">
        <f>IF(AND($B769&gt;='111'!$N$11,$B769&lt;='111'!$O$11,OR($L769=$O$7,$M769=$O$7)),"x","")</f>
        <v/>
      </c>
      <c r="P769" s="39" t="str">
        <f>IF(AND($L769=$O$7,$B769&lt;'111'!$N$11),"x","")</f>
        <v/>
      </c>
      <c r="Q769" s="39" t="str">
        <f>IF(AND($M769=$O$7,$B769&lt;'111'!$N$11),"x","")</f>
        <v/>
      </c>
      <c r="R769" s="39" t="str">
        <f>IF(ISERROR(FIND('112'!$M$9,G769,1)),"",IF((AND(FIND('112'!$M$9,G769,1)&gt;=1,$B769&gt;='112'!$N$8,$B769&lt;='112'!$O$8,OR($L769='112'!$I$6,$M769='112'!$I$6))),"x",""))</f>
        <v/>
      </c>
      <c r="S769" s="39" t="str">
        <f>IF(ISERROR(FIND('112'!$M$9,G769,1)),"",IF((AND(LEFT(G769,2)=LEFT('112'!$M$9,2),B769&lt;'112'!$N$8,$L769='112'!$I$6)),"x",""))</f>
        <v/>
      </c>
      <c r="T769" s="39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39" t="str">
        <f>IF(OR(TH!L769=TH!$V$7,M769=TH!$V$7),"x","")</f>
        <v/>
      </c>
      <c r="W769" s="39" t="str">
        <f>IF(AND(B769&gt;='IN-NX'!$P$3,B769&lt;='IN-NX'!$Q$3,'IN-NX'!$D$7=D769,OR(LEFT(L769,2)="15",AND(LEFT(M769,2)&lt;&gt;"15",LEFT(M769,2)&lt;&gt;"33"))),"x","")</f>
        <v/>
      </c>
      <c r="X769" s="39" t="str">
        <f>IF(AND(OR(LEFT(TH!L769,2)="15",LEFT(TH!M769,2)="15"),'152-CT'!$J$8=TH!F769),"x","")</f>
        <v/>
      </c>
      <c r="Y769" s="39" t="str">
        <f>IF(AND(OR(LEFT(TH!L769,2)="15",LEFT(TH!M769,2)="15"),TK!$E$7=TH!F769),"x","")</f>
        <v/>
      </c>
      <c r="Z769" s="39" t="str">
        <f>IF(AND(B769&lt;=NKC!$N$8,B769&gt;=NKC!$M$8),"x","")</f>
        <v/>
      </c>
      <c r="AA769" s="894"/>
      <c r="AB769" s="598" t="e">
        <f t="shared" si="34"/>
        <v>#N/A</v>
      </c>
    </row>
    <row r="770" spans="1:28" ht="15.75" customHeight="1">
      <c r="A770" s="199" t="str">
        <f>IF(B770&lt;&gt;"",IF(AND(B770&gt;=_TM1,B770&lt;=_TM2,OR(TH!L770="1111",TH!M770="1111")),TH!D770,""),"")</f>
        <v/>
      </c>
      <c r="B770" s="36">
        <f t="shared" si="35"/>
        <v>1</v>
      </c>
      <c r="C770" s="190">
        <f t="shared" si="36"/>
        <v>0</v>
      </c>
      <c r="D770" s="190"/>
      <c r="E770" s="183"/>
      <c r="F770" s="188"/>
      <c r="G770" s="491"/>
      <c r="H770" s="7"/>
      <c r="I770" s="253"/>
      <c r="J770" s="253"/>
      <c r="K770" s="38"/>
      <c r="L770" s="193"/>
      <c r="M770" s="193"/>
      <c r="N770" s="39" t="str">
        <f>IF(AND('331-CT'!$E$7=TH!H770,OR(L770="331",M770="331")),"331",IF(AND(OR(L770="131",M770="131"),H770='131-CT'!$E$7),"131",""))</f>
        <v/>
      </c>
      <c r="O770" s="39" t="str">
        <f>IF(AND($B770&gt;='111'!$N$11,$B770&lt;='111'!$O$11,OR($L770=$O$7,$M770=$O$7)),"x","")</f>
        <v/>
      </c>
      <c r="P770" s="39" t="str">
        <f>IF(AND($L770=$O$7,$B770&lt;'111'!$N$11),"x","")</f>
        <v/>
      </c>
      <c r="Q770" s="39" t="str">
        <f>IF(AND($M770=$O$7,$B770&lt;'111'!$N$11),"x","")</f>
        <v/>
      </c>
      <c r="R770" s="39" t="str">
        <f>IF(ISERROR(FIND('112'!$M$9,G770,1)),"",IF((AND(FIND('112'!$M$9,G770,1)&gt;=1,$B770&gt;='112'!$N$8,$B770&lt;='112'!$O$8,OR($L770='112'!$I$6,$M770='112'!$I$6))),"x",""))</f>
        <v/>
      </c>
      <c r="S770" s="39" t="str">
        <f>IF(ISERROR(FIND('112'!$M$9,G770,1)),"",IF((AND(LEFT(G770,2)=LEFT('112'!$M$9,2),B770&lt;'112'!$N$8,$L770='112'!$I$6)),"x",""))</f>
        <v/>
      </c>
      <c r="T770" s="39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39" t="str">
        <f>IF(OR(TH!L770=TH!$V$7,M770=TH!$V$7),"x","")</f>
        <v/>
      </c>
      <c r="W770" s="39" t="str">
        <f>IF(AND(B770&gt;='IN-NX'!$P$3,B770&lt;='IN-NX'!$Q$3,'IN-NX'!$D$7=D770,OR(LEFT(L770,2)="15",AND(LEFT(M770,2)&lt;&gt;"15",LEFT(M770,2)&lt;&gt;"33"))),"x","")</f>
        <v/>
      </c>
      <c r="X770" s="39" t="str">
        <f>IF(AND(OR(LEFT(TH!L770,2)="15",LEFT(TH!M770,2)="15"),'152-CT'!$J$8=TH!F770),"x","")</f>
        <v/>
      </c>
      <c r="Y770" s="39" t="str">
        <f>IF(AND(OR(LEFT(TH!L770,2)="15",LEFT(TH!M770,2)="15"),TK!$E$7=TH!F770),"x","")</f>
        <v/>
      </c>
      <c r="Z770" s="39" t="str">
        <f>IF(AND(B770&lt;=NKC!$N$8,B770&gt;=NKC!$M$8),"x","")</f>
        <v/>
      </c>
      <c r="AA770" s="894"/>
      <c r="AB770" s="598" t="e">
        <f t="shared" si="34"/>
        <v>#N/A</v>
      </c>
    </row>
    <row r="771" spans="1:28" ht="15.75" customHeight="1">
      <c r="A771" s="199" t="str">
        <f>IF(B771&lt;&gt;"",IF(AND(B771&gt;=_TM1,B771&lt;=_TM2,OR(TH!L771="1111",TH!M771="1111")),TH!D771,""),"")</f>
        <v/>
      </c>
      <c r="B771" s="36">
        <f t="shared" si="35"/>
        <v>1</v>
      </c>
      <c r="C771" s="190">
        <f t="shared" si="36"/>
        <v>0</v>
      </c>
      <c r="D771" s="190"/>
      <c r="E771" s="183"/>
      <c r="F771" s="191"/>
      <c r="G771" s="491"/>
      <c r="H771" s="7"/>
      <c r="I771" s="253"/>
      <c r="J771" s="253"/>
      <c r="K771" s="606"/>
      <c r="L771" s="193"/>
      <c r="M771" s="193"/>
      <c r="N771" s="39" t="str">
        <f>IF(AND('331-CT'!$E$7=TH!H771,OR(L771="331",M771="331")),"331",IF(AND(OR(L771="131",M771="131"),H771='131-CT'!$E$7),"131",""))</f>
        <v/>
      </c>
      <c r="O771" s="39" t="str">
        <f>IF(AND($B771&gt;='111'!$N$11,$B771&lt;='111'!$O$11,OR($L771=$O$7,$M771=$O$7)),"x","")</f>
        <v/>
      </c>
      <c r="P771" s="39" t="str">
        <f>IF(AND($L771=$O$7,$B771&lt;'111'!$N$11),"x","")</f>
        <v/>
      </c>
      <c r="Q771" s="39" t="str">
        <f>IF(AND($M771=$O$7,$B771&lt;'111'!$N$11),"x","")</f>
        <v/>
      </c>
      <c r="R771" s="39" t="str">
        <f>IF(ISERROR(FIND('112'!$M$9,G771,1)),"",IF((AND(FIND('112'!$M$9,G771,1)&gt;=1,$B771&gt;='112'!$N$8,$B771&lt;='112'!$O$8,OR($L771='112'!$I$6,$M771='112'!$I$6))),"x",""))</f>
        <v/>
      </c>
      <c r="S771" s="39" t="str">
        <f>IF(ISERROR(FIND('112'!$M$9,G771,1)),"",IF((AND(LEFT(G771,2)=LEFT('112'!$M$9,2),B771&lt;'112'!$N$8,$L771='112'!$I$6)),"x",""))</f>
        <v/>
      </c>
      <c r="T771" s="39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39" t="str">
        <f>IF(OR(TH!L771=TH!$V$7,M771=TH!$V$7),"x","")</f>
        <v/>
      </c>
      <c r="W771" s="39" t="str">
        <f>IF(AND(B771&gt;='IN-NX'!$P$3,B771&lt;='IN-NX'!$Q$3,'IN-NX'!$D$7=D771,OR(LEFT(L771,2)="15",AND(LEFT(M771,2)&lt;&gt;"15",LEFT(M771,2)&lt;&gt;"33"))),"x","")</f>
        <v/>
      </c>
      <c r="X771" s="39" t="str">
        <f>IF(AND(OR(LEFT(TH!L771,2)="15",LEFT(TH!M771,2)="15"),'152-CT'!$J$8=TH!F771),"x","")</f>
        <v/>
      </c>
      <c r="Y771" s="39" t="str">
        <f>IF(AND(OR(LEFT(TH!L771,2)="15",LEFT(TH!M771,2)="15"),TK!$E$7=TH!F771),"x","")</f>
        <v/>
      </c>
      <c r="Z771" s="39" t="str">
        <f>IF(AND(B771&lt;=NKC!$N$8,B771&gt;=NKC!$M$8),"x","")</f>
        <v/>
      </c>
      <c r="AA771" s="894"/>
      <c r="AB771" s="598" t="e">
        <f t="shared" si="34"/>
        <v>#N/A</v>
      </c>
    </row>
    <row r="772" spans="1:28" ht="15.75" customHeight="1">
      <c r="A772" s="199" t="str">
        <f>IF(B772&lt;&gt;"",IF(AND(B772&gt;=_TM1,B772&lt;=_TM2,OR(TH!L772="1111",TH!M772="1111")),TH!D772,""),"")</f>
        <v/>
      </c>
      <c r="B772" s="36">
        <f t="shared" si="35"/>
        <v>1</v>
      </c>
      <c r="C772" s="190">
        <f t="shared" si="36"/>
        <v>0</v>
      </c>
      <c r="D772" s="190"/>
      <c r="E772" s="183"/>
      <c r="F772" s="188"/>
      <c r="G772" s="491"/>
      <c r="H772" s="7"/>
      <c r="I772" s="253"/>
      <c r="J772" s="253"/>
      <c r="K772" s="38"/>
      <c r="L772" s="193"/>
      <c r="M772" s="193"/>
      <c r="N772" s="39" t="str">
        <f>IF(AND('331-CT'!$E$7=TH!H772,OR(L772="331",M772="331")),"331",IF(AND(OR(L772="131",M772="131"),H772='131-CT'!$E$7),"131",""))</f>
        <v/>
      </c>
      <c r="O772" s="39" t="str">
        <f>IF(AND($B772&gt;='111'!$N$11,$B772&lt;='111'!$O$11,OR($L772=$O$7,$M772=$O$7)),"x","")</f>
        <v/>
      </c>
      <c r="P772" s="39" t="str">
        <f>IF(AND($L772=$O$7,$B772&lt;'111'!$N$11),"x","")</f>
        <v/>
      </c>
      <c r="Q772" s="39" t="str">
        <f>IF(AND($M772=$O$7,$B772&lt;'111'!$N$11),"x","")</f>
        <v/>
      </c>
      <c r="R772" s="39" t="str">
        <f>IF(ISERROR(FIND('112'!$M$9,G772,1)),"",IF((AND(FIND('112'!$M$9,G772,1)&gt;=1,$B772&gt;='112'!$N$8,$B772&lt;='112'!$O$8,OR($L772='112'!$I$6,$M772='112'!$I$6))),"x",""))</f>
        <v/>
      </c>
      <c r="S772" s="39" t="str">
        <f>IF(ISERROR(FIND('112'!$M$9,G772,1)),"",IF((AND(LEFT(G772,2)=LEFT('112'!$M$9,2),B772&lt;'112'!$N$8,$L772='112'!$I$6)),"x",""))</f>
        <v/>
      </c>
      <c r="T772" s="39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39" t="str">
        <f>IF(OR(TH!L772=TH!$V$7,M772=TH!$V$7),"x","")</f>
        <v/>
      </c>
      <c r="W772" s="39" t="str">
        <f>IF(AND(B772&gt;='IN-NX'!$P$3,B772&lt;='IN-NX'!$Q$3,'IN-NX'!$D$7=D772,OR(LEFT(L772,2)="15",AND(LEFT(M772,2)&lt;&gt;"15",LEFT(M772,2)&lt;&gt;"33"))),"x","")</f>
        <v/>
      </c>
      <c r="X772" s="39" t="str">
        <f>IF(AND(OR(LEFT(TH!L772,2)="15",LEFT(TH!M772,2)="15"),'152-CT'!$J$8=TH!F772),"x","")</f>
        <v/>
      </c>
      <c r="Y772" s="39" t="str">
        <f>IF(AND(OR(LEFT(TH!L772,2)="15",LEFT(TH!M772,2)="15"),TK!$E$7=TH!F772),"x","")</f>
        <v/>
      </c>
      <c r="Z772" s="39" t="str">
        <f>IF(AND(B772&lt;=NKC!$N$8,B772&gt;=NKC!$M$8),"x","")</f>
        <v/>
      </c>
      <c r="AA772" s="894"/>
      <c r="AB772" s="598" t="e">
        <f t="shared" si="34"/>
        <v>#N/A</v>
      </c>
    </row>
    <row r="773" spans="1:28" ht="15.75" customHeight="1">
      <c r="A773" s="199" t="str">
        <f>IF(B773&lt;&gt;"",IF(AND(B773&gt;=_TM1,B773&lt;=_TM2,OR(TH!L773="1111",TH!M773="1111")),TH!D773,""),"")</f>
        <v/>
      </c>
      <c r="B773" s="36">
        <f t="shared" si="35"/>
        <v>1</v>
      </c>
      <c r="C773" s="190">
        <f t="shared" si="36"/>
        <v>0</v>
      </c>
      <c r="D773" s="190"/>
      <c r="E773" s="183"/>
      <c r="F773" s="188"/>
      <c r="G773" s="491"/>
      <c r="H773" s="7"/>
      <c r="I773" s="253"/>
      <c r="J773" s="253"/>
      <c r="K773" s="38"/>
      <c r="L773" s="193"/>
      <c r="M773" s="193"/>
      <c r="N773" s="39" t="str">
        <f>IF(AND('331-CT'!$E$7=TH!H773,OR(L773="331",M773="331")),"331",IF(AND(OR(L773="131",M773="131"),H773='131-CT'!$E$7),"131",""))</f>
        <v/>
      </c>
      <c r="O773" s="39" t="str">
        <f>IF(AND($B773&gt;='111'!$N$11,$B773&lt;='111'!$O$11,OR($L773=$O$7,$M773=$O$7)),"x","")</f>
        <v/>
      </c>
      <c r="P773" s="39" t="str">
        <f>IF(AND($L773=$O$7,$B773&lt;'111'!$N$11),"x","")</f>
        <v/>
      </c>
      <c r="Q773" s="39" t="str">
        <f>IF(AND($M773=$O$7,$B773&lt;'111'!$N$11),"x","")</f>
        <v/>
      </c>
      <c r="R773" s="39" t="str">
        <f>IF(ISERROR(FIND('112'!$M$9,G773,1)),"",IF((AND(FIND('112'!$M$9,G773,1)&gt;=1,$B773&gt;='112'!$N$8,$B773&lt;='112'!$O$8,OR($L773='112'!$I$6,$M773='112'!$I$6))),"x",""))</f>
        <v/>
      </c>
      <c r="S773" s="39" t="str">
        <f>IF(ISERROR(FIND('112'!$M$9,G773,1)),"",IF((AND(LEFT(G773,2)=LEFT('112'!$M$9,2),B773&lt;'112'!$N$8,$L773='112'!$I$6)),"x",""))</f>
        <v/>
      </c>
      <c r="T773" s="39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39" t="str">
        <f>IF(OR(TH!L773=TH!$V$7,M773=TH!$V$7),"x","")</f>
        <v/>
      </c>
      <c r="W773" s="39" t="str">
        <f>IF(AND(B773&gt;='IN-NX'!$P$3,B773&lt;='IN-NX'!$Q$3,'IN-NX'!$D$7=D773,OR(LEFT(L773,2)="15",AND(LEFT(M773,2)&lt;&gt;"15",LEFT(M773,2)&lt;&gt;"33"))),"x","")</f>
        <v/>
      </c>
      <c r="X773" s="39" t="str">
        <f>IF(AND(OR(LEFT(TH!L773,2)="15",LEFT(TH!M773,2)="15"),'152-CT'!$J$8=TH!F773),"x","")</f>
        <v/>
      </c>
      <c r="Y773" s="39" t="str">
        <f>IF(AND(OR(LEFT(TH!L773,2)="15",LEFT(TH!M773,2)="15"),TK!$E$7=TH!F773),"x","")</f>
        <v/>
      </c>
      <c r="Z773" s="39" t="str">
        <f>IF(AND(B773&lt;=NKC!$N$8,B773&gt;=NKC!$M$8),"x","")</f>
        <v/>
      </c>
      <c r="AA773" s="894"/>
      <c r="AB773" s="598" t="e">
        <f t="shared" si="34"/>
        <v>#N/A</v>
      </c>
    </row>
    <row r="774" spans="1:28" ht="15.75" customHeight="1">
      <c r="A774" s="199" t="str">
        <f>IF(B774&lt;&gt;"",IF(AND(B774&gt;=_TM1,B774&lt;=_TM2,OR(TH!L774="1111",TH!M774="1111")),TH!D774,""),"")</f>
        <v/>
      </c>
      <c r="B774" s="36">
        <f t="shared" si="35"/>
        <v>1</v>
      </c>
      <c r="C774" s="190">
        <f t="shared" si="36"/>
        <v>0</v>
      </c>
      <c r="D774" s="190"/>
      <c r="E774" s="183"/>
      <c r="F774" s="188"/>
      <c r="G774" s="491"/>
      <c r="H774" s="7"/>
      <c r="I774" s="253"/>
      <c r="J774" s="253"/>
      <c r="K774" s="38"/>
      <c r="L774" s="193"/>
      <c r="M774" s="193"/>
      <c r="N774" s="39" t="str">
        <f>IF(AND('331-CT'!$E$7=TH!H774,OR(L774="331",M774="331")),"331",IF(AND(OR(L774="131",M774="131"),H774='131-CT'!$E$7),"131",""))</f>
        <v/>
      </c>
      <c r="O774" s="39" t="str">
        <f>IF(AND($B774&gt;='111'!$N$11,$B774&lt;='111'!$O$11,OR($L774=$O$7,$M774=$O$7)),"x","")</f>
        <v/>
      </c>
      <c r="P774" s="39" t="str">
        <f>IF(AND($L774=$O$7,$B774&lt;'111'!$N$11),"x","")</f>
        <v/>
      </c>
      <c r="Q774" s="39" t="str">
        <f>IF(AND($M774=$O$7,$B774&lt;'111'!$N$11),"x","")</f>
        <v/>
      </c>
      <c r="R774" s="39" t="str">
        <f>IF(ISERROR(FIND('112'!$M$9,G774,1)),"",IF((AND(FIND('112'!$M$9,G774,1)&gt;=1,$B774&gt;='112'!$N$8,$B774&lt;='112'!$O$8,OR($L774='112'!$I$6,$M774='112'!$I$6))),"x",""))</f>
        <v/>
      </c>
      <c r="S774" s="39" t="str">
        <f>IF(ISERROR(FIND('112'!$M$9,G774,1)),"",IF((AND(LEFT(G774,2)=LEFT('112'!$M$9,2),B774&lt;'112'!$N$8,$L774='112'!$I$6)),"x",""))</f>
        <v/>
      </c>
      <c r="T774" s="39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39" t="str">
        <f>IF(OR(TH!L774=TH!$V$7,M774=TH!$V$7),"x","")</f>
        <v/>
      </c>
      <c r="W774" s="39" t="str">
        <f>IF(AND(B774&gt;='IN-NX'!$P$3,B774&lt;='IN-NX'!$Q$3,'IN-NX'!$D$7=D774,OR(LEFT(L774,2)="15",AND(LEFT(M774,2)&lt;&gt;"15",LEFT(M774,2)&lt;&gt;"33"))),"x","")</f>
        <v/>
      </c>
      <c r="X774" s="39" t="str">
        <f>IF(AND(OR(LEFT(TH!L774,2)="15",LEFT(TH!M774,2)="15"),'152-CT'!$J$8=TH!F774),"x","")</f>
        <v/>
      </c>
      <c r="Y774" s="39" t="str">
        <f>IF(AND(OR(LEFT(TH!L774,2)="15",LEFT(TH!M774,2)="15"),TK!$E$7=TH!F774),"x","")</f>
        <v/>
      </c>
      <c r="Z774" s="39" t="str">
        <f>IF(AND(B774&lt;=NKC!$N$8,B774&gt;=NKC!$M$8),"x","")</f>
        <v/>
      </c>
      <c r="AA774" s="894"/>
      <c r="AB774" s="598" t="e">
        <f t="shared" si="34"/>
        <v>#N/A</v>
      </c>
    </row>
    <row r="775" spans="1:28" ht="15.75" customHeight="1">
      <c r="A775" s="199" t="str">
        <f>IF(B775&lt;&gt;"",IF(AND(B775&gt;=_TM1,B775&lt;=_TM2,OR(TH!L775="1111",TH!M775="1111")),TH!D775,""),"")</f>
        <v/>
      </c>
      <c r="B775" s="36">
        <f t="shared" si="35"/>
        <v>1</v>
      </c>
      <c r="C775" s="190">
        <f t="shared" si="36"/>
        <v>0</v>
      </c>
      <c r="D775" s="190"/>
      <c r="E775" s="183"/>
      <c r="F775" s="188"/>
      <c r="G775" s="491"/>
      <c r="H775" s="7"/>
      <c r="I775" s="253"/>
      <c r="J775" s="253"/>
      <c r="K775" s="38"/>
      <c r="L775" s="193"/>
      <c r="M775" s="193"/>
      <c r="N775" s="39" t="str">
        <f>IF(AND('331-CT'!$E$7=TH!H775,OR(L775="331",M775="331")),"331",IF(AND(OR(L775="131",M775="131"),H775='131-CT'!$E$7),"131",""))</f>
        <v/>
      </c>
      <c r="O775" s="39" t="str">
        <f>IF(AND($B775&gt;='111'!$N$11,$B775&lt;='111'!$O$11,OR($L775=$O$7,$M775=$O$7)),"x","")</f>
        <v/>
      </c>
      <c r="P775" s="39" t="str">
        <f>IF(AND($L775=$O$7,$B775&lt;'111'!$N$11),"x","")</f>
        <v/>
      </c>
      <c r="Q775" s="39" t="str">
        <f>IF(AND($M775=$O$7,$B775&lt;'111'!$N$11),"x","")</f>
        <v/>
      </c>
      <c r="R775" s="39" t="str">
        <f>IF(ISERROR(FIND('112'!$M$9,G775,1)),"",IF((AND(FIND('112'!$M$9,G775,1)&gt;=1,$B775&gt;='112'!$N$8,$B775&lt;='112'!$O$8,OR($L775='112'!$I$6,$M775='112'!$I$6))),"x",""))</f>
        <v/>
      </c>
      <c r="S775" s="39" t="str">
        <f>IF(ISERROR(FIND('112'!$M$9,G775,1)),"",IF((AND(LEFT(G775,2)=LEFT('112'!$M$9,2),B775&lt;'112'!$N$8,$L775='112'!$I$6)),"x",""))</f>
        <v/>
      </c>
      <c r="T775" s="39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39" t="str">
        <f>IF(OR(TH!L775=TH!$V$7,M775=TH!$V$7),"x","")</f>
        <v/>
      </c>
      <c r="W775" s="39" t="str">
        <f>IF(AND(B775&gt;='IN-NX'!$P$3,B775&lt;='IN-NX'!$Q$3,'IN-NX'!$D$7=D775,OR(LEFT(L775,2)="15",AND(LEFT(M775,2)&lt;&gt;"15",LEFT(M775,2)&lt;&gt;"33"))),"x","")</f>
        <v/>
      </c>
      <c r="X775" s="39" t="str">
        <f>IF(AND(OR(LEFT(TH!L775,2)="15",LEFT(TH!M775,2)="15"),'152-CT'!$J$8=TH!F775),"x","")</f>
        <v/>
      </c>
      <c r="Y775" s="39" t="str">
        <f>IF(AND(OR(LEFT(TH!L775,2)="15",LEFT(TH!M775,2)="15"),TK!$E$7=TH!F775),"x","")</f>
        <v/>
      </c>
      <c r="Z775" s="39" t="str">
        <f>IF(AND(B775&lt;=NKC!$N$8,B775&gt;=NKC!$M$8),"x","")</f>
        <v/>
      </c>
      <c r="AA775" s="894"/>
      <c r="AB775" s="598" t="e">
        <f t="shared" si="34"/>
        <v>#N/A</v>
      </c>
    </row>
    <row r="776" spans="1:28" ht="15.75" customHeight="1">
      <c r="A776" s="199" t="str">
        <f>IF(B776&lt;&gt;"",IF(AND(B776&gt;=_TM1,B776&lt;=_TM2,OR(TH!L776="1111",TH!M776="1111")),TH!D776,""),"")</f>
        <v/>
      </c>
      <c r="B776" s="36">
        <f t="shared" si="35"/>
        <v>1</v>
      </c>
      <c r="C776" s="190">
        <f t="shared" si="36"/>
        <v>0</v>
      </c>
      <c r="D776" s="190"/>
      <c r="E776" s="183"/>
      <c r="F776" s="188"/>
      <c r="G776" s="491"/>
      <c r="H776" s="7"/>
      <c r="I776" s="253"/>
      <c r="J776" s="253"/>
      <c r="K776" s="38"/>
      <c r="L776" s="193"/>
      <c r="M776" s="193"/>
      <c r="N776" s="39" t="str">
        <f>IF(AND('331-CT'!$E$7=TH!H776,OR(L776="331",M776="331")),"331",IF(AND(OR(L776="131",M776="131"),H776='131-CT'!$E$7),"131",""))</f>
        <v/>
      </c>
      <c r="O776" s="39" t="str">
        <f>IF(AND($B776&gt;='111'!$N$11,$B776&lt;='111'!$O$11,OR($L776=$O$7,$M776=$O$7)),"x","")</f>
        <v/>
      </c>
      <c r="P776" s="39" t="str">
        <f>IF(AND($L776=$O$7,$B776&lt;'111'!$N$11),"x","")</f>
        <v/>
      </c>
      <c r="Q776" s="39" t="str">
        <f>IF(AND($M776=$O$7,$B776&lt;'111'!$N$11),"x","")</f>
        <v/>
      </c>
      <c r="R776" s="39" t="str">
        <f>IF(ISERROR(FIND('112'!$M$9,G776,1)),"",IF((AND(FIND('112'!$M$9,G776,1)&gt;=1,$B776&gt;='112'!$N$8,$B776&lt;='112'!$O$8,OR($L776='112'!$I$6,$M776='112'!$I$6))),"x",""))</f>
        <v/>
      </c>
      <c r="S776" s="39" t="str">
        <f>IF(ISERROR(FIND('112'!$M$9,G776,1)),"",IF((AND(LEFT(G776,2)=LEFT('112'!$M$9,2),B776&lt;'112'!$N$8,$L776='112'!$I$6)),"x",""))</f>
        <v/>
      </c>
      <c r="T776" s="39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39" t="str">
        <f>IF(OR(TH!L776=TH!$V$7,M776=TH!$V$7),"x","")</f>
        <v/>
      </c>
      <c r="W776" s="39" t="str">
        <f>IF(AND(B776&gt;='IN-NX'!$P$3,B776&lt;='IN-NX'!$Q$3,'IN-NX'!$D$7=D776,OR(LEFT(L776,2)="15",AND(LEFT(M776,2)&lt;&gt;"15",LEFT(M776,2)&lt;&gt;"33"))),"x","")</f>
        <v/>
      </c>
      <c r="X776" s="39" t="str">
        <f>IF(AND(OR(LEFT(TH!L776,2)="15",LEFT(TH!M776,2)="15"),'152-CT'!$J$8=TH!F776),"x","")</f>
        <v/>
      </c>
      <c r="Y776" s="39" t="str">
        <f>IF(AND(OR(LEFT(TH!L776,2)="15",LEFT(TH!M776,2)="15"),TK!$E$7=TH!F776),"x","")</f>
        <v/>
      </c>
      <c r="Z776" s="39" t="str">
        <f>IF(AND(B776&lt;=NKC!$N$8,B776&gt;=NKC!$M$8),"x","")</f>
        <v/>
      </c>
      <c r="AA776" s="894"/>
      <c r="AB776" s="598" t="e">
        <f t="shared" si="34"/>
        <v>#N/A</v>
      </c>
    </row>
    <row r="777" spans="1:28" ht="15.75" customHeight="1">
      <c r="A777" s="199" t="str">
        <f>IF(B777&lt;&gt;"",IF(AND(B777&gt;=_TM1,B777&lt;=_TM2,OR(TH!L777="1111",TH!M777="1111")),TH!D777,""),"")</f>
        <v/>
      </c>
      <c r="B777" s="36">
        <f t="shared" si="35"/>
        <v>1</v>
      </c>
      <c r="C777" s="190">
        <f t="shared" si="36"/>
        <v>0</v>
      </c>
      <c r="D777" s="190"/>
      <c r="E777" s="183"/>
      <c r="F777" s="188"/>
      <c r="G777" s="491"/>
      <c r="H777" s="7"/>
      <c r="I777" s="253"/>
      <c r="J777" s="253"/>
      <c r="K777" s="38"/>
      <c r="L777" s="193"/>
      <c r="M777" s="193"/>
      <c r="N777" s="39" t="str">
        <f>IF(AND('331-CT'!$E$7=TH!H777,OR(L777="331",M777="331")),"331",IF(AND(OR(L777="131",M777="131"),H777='131-CT'!$E$7),"131",""))</f>
        <v/>
      </c>
      <c r="O777" s="39" t="str">
        <f>IF(AND($B777&gt;='111'!$N$11,$B777&lt;='111'!$O$11,OR($L777=$O$7,$M777=$O$7)),"x","")</f>
        <v/>
      </c>
      <c r="P777" s="39" t="str">
        <f>IF(AND($L777=$O$7,$B777&lt;'111'!$N$11),"x","")</f>
        <v/>
      </c>
      <c r="Q777" s="39" t="str">
        <f>IF(AND($M777=$O$7,$B777&lt;'111'!$N$11),"x","")</f>
        <v/>
      </c>
      <c r="R777" s="39" t="str">
        <f>IF(ISERROR(FIND('112'!$M$9,G777,1)),"",IF((AND(FIND('112'!$M$9,G777,1)&gt;=1,$B777&gt;='112'!$N$8,$B777&lt;='112'!$O$8,OR($L777='112'!$I$6,$M777='112'!$I$6))),"x",""))</f>
        <v/>
      </c>
      <c r="S777" s="39" t="str">
        <f>IF(ISERROR(FIND('112'!$M$9,G777,1)),"",IF((AND(LEFT(G777,2)=LEFT('112'!$M$9,2),B777&lt;'112'!$N$8,$L777='112'!$I$6)),"x",""))</f>
        <v/>
      </c>
      <c r="T777" s="39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39" t="str">
        <f>IF(OR(TH!L777=TH!$V$7,M777=TH!$V$7),"x","")</f>
        <v/>
      </c>
      <c r="W777" s="39" t="str">
        <f>IF(AND(B777&gt;='IN-NX'!$P$3,B777&lt;='IN-NX'!$Q$3,'IN-NX'!$D$7=D777,OR(LEFT(L777,2)="15",AND(LEFT(M777,2)&lt;&gt;"15",LEFT(M777,2)&lt;&gt;"33"))),"x","")</f>
        <v/>
      </c>
      <c r="X777" s="39" t="str">
        <f>IF(AND(OR(LEFT(TH!L777,2)="15",LEFT(TH!M777,2)="15"),'152-CT'!$J$8=TH!F777),"x","")</f>
        <v/>
      </c>
      <c r="Y777" s="39" t="str">
        <f>IF(AND(OR(LEFT(TH!L777,2)="15",LEFT(TH!M777,2)="15"),TK!$E$7=TH!F777),"x","")</f>
        <v/>
      </c>
      <c r="Z777" s="39" t="str">
        <f>IF(AND(B777&lt;=NKC!$N$8,B777&gt;=NKC!$M$8),"x","")</f>
        <v/>
      </c>
      <c r="AA777" s="894"/>
      <c r="AB777" s="598" t="e">
        <f t="shared" si="34"/>
        <v>#N/A</v>
      </c>
    </row>
    <row r="778" spans="1:28" ht="15.75" customHeight="1">
      <c r="A778" s="199" t="str">
        <f>IF(B778&lt;&gt;"",IF(AND(B778&gt;=_TM1,B778&lt;=_TM2,OR(TH!L778="1111",TH!M778="1111")),TH!D778,""),"")</f>
        <v/>
      </c>
      <c r="B778" s="36">
        <f t="shared" si="35"/>
        <v>1</v>
      </c>
      <c r="C778" s="190">
        <f t="shared" si="36"/>
        <v>0</v>
      </c>
      <c r="D778" s="190"/>
      <c r="E778" s="183"/>
      <c r="F778" s="191"/>
      <c r="G778" s="491"/>
      <c r="H778" s="7"/>
      <c r="I778" s="253"/>
      <c r="J778" s="253"/>
      <c r="K778" s="38"/>
      <c r="L778" s="193"/>
      <c r="M778" s="193"/>
      <c r="N778" s="39" t="str">
        <f>IF(AND('331-CT'!$E$7=TH!H778,OR(L778="331",M778="331")),"331",IF(AND(OR(L778="131",M778="131"),H778='131-CT'!$E$7),"131",""))</f>
        <v/>
      </c>
      <c r="O778" s="39" t="str">
        <f>IF(AND($B778&gt;='111'!$N$11,$B778&lt;='111'!$O$11,OR($L778=$O$7,$M778=$O$7)),"x","")</f>
        <v/>
      </c>
      <c r="P778" s="39" t="str">
        <f>IF(AND($L778=$O$7,$B778&lt;'111'!$N$11),"x","")</f>
        <v/>
      </c>
      <c r="Q778" s="39" t="str">
        <f>IF(AND($M778=$O$7,$B778&lt;'111'!$N$11),"x","")</f>
        <v/>
      </c>
      <c r="R778" s="39" t="str">
        <f>IF(ISERROR(FIND('112'!$M$9,G778,1)),"",IF((AND(FIND('112'!$M$9,G778,1)&gt;=1,$B778&gt;='112'!$N$8,$B778&lt;='112'!$O$8,OR($L778='112'!$I$6,$M778='112'!$I$6))),"x",""))</f>
        <v/>
      </c>
      <c r="S778" s="39" t="str">
        <f>IF(ISERROR(FIND('112'!$M$9,G778,1)),"",IF((AND(LEFT(G778,2)=LEFT('112'!$M$9,2),B778&lt;'112'!$N$8,$L778='112'!$I$6)),"x",""))</f>
        <v/>
      </c>
      <c r="T778" s="39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39" t="str">
        <f>IF(OR(TH!L778=TH!$V$7,M778=TH!$V$7),"x","")</f>
        <v/>
      </c>
      <c r="W778" s="39" t="str">
        <f>IF(AND(B778&gt;='IN-NX'!$P$3,B778&lt;='IN-NX'!$Q$3,'IN-NX'!$D$7=D778,OR(LEFT(L778,2)="15",AND(LEFT(M778,2)&lt;&gt;"15",LEFT(M778,2)&lt;&gt;"33"))),"x","")</f>
        <v/>
      </c>
      <c r="X778" s="39" t="str">
        <f>IF(AND(OR(LEFT(TH!L778,2)="15",LEFT(TH!M778,2)="15"),'152-CT'!$J$8=TH!F778),"x","")</f>
        <v/>
      </c>
      <c r="Y778" s="39" t="str">
        <f>IF(AND(OR(LEFT(TH!L778,2)="15",LEFT(TH!M778,2)="15"),TK!$E$7=TH!F778),"x","")</f>
        <v/>
      </c>
      <c r="Z778" s="39" t="str">
        <f>IF(AND(B778&lt;=NKC!$N$8,B778&gt;=NKC!$M$8),"x","")</f>
        <v/>
      </c>
      <c r="AA778" s="894"/>
      <c r="AB778" s="598" t="e">
        <f t="shared" si="34"/>
        <v>#N/A</v>
      </c>
    </row>
    <row r="779" spans="1:28" ht="15.75" customHeight="1">
      <c r="A779" s="199" t="str">
        <f>IF(B779&lt;&gt;"",IF(AND(B779&gt;=_TM1,B779&lt;=_TM2,OR(TH!L779="1111",TH!M779="1111")),TH!D779,""),"")</f>
        <v/>
      </c>
      <c r="B779" s="36">
        <f t="shared" si="35"/>
        <v>1</v>
      </c>
      <c r="C779" s="190">
        <f t="shared" si="36"/>
        <v>0</v>
      </c>
      <c r="D779" s="190"/>
      <c r="E779" s="183"/>
      <c r="F779" s="188"/>
      <c r="G779" s="491"/>
      <c r="H779" s="7"/>
      <c r="I779" s="253"/>
      <c r="J779" s="253"/>
      <c r="K779" s="38"/>
      <c r="L779" s="193"/>
      <c r="M779" s="193"/>
      <c r="N779" s="39" t="str">
        <f>IF(AND('331-CT'!$E$7=TH!H779,OR(L779="331",M779="331")),"331",IF(AND(OR(L779="131",M779="131"),H779='131-CT'!$E$7),"131",""))</f>
        <v/>
      </c>
      <c r="O779" s="39" t="str">
        <f>IF(AND($B779&gt;='111'!$N$11,$B779&lt;='111'!$O$11,OR($L779=$O$7,$M779=$O$7)),"x","")</f>
        <v/>
      </c>
      <c r="P779" s="39" t="str">
        <f>IF(AND($L779=$O$7,$B779&lt;'111'!$N$11),"x","")</f>
        <v/>
      </c>
      <c r="Q779" s="39" t="str">
        <f>IF(AND($M779=$O$7,$B779&lt;'111'!$N$11),"x","")</f>
        <v/>
      </c>
      <c r="R779" s="39" t="str">
        <f>IF(ISERROR(FIND('112'!$M$9,G779,1)),"",IF((AND(FIND('112'!$M$9,G779,1)&gt;=1,$B779&gt;='112'!$N$8,$B779&lt;='112'!$O$8,OR($L779='112'!$I$6,$M779='112'!$I$6))),"x",""))</f>
        <v/>
      </c>
      <c r="S779" s="39" t="str">
        <f>IF(ISERROR(FIND('112'!$M$9,G779,1)),"",IF((AND(LEFT(G779,2)=LEFT('112'!$M$9,2),B779&lt;'112'!$N$8,$L779='112'!$I$6)),"x",""))</f>
        <v/>
      </c>
      <c r="T779" s="39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39" t="str">
        <f>IF(OR(TH!L779=TH!$V$7,M779=TH!$V$7),"x","")</f>
        <v/>
      </c>
      <c r="W779" s="39" t="str">
        <f>IF(AND(B779&gt;='IN-NX'!$P$3,B779&lt;='IN-NX'!$Q$3,'IN-NX'!$D$7=D779,OR(LEFT(L779,2)="15",AND(LEFT(M779,2)&lt;&gt;"15",LEFT(M779,2)&lt;&gt;"33"))),"x","")</f>
        <v/>
      </c>
      <c r="X779" s="39" t="str">
        <f>IF(AND(OR(LEFT(TH!L779,2)="15",LEFT(TH!M779,2)="15"),'152-CT'!$J$8=TH!F779),"x","")</f>
        <v/>
      </c>
      <c r="Y779" s="39" t="str">
        <f>IF(AND(OR(LEFT(TH!L779,2)="15",LEFT(TH!M779,2)="15"),TK!$E$7=TH!F779),"x","")</f>
        <v/>
      </c>
      <c r="Z779" s="39" t="str">
        <f>IF(AND(B779&lt;=NKC!$N$8,B779&gt;=NKC!$M$8),"x","")</f>
        <v/>
      </c>
      <c r="AA779" s="894"/>
      <c r="AB779" s="598" t="e">
        <f t="shared" si="34"/>
        <v>#N/A</v>
      </c>
    </row>
    <row r="780" spans="1:28" ht="15.75" customHeight="1">
      <c r="A780" s="199" t="str">
        <f>IF(B780&lt;&gt;"",IF(AND(B780&gt;=_TM1,B780&lt;=_TM2,OR(TH!L780="1111",TH!M780="1111")),TH!D780,""),"")</f>
        <v/>
      </c>
      <c r="B780" s="36">
        <f t="shared" si="35"/>
        <v>1</v>
      </c>
      <c r="C780" s="190">
        <f t="shared" si="36"/>
        <v>0</v>
      </c>
      <c r="D780" s="190"/>
      <c r="E780" s="183"/>
      <c r="F780" s="191"/>
      <c r="G780" s="491"/>
      <c r="H780" s="7"/>
      <c r="I780" s="253"/>
      <c r="J780" s="253"/>
      <c r="K780" s="38"/>
      <c r="L780" s="193"/>
      <c r="M780" s="193"/>
      <c r="N780" s="39" t="str">
        <f>IF(AND('331-CT'!$E$7=TH!H780,OR(L780="331",M780="331")),"331",IF(AND(OR(L780="131",M780="131"),H780='131-CT'!$E$7),"131",""))</f>
        <v/>
      </c>
      <c r="O780" s="39" t="str">
        <f>IF(AND($B780&gt;='111'!$N$11,$B780&lt;='111'!$O$11,OR($L780=$O$7,$M780=$O$7)),"x","")</f>
        <v/>
      </c>
      <c r="P780" s="39" t="str">
        <f>IF(AND($L780=$O$7,$B780&lt;'111'!$N$11),"x","")</f>
        <v/>
      </c>
      <c r="Q780" s="39" t="str">
        <f>IF(AND($M780=$O$7,$B780&lt;'111'!$N$11),"x","")</f>
        <v/>
      </c>
      <c r="R780" s="39" t="str">
        <f>IF(ISERROR(FIND('112'!$M$9,G780,1)),"",IF((AND(FIND('112'!$M$9,G780,1)&gt;=1,$B780&gt;='112'!$N$8,$B780&lt;='112'!$O$8,OR($L780='112'!$I$6,$M780='112'!$I$6))),"x",""))</f>
        <v/>
      </c>
      <c r="S780" s="39" t="str">
        <f>IF(ISERROR(FIND('112'!$M$9,G780,1)),"",IF((AND(LEFT(G780,2)=LEFT('112'!$M$9,2),B780&lt;'112'!$N$8,$L780='112'!$I$6)),"x",""))</f>
        <v/>
      </c>
      <c r="T780" s="39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39" t="str">
        <f>IF(OR(TH!L780=TH!$V$7,M780=TH!$V$7),"x","")</f>
        <v/>
      </c>
      <c r="W780" s="39" t="str">
        <f>IF(AND(B780&gt;='IN-NX'!$P$3,B780&lt;='IN-NX'!$Q$3,'IN-NX'!$D$7=D780,OR(LEFT(L780,2)="15",AND(LEFT(M780,2)&lt;&gt;"15",LEFT(M780,2)&lt;&gt;"33"))),"x","")</f>
        <v/>
      </c>
      <c r="X780" s="39" t="str">
        <f>IF(AND(OR(LEFT(TH!L780,2)="15",LEFT(TH!M780,2)="15"),'152-CT'!$J$8=TH!F780),"x","")</f>
        <v/>
      </c>
      <c r="Y780" s="39" t="str">
        <f>IF(AND(OR(LEFT(TH!L780,2)="15",LEFT(TH!M780,2)="15"),TK!$E$7=TH!F780),"x","")</f>
        <v/>
      </c>
      <c r="Z780" s="39" t="str">
        <f>IF(AND(B780&lt;=NKC!$N$8,B780&gt;=NKC!$M$8),"x","")</f>
        <v/>
      </c>
      <c r="AA780" s="894"/>
      <c r="AB780" s="598" t="e">
        <f t="shared" ref="AB780:AB794" si="37">IF(VLOOKUP(H780,DS_131,1,0)&lt;&gt;"","","x")</f>
        <v>#N/A</v>
      </c>
    </row>
    <row r="781" spans="1:28" ht="15.75" customHeight="1">
      <c r="A781" s="199" t="str">
        <f>IF(B781&lt;&gt;"",IF(AND(B781&gt;=_TM1,B781&lt;=_TM2,OR(TH!L781="1111",TH!M781="1111")),TH!D781,""),"")</f>
        <v/>
      </c>
      <c r="B781" s="36">
        <f t="shared" si="35"/>
        <v>1</v>
      </c>
      <c r="C781" s="190">
        <f t="shared" si="36"/>
        <v>0</v>
      </c>
      <c r="D781" s="190"/>
      <c r="E781" s="183"/>
      <c r="F781" s="188"/>
      <c r="G781" s="491"/>
      <c r="H781" s="7"/>
      <c r="I781" s="253"/>
      <c r="J781" s="253"/>
      <c r="K781" s="606"/>
      <c r="L781" s="193"/>
      <c r="M781" s="193"/>
      <c r="N781" s="39" t="str">
        <f>IF(AND('331-CT'!$E$7=TH!H781,OR(L781="331",M781="331")),"331",IF(AND(OR(L781="131",M781="131"),H781='131-CT'!$E$7),"131",""))</f>
        <v/>
      </c>
      <c r="O781" s="39" t="str">
        <f>IF(AND($B781&gt;='111'!$N$11,$B781&lt;='111'!$O$11,OR($L781=$O$7,$M781=$O$7)),"x","")</f>
        <v/>
      </c>
      <c r="P781" s="39" t="str">
        <f>IF(AND($L781=$O$7,$B781&lt;'111'!$N$11),"x","")</f>
        <v/>
      </c>
      <c r="Q781" s="39" t="str">
        <f>IF(AND($M781=$O$7,$B781&lt;'111'!$N$11),"x","")</f>
        <v/>
      </c>
      <c r="R781" s="39" t="str">
        <f>IF(ISERROR(FIND('112'!$M$9,G781,1)),"",IF((AND(FIND('112'!$M$9,G781,1)&gt;=1,$B781&gt;='112'!$N$8,$B781&lt;='112'!$O$8,OR($L781='112'!$I$6,$M781='112'!$I$6))),"x",""))</f>
        <v/>
      </c>
      <c r="S781" s="39" t="str">
        <f>IF(ISERROR(FIND('112'!$M$9,G781,1)),"",IF((AND(LEFT(G781,2)=LEFT('112'!$M$9,2),B781&lt;'112'!$N$8,$L781='112'!$I$6)),"x",""))</f>
        <v/>
      </c>
      <c r="T781" s="39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39" t="str">
        <f>IF(OR(TH!L781=TH!$V$7,M781=TH!$V$7),"x","")</f>
        <v/>
      </c>
      <c r="W781" s="39" t="str">
        <f>IF(AND(B781&gt;='IN-NX'!$P$3,B781&lt;='IN-NX'!$Q$3,'IN-NX'!$D$7=D781,OR(LEFT(L781,2)="15",AND(LEFT(M781,2)&lt;&gt;"15",LEFT(M781,2)&lt;&gt;"33"))),"x","")</f>
        <v/>
      </c>
      <c r="X781" s="39" t="str">
        <f>IF(AND(OR(LEFT(TH!L781,2)="15",LEFT(TH!M781,2)="15"),'152-CT'!$J$8=TH!F781),"x","")</f>
        <v/>
      </c>
      <c r="Y781" s="39" t="str">
        <f>IF(AND(OR(LEFT(TH!L781,2)="15",LEFT(TH!M781,2)="15"),TK!$E$7=TH!F781),"x","")</f>
        <v/>
      </c>
      <c r="Z781" s="39" t="str">
        <f>IF(AND(B781&lt;=NKC!$N$8,B781&gt;=NKC!$M$8),"x","")</f>
        <v/>
      </c>
      <c r="AA781" s="894"/>
      <c r="AB781" s="598" t="e">
        <f t="shared" si="37"/>
        <v>#N/A</v>
      </c>
    </row>
    <row r="782" spans="1:28" ht="15.75" customHeight="1">
      <c r="A782" s="199" t="str">
        <f>IF(B782&lt;&gt;"",IF(AND(B782&gt;=_TM1,B782&lt;=_TM2,OR(TH!L782="1111",TH!M782="1111")),TH!D782,""),"")</f>
        <v/>
      </c>
      <c r="B782" s="36">
        <f t="shared" si="35"/>
        <v>1</v>
      </c>
      <c r="C782" s="190">
        <f t="shared" si="36"/>
        <v>0</v>
      </c>
      <c r="D782" s="190"/>
      <c r="E782" s="183"/>
      <c r="F782" s="188"/>
      <c r="G782" s="491"/>
      <c r="H782" s="7"/>
      <c r="I782" s="253"/>
      <c r="J782" s="253"/>
      <c r="K782" s="38"/>
      <c r="L782" s="193"/>
      <c r="M782" s="193"/>
      <c r="N782" s="39" t="str">
        <f>IF(AND('331-CT'!$E$7=TH!H782,OR(L782="331",M782="331")),"331",IF(AND(OR(L782="131",M782="131"),H782='131-CT'!$E$7),"131",""))</f>
        <v/>
      </c>
      <c r="O782" s="39" t="str">
        <f>IF(AND($B782&gt;='111'!$N$11,$B782&lt;='111'!$O$11,OR($L782=$O$7,$M782=$O$7)),"x","")</f>
        <v/>
      </c>
      <c r="P782" s="39" t="str">
        <f>IF(AND($L782=$O$7,$B782&lt;'111'!$N$11),"x","")</f>
        <v/>
      </c>
      <c r="Q782" s="39" t="str">
        <f>IF(AND($M782=$O$7,$B782&lt;'111'!$N$11),"x","")</f>
        <v/>
      </c>
      <c r="R782" s="39" t="str">
        <f>IF(ISERROR(FIND('112'!$M$9,G782,1)),"",IF((AND(FIND('112'!$M$9,G782,1)&gt;=1,$B782&gt;='112'!$N$8,$B782&lt;='112'!$O$8,OR($L782='112'!$I$6,$M782='112'!$I$6))),"x",""))</f>
        <v/>
      </c>
      <c r="S782" s="39" t="str">
        <f>IF(ISERROR(FIND('112'!$M$9,G782,1)),"",IF((AND(LEFT(G782,2)=LEFT('112'!$M$9,2),B782&lt;'112'!$N$8,$L782='112'!$I$6)),"x",""))</f>
        <v/>
      </c>
      <c r="T782" s="39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39" t="str">
        <f>IF(OR(TH!L782=TH!$V$7,M782=TH!$V$7),"x","")</f>
        <v/>
      </c>
      <c r="W782" s="39" t="str">
        <f>IF(AND(B782&gt;='IN-NX'!$P$3,B782&lt;='IN-NX'!$Q$3,'IN-NX'!$D$7=D782,OR(LEFT(L782,2)="15",AND(LEFT(M782,2)&lt;&gt;"15",LEFT(M782,2)&lt;&gt;"33"))),"x","")</f>
        <v/>
      </c>
      <c r="X782" s="39" t="str">
        <f>IF(AND(OR(LEFT(TH!L782,2)="15",LEFT(TH!M782,2)="15"),'152-CT'!$J$8=TH!F782),"x","")</f>
        <v/>
      </c>
      <c r="Y782" s="39" t="str">
        <f>IF(AND(OR(LEFT(TH!L782,2)="15",LEFT(TH!M782,2)="15"),TK!$E$7=TH!F782),"x","")</f>
        <v/>
      </c>
      <c r="Z782" s="39" t="str">
        <f>IF(AND(B782&lt;=NKC!$N$8,B782&gt;=NKC!$M$8),"x","")</f>
        <v/>
      </c>
      <c r="AA782" s="894"/>
      <c r="AB782" s="598" t="e">
        <f t="shared" si="37"/>
        <v>#N/A</v>
      </c>
    </row>
    <row r="783" spans="1:28" ht="15.75" customHeight="1">
      <c r="A783" s="199" t="str">
        <f>IF(B783&lt;&gt;"",IF(AND(B783&gt;=_TM1,B783&lt;=_TM2,OR(TH!L783="1111",TH!M783="1111")),TH!D783,""),"")</f>
        <v/>
      </c>
      <c r="B783" s="36">
        <f t="shared" si="35"/>
        <v>1</v>
      </c>
      <c r="C783" s="190">
        <f t="shared" si="36"/>
        <v>0</v>
      </c>
      <c r="D783" s="190"/>
      <c r="E783" s="183"/>
      <c r="F783" s="188"/>
      <c r="G783" s="491"/>
      <c r="H783" s="7"/>
      <c r="I783" s="253"/>
      <c r="J783" s="253"/>
      <c r="K783" s="38"/>
      <c r="L783" s="193"/>
      <c r="M783" s="193"/>
      <c r="N783" s="39" t="str">
        <f>IF(AND('331-CT'!$E$7=TH!H783,OR(L783="331",M783="331")),"331",IF(AND(OR(L783="131",M783="131"),H783='131-CT'!$E$7),"131",""))</f>
        <v/>
      </c>
      <c r="O783" s="39" t="str">
        <f>IF(AND($B783&gt;='111'!$N$11,$B783&lt;='111'!$O$11,OR($L783=$O$7,$M783=$O$7)),"x","")</f>
        <v/>
      </c>
      <c r="P783" s="39" t="str">
        <f>IF(AND($L783=$O$7,$B783&lt;'111'!$N$11),"x","")</f>
        <v/>
      </c>
      <c r="Q783" s="39" t="str">
        <f>IF(AND($M783=$O$7,$B783&lt;'111'!$N$11),"x","")</f>
        <v/>
      </c>
      <c r="R783" s="39" t="str">
        <f>IF(ISERROR(FIND('112'!$M$9,G783,1)),"",IF((AND(FIND('112'!$M$9,G783,1)&gt;=1,$B783&gt;='112'!$N$8,$B783&lt;='112'!$O$8,OR($L783='112'!$I$6,$M783='112'!$I$6))),"x",""))</f>
        <v/>
      </c>
      <c r="S783" s="39" t="str">
        <f>IF(ISERROR(FIND('112'!$M$9,G783,1)),"",IF((AND(LEFT(G783,2)=LEFT('112'!$M$9,2),B783&lt;'112'!$N$8,$L783='112'!$I$6)),"x",""))</f>
        <v/>
      </c>
      <c r="T783" s="39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39" t="str">
        <f>IF(OR(TH!L783=TH!$V$7,M783=TH!$V$7),"x","")</f>
        <v/>
      </c>
      <c r="W783" s="39" t="str">
        <f>IF(AND(B783&gt;='IN-NX'!$P$3,B783&lt;='IN-NX'!$Q$3,'IN-NX'!$D$7=D783,OR(LEFT(L783,2)="15",AND(LEFT(M783,2)&lt;&gt;"15",LEFT(M783,2)&lt;&gt;"33"))),"x","")</f>
        <v/>
      </c>
      <c r="X783" s="39" t="str">
        <f>IF(AND(OR(LEFT(TH!L783,2)="15",LEFT(TH!M783,2)="15"),'152-CT'!$J$8=TH!F783),"x","")</f>
        <v/>
      </c>
      <c r="Y783" s="39" t="str">
        <f>IF(AND(OR(LEFT(TH!L783,2)="15",LEFT(TH!M783,2)="15"),TK!$E$7=TH!F783),"x","")</f>
        <v/>
      </c>
      <c r="Z783" s="39" t="str">
        <f>IF(AND(B783&lt;=NKC!$N$8,B783&gt;=NKC!$M$8),"x","")</f>
        <v/>
      </c>
      <c r="AA783" s="894"/>
      <c r="AB783" s="598" t="e">
        <f t="shared" si="37"/>
        <v>#N/A</v>
      </c>
    </row>
    <row r="784" spans="1:28" ht="15.75" customHeight="1">
      <c r="A784" s="199" t="str">
        <f>IF(B784&lt;&gt;"",IF(AND(B784&gt;=_TM1,B784&lt;=_TM2,OR(TH!L784="1111",TH!M784="1111")),TH!D784,""),"")</f>
        <v/>
      </c>
      <c r="B784" s="36">
        <f t="shared" si="35"/>
        <v>1</v>
      </c>
      <c r="C784" s="190">
        <f t="shared" si="36"/>
        <v>0</v>
      </c>
      <c r="D784" s="190"/>
      <c r="E784" s="183"/>
      <c r="F784" s="191"/>
      <c r="G784" s="491"/>
      <c r="H784" s="7"/>
      <c r="I784" s="253"/>
      <c r="J784" s="253"/>
      <c r="K784" s="38"/>
      <c r="L784" s="193"/>
      <c r="M784" s="193"/>
      <c r="N784" s="39" t="str">
        <f>IF(AND('331-CT'!$E$7=TH!H784,OR(L784="331",M784="331")),"331",IF(AND(OR(L784="131",M784="131"),H784='131-CT'!$E$7),"131",""))</f>
        <v/>
      </c>
      <c r="O784" s="39" t="str">
        <f>IF(AND($B784&gt;='111'!$N$11,$B784&lt;='111'!$O$11,OR($L784=$O$7,$M784=$O$7)),"x","")</f>
        <v/>
      </c>
      <c r="P784" s="39" t="str">
        <f>IF(AND($L784=$O$7,$B784&lt;'111'!$N$11),"x","")</f>
        <v/>
      </c>
      <c r="Q784" s="39" t="str">
        <f>IF(AND($M784=$O$7,$B784&lt;'111'!$N$11),"x","")</f>
        <v/>
      </c>
      <c r="R784" s="39" t="str">
        <f>IF(ISERROR(FIND('112'!$M$9,G784,1)),"",IF((AND(FIND('112'!$M$9,G784,1)&gt;=1,$B784&gt;='112'!$N$8,$B784&lt;='112'!$O$8,OR($L784='112'!$I$6,$M784='112'!$I$6))),"x",""))</f>
        <v/>
      </c>
      <c r="S784" s="39" t="str">
        <f>IF(ISERROR(FIND('112'!$M$9,G784,1)),"",IF((AND(LEFT(G784,2)=LEFT('112'!$M$9,2),B784&lt;'112'!$N$8,$L784='112'!$I$6)),"x",""))</f>
        <v/>
      </c>
      <c r="T784" s="39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39" t="str">
        <f>IF(OR(TH!L784=TH!$V$7,M784=TH!$V$7),"x","")</f>
        <v/>
      </c>
      <c r="W784" s="39" t="str">
        <f>IF(AND(B784&gt;='IN-NX'!$P$3,B784&lt;='IN-NX'!$Q$3,'IN-NX'!$D$7=D784,OR(LEFT(L784,2)="15",AND(LEFT(M784,2)&lt;&gt;"15",LEFT(M784,2)&lt;&gt;"33"))),"x","")</f>
        <v/>
      </c>
      <c r="X784" s="39" t="str">
        <f>IF(AND(OR(LEFT(TH!L784,2)="15",LEFT(TH!M784,2)="15"),'152-CT'!$J$8=TH!F784),"x","")</f>
        <v/>
      </c>
      <c r="Y784" s="39" t="str">
        <f>IF(AND(OR(LEFT(TH!L784,2)="15",LEFT(TH!M784,2)="15"),TK!$E$7=TH!F784),"x","")</f>
        <v/>
      </c>
      <c r="Z784" s="39" t="str">
        <f>IF(AND(B784&lt;=NKC!$N$8,B784&gt;=NKC!$M$8),"x","")</f>
        <v/>
      </c>
      <c r="AA784" s="894"/>
      <c r="AB784" s="598" t="e">
        <f t="shared" si="37"/>
        <v>#N/A</v>
      </c>
    </row>
    <row r="785" spans="1:28" ht="15.75" customHeight="1">
      <c r="A785" s="199" t="str">
        <f>IF(B785&lt;&gt;"",IF(AND(B785&gt;=_TM1,B785&lt;=_TM2,OR(TH!L785="1111",TH!M785="1111")),TH!D785,""),"")</f>
        <v/>
      </c>
      <c r="B785" s="36">
        <f t="shared" si="35"/>
        <v>1</v>
      </c>
      <c r="C785" s="190">
        <f t="shared" si="36"/>
        <v>0</v>
      </c>
      <c r="D785" s="190"/>
      <c r="E785" s="183"/>
      <c r="F785" s="188"/>
      <c r="G785" s="491"/>
      <c r="H785" s="7"/>
      <c r="I785" s="253"/>
      <c r="J785" s="253"/>
      <c r="K785" s="38"/>
      <c r="L785" s="193"/>
      <c r="M785" s="193"/>
      <c r="N785" s="39" t="str">
        <f>IF(AND('331-CT'!$E$7=TH!H785,OR(L785="331",M785="331")),"331",IF(AND(OR(L785="131",M785="131"),H785='131-CT'!$E$7),"131",""))</f>
        <v/>
      </c>
      <c r="O785" s="39" t="str">
        <f>IF(AND($B785&gt;='111'!$N$11,$B785&lt;='111'!$O$11,OR($L785=$O$7,$M785=$O$7)),"x","")</f>
        <v/>
      </c>
      <c r="P785" s="39" t="str">
        <f>IF(AND($L785=$O$7,$B785&lt;'111'!$N$11),"x","")</f>
        <v/>
      </c>
      <c r="Q785" s="39" t="str">
        <f>IF(AND($M785=$O$7,$B785&lt;'111'!$N$11),"x","")</f>
        <v/>
      </c>
      <c r="R785" s="39" t="str">
        <f>IF(ISERROR(FIND('112'!$M$9,G785,1)),"",IF((AND(FIND('112'!$M$9,G785,1)&gt;=1,$B785&gt;='112'!$N$8,$B785&lt;='112'!$O$8,OR($L785='112'!$I$6,$M785='112'!$I$6))),"x",""))</f>
        <v/>
      </c>
      <c r="S785" s="39" t="str">
        <f>IF(ISERROR(FIND('112'!$M$9,G785,1)),"",IF((AND(LEFT(G785,2)=LEFT('112'!$M$9,2),B785&lt;'112'!$N$8,$L785='112'!$I$6)),"x",""))</f>
        <v/>
      </c>
      <c r="T785" s="39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39" t="str">
        <f>IF(OR(TH!L785=TH!$V$7,M785=TH!$V$7),"x","")</f>
        <v/>
      </c>
      <c r="W785" s="39" t="str">
        <f>IF(AND(B785&gt;='IN-NX'!$P$3,B785&lt;='IN-NX'!$Q$3,'IN-NX'!$D$7=D785,OR(LEFT(L785,2)="15",AND(LEFT(M785,2)&lt;&gt;"15",LEFT(M785,2)&lt;&gt;"33"))),"x","")</f>
        <v/>
      </c>
      <c r="X785" s="39" t="str">
        <f>IF(AND(OR(LEFT(TH!L785,2)="15",LEFT(TH!M785,2)="15"),'152-CT'!$J$8=TH!F785),"x","")</f>
        <v/>
      </c>
      <c r="Y785" s="39" t="str">
        <f>IF(AND(OR(LEFT(TH!L785,2)="15",LEFT(TH!M785,2)="15"),TK!$E$7=TH!F785),"x","")</f>
        <v/>
      </c>
      <c r="Z785" s="39" t="str">
        <f>IF(AND(B785&lt;=NKC!$N$8,B785&gt;=NKC!$M$8),"x","")</f>
        <v/>
      </c>
      <c r="AA785" s="894"/>
      <c r="AB785" s="598" t="e">
        <f t="shared" si="37"/>
        <v>#N/A</v>
      </c>
    </row>
    <row r="786" spans="1:28" ht="15.75" customHeight="1">
      <c r="A786" s="199" t="str">
        <f>IF(B786&lt;&gt;"",IF(AND(B786&gt;=_TM1,B786&lt;=_TM2,OR(TH!L786="1111",TH!M786="1111")),TH!D786,""),"")</f>
        <v/>
      </c>
      <c r="B786" s="36">
        <f t="shared" si="35"/>
        <v>1</v>
      </c>
      <c r="C786" s="190">
        <f t="shared" si="36"/>
        <v>0</v>
      </c>
      <c r="D786" s="190"/>
      <c r="E786" s="183"/>
      <c r="F786" s="188"/>
      <c r="G786" s="491"/>
      <c r="H786" s="7"/>
      <c r="I786" s="253"/>
      <c r="J786" s="253"/>
      <c r="K786" s="38"/>
      <c r="L786" s="193"/>
      <c r="M786" s="193"/>
      <c r="N786" s="39" t="str">
        <f>IF(AND('331-CT'!$E$7=TH!H786,OR(L786="331",M786="331")),"331",IF(AND(OR(L786="131",M786="131"),H786='131-CT'!$E$7),"131",""))</f>
        <v/>
      </c>
      <c r="O786" s="39" t="str">
        <f>IF(AND($B786&gt;='111'!$N$11,$B786&lt;='111'!$O$11,OR($L786=$O$7,$M786=$O$7)),"x","")</f>
        <v/>
      </c>
      <c r="P786" s="39" t="str">
        <f>IF(AND($L786=$O$7,$B786&lt;'111'!$N$11),"x","")</f>
        <v/>
      </c>
      <c r="Q786" s="39" t="str">
        <f>IF(AND($M786=$O$7,$B786&lt;'111'!$N$11),"x","")</f>
        <v/>
      </c>
      <c r="R786" s="39" t="str">
        <f>IF(ISERROR(FIND('112'!$M$9,G786,1)),"",IF((AND(FIND('112'!$M$9,G786,1)&gt;=1,$B786&gt;='112'!$N$8,$B786&lt;='112'!$O$8,OR($L786='112'!$I$6,$M786='112'!$I$6))),"x",""))</f>
        <v/>
      </c>
      <c r="S786" s="39" t="str">
        <f>IF(ISERROR(FIND('112'!$M$9,G786,1)),"",IF((AND(LEFT(G786,2)=LEFT('112'!$M$9,2),B786&lt;'112'!$N$8,$L786='112'!$I$6)),"x",""))</f>
        <v/>
      </c>
      <c r="T786" s="39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39" t="str">
        <f>IF(OR(TH!L786=TH!$V$7,M786=TH!$V$7),"x","")</f>
        <v/>
      </c>
      <c r="W786" s="39" t="str">
        <f>IF(AND(B786&gt;='IN-NX'!$P$3,B786&lt;='IN-NX'!$Q$3,'IN-NX'!$D$7=D786,OR(LEFT(L786,2)="15",AND(LEFT(M786,2)&lt;&gt;"15",LEFT(M786,2)&lt;&gt;"33"))),"x","")</f>
        <v/>
      </c>
      <c r="X786" s="39" t="str">
        <f>IF(AND(OR(LEFT(TH!L786,2)="15",LEFT(TH!M786,2)="15"),'152-CT'!$J$8=TH!F786),"x","")</f>
        <v/>
      </c>
      <c r="Y786" s="39" t="str">
        <f>IF(AND(OR(LEFT(TH!L786,2)="15",LEFT(TH!M786,2)="15"),TK!$E$7=TH!F786),"x","")</f>
        <v/>
      </c>
      <c r="Z786" s="39" t="str">
        <f>IF(AND(B786&lt;=NKC!$N$8,B786&gt;=NKC!$M$8),"x","")</f>
        <v/>
      </c>
      <c r="AA786" s="894"/>
      <c r="AB786" s="598" t="e">
        <f t="shared" si="37"/>
        <v>#N/A</v>
      </c>
    </row>
    <row r="787" spans="1:28" ht="15.75" customHeight="1">
      <c r="A787" s="199" t="str">
        <f>IF(B787&lt;&gt;"",IF(AND(B787&gt;=_TM1,B787&lt;=_TM2,OR(TH!L787="1111",TH!M787="1111")),TH!D787,""),"")</f>
        <v/>
      </c>
      <c r="B787" s="36">
        <f t="shared" si="35"/>
        <v>1</v>
      </c>
      <c r="C787" s="190">
        <f t="shared" si="36"/>
        <v>0</v>
      </c>
      <c r="D787" s="190"/>
      <c r="E787" s="183"/>
      <c r="F787" s="188"/>
      <c r="G787" s="491"/>
      <c r="H787" s="7"/>
      <c r="I787" s="253"/>
      <c r="J787" s="253"/>
      <c r="K787" s="38"/>
      <c r="L787" s="193"/>
      <c r="M787" s="193"/>
      <c r="N787" s="39" t="str">
        <f>IF(AND('331-CT'!$E$7=TH!H787,OR(L787="331",M787="331")),"331",IF(AND(OR(L787="131",M787="131"),H787='131-CT'!$E$7),"131",""))</f>
        <v/>
      </c>
      <c r="O787" s="39" t="str">
        <f>IF(AND($B787&gt;='111'!$N$11,$B787&lt;='111'!$O$11,OR($L787=$O$7,$M787=$O$7)),"x","")</f>
        <v/>
      </c>
      <c r="P787" s="39" t="str">
        <f>IF(AND($L787=$O$7,$B787&lt;'111'!$N$11),"x","")</f>
        <v/>
      </c>
      <c r="Q787" s="39" t="str">
        <f>IF(AND($M787=$O$7,$B787&lt;'111'!$N$11),"x","")</f>
        <v/>
      </c>
      <c r="R787" s="39" t="str">
        <f>IF(ISERROR(FIND('112'!$M$9,G787,1)),"",IF((AND(FIND('112'!$M$9,G787,1)&gt;=1,$B787&gt;='112'!$N$8,$B787&lt;='112'!$O$8,OR($L787='112'!$I$6,$M787='112'!$I$6))),"x",""))</f>
        <v/>
      </c>
      <c r="S787" s="39" t="str">
        <f>IF(ISERROR(FIND('112'!$M$9,G787,1)),"",IF((AND(LEFT(G787,2)=LEFT('112'!$M$9,2),B787&lt;'112'!$N$8,$L787='112'!$I$6)),"x",""))</f>
        <v/>
      </c>
      <c r="T787" s="39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39" t="str">
        <f>IF(OR(TH!L787=TH!$V$7,M787=TH!$V$7),"x","")</f>
        <v/>
      </c>
      <c r="W787" s="39" t="str">
        <f>IF(AND(B787&gt;='IN-NX'!$P$3,B787&lt;='IN-NX'!$Q$3,'IN-NX'!$D$7=D787,OR(LEFT(L787,2)="15",AND(LEFT(M787,2)&lt;&gt;"15",LEFT(M787,2)&lt;&gt;"33"))),"x","")</f>
        <v/>
      </c>
      <c r="X787" s="39" t="str">
        <f>IF(AND(OR(LEFT(TH!L787,2)="15",LEFT(TH!M787,2)="15"),'152-CT'!$J$8=TH!F787),"x","")</f>
        <v/>
      </c>
      <c r="Y787" s="39" t="str">
        <f>IF(AND(OR(LEFT(TH!L787,2)="15",LEFT(TH!M787,2)="15"),TK!$E$7=TH!F787),"x","")</f>
        <v/>
      </c>
      <c r="Z787" s="39" t="str">
        <f>IF(AND(B787&lt;=NKC!$N$8,B787&gt;=NKC!$M$8),"x","")</f>
        <v/>
      </c>
      <c r="AA787" s="894"/>
      <c r="AB787" s="598" t="e">
        <f t="shared" si="37"/>
        <v>#N/A</v>
      </c>
    </row>
    <row r="788" spans="1:28" ht="15.75" customHeight="1">
      <c r="A788" s="199" t="str">
        <f>IF(B788&lt;&gt;"",IF(AND(B788&gt;=_TM1,B788&lt;=_TM2,OR(TH!L788="1111",TH!M788="1111")),TH!D788,""),"")</f>
        <v/>
      </c>
      <c r="B788" s="36">
        <f t="shared" si="35"/>
        <v>1</v>
      </c>
      <c r="C788" s="190">
        <f t="shared" si="36"/>
        <v>0</v>
      </c>
      <c r="D788" s="190"/>
      <c r="E788" s="183"/>
      <c r="F788" s="188"/>
      <c r="G788" s="491"/>
      <c r="H788" s="7"/>
      <c r="I788" s="253"/>
      <c r="J788" s="253"/>
      <c r="K788" s="38"/>
      <c r="L788" s="193"/>
      <c r="M788" s="193"/>
      <c r="N788" s="39" t="str">
        <f>IF(AND('331-CT'!$E$7=TH!H788,OR(L788="331",M788="331")),"331",IF(AND(OR(L788="131",M788="131"),H788='131-CT'!$E$7),"131",""))</f>
        <v/>
      </c>
      <c r="O788" s="39" t="str">
        <f>IF(AND($B788&gt;='111'!$N$11,$B788&lt;='111'!$O$11,OR($L788=$O$7,$M788=$O$7)),"x","")</f>
        <v/>
      </c>
      <c r="P788" s="39" t="str">
        <f>IF(AND($L788=$O$7,$B788&lt;'111'!$N$11),"x","")</f>
        <v/>
      </c>
      <c r="Q788" s="39" t="str">
        <f>IF(AND($M788=$O$7,$B788&lt;'111'!$N$11),"x","")</f>
        <v/>
      </c>
      <c r="R788" s="39" t="str">
        <f>IF(ISERROR(FIND('112'!$M$9,G788,1)),"",IF((AND(FIND('112'!$M$9,G788,1)&gt;=1,$B788&gt;='112'!$N$8,$B788&lt;='112'!$O$8,OR($L788='112'!$I$6,$M788='112'!$I$6))),"x",""))</f>
        <v/>
      </c>
      <c r="S788" s="39" t="str">
        <f>IF(ISERROR(FIND('112'!$M$9,G788,1)),"",IF((AND(LEFT(G788,2)=LEFT('112'!$M$9,2),B788&lt;'112'!$N$8,$L788='112'!$I$6)),"x",""))</f>
        <v/>
      </c>
      <c r="T788" s="39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39" t="str">
        <f>IF(OR(TH!L788=TH!$V$7,M788=TH!$V$7),"x","")</f>
        <v/>
      </c>
      <c r="W788" s="39" t="str">
        <f>IF(AND(B788&gt;='IN-NX'!$P$3,B788&lt;='IN-NX'!$Q$3,'IN-NX'!$D$7=D788,OR(LEFT(L788,2)="15",AND(LEFT(M788,2)&lt;&gt;"15",LEFT(M788,2)&lt;&gt;"33"))),"x","")</f>
        <v/>
      </c>
      <c r="X788" s="39" t="str">
        <f>IF(AND(OR(LEFT(TH!L788,2)="15",LEFT(TH!M788,2)="15"),'152-CT'!$J$8=TH!F788),"x","")</f>
        <v/>
      </c>
      <c r="Y788" s="39" t="str">
        <f>IF(AND(OR(LEFT(TH!L788,2)="15",LEFT(TH!M788,2)="15"),TK!$E$7=TH!F788),"x","")</f>
        <v/>
      </c>
      <c r="Z788" s="39" t="str">
        <f>IF(AND(B788&lt;=NKC!$N$8,B788&gt;=NKC!$M$8),"x","")</f>
        <v/>
      </c>
      <c r="AA788" s="894"/>
      <c r="AB788" s="598" t="e">
        <f t="shared" si="37"/>
        <v>#N/A</v>
      </c>
    </row>
    <row r="789" spans="1:28" ht="15.75" customHeight="1">
      <c r="A789" s="199" t="str">
        <f>IF(B789&lt;&gt;"",IF(AND(B789&gt;=_TM1,B789&lt;=_TM2,OR(TH!L789="1111",TH!M789="1111")),TH!D789,""),"")</f>
        <v/>
      </c>
      <c r="B789" s="36">
        <f t="shared" si="35"/>
        <v>1</v>
      </c>
      <c r="C789" s="190">
        <f t="shared" si="36"/>
        <v>0</v>
      </c>
      <c r="D789" s="190"/>
      <c r="E789" s="183"/>
      <c r="F789" s="191"/>
      <c r="G789" s="491"/>
      <c r="H789" s="7"/>
      <c r="I789" s="253"/>
      <c r="J789" s="253"/>
      <c r="K789" s="38"/>
      <c r="L789" s="193"/>
      <c r="M789" s="193"/>
      <c r="N789" s="39" t="str">
        <f>IF(AND('331-CT'!$E$7=TH!H789,OR(L789="331",M789="331")),"331",IF(AND(OR(L789="131",M789="131"),H789='131-CT'!$E$7),"131",""))</f>
        <v/>
      </c>
      <c r="O789" s="39" t="str">
        <f>IF(AND($B789&gt;='111'!$N$11,$B789&lt;='111'!$O$11,OR($L789=$O$7,$M789=$O$7)),"x","")</f>
        <v/>
      </c>
      <c r="P789" s="39" t="str">
        <f>IF(AND($L789=$O$7,$B789&lt;'111'!$N$11),"x","")</f>
        <v/>
      </c>
      <c r="Q789" s="39" t="str">
        <f>IF(AND($M789=$O$7,$B789&lt;'111'!$N$11),"x","")</f>
        <v/>
      </c>
      <c r="R789" s="39" t="str">
        <f>IF(ISERROR(FIND('112'!$M$9,G789,1)),"",IF((AND(FIND('112'!$M$9,G789,1)&gt;=1,$B789&gt;='112'!$N$8,$B789&lt;='112'!$O$8,OR($L789='112'!$I$6,$M789='112'!$I$6))),"x",""))</f>
        <v/>
      </c>
      <c r="S789" s="39" t="str">
        <f>IF(ISERROR(FIND('112'!$M$9,G789,1)),"",IF((AND(LEFT(G789,2)=LEFT('112'!$M$9,2),B789&lt;'112'!$N$8,$L789='112'!$I$6)),"x",""))</f>
        <v/>
      </c>
      <c r="T789" s="39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39" t="str">
        <f>IF(OR(TH!L789=TH!$V$7,M789=TH!$V$7),"x","")</f>
        <v/>
      </c>
      <c r="W789" s="39" t="str">
        <f>IF(AND(B789&gt;='IN-NX'!$P$3,B789&lt;='IN-NX'!$Q$3,'IN-NX'!$D$7=D789,OR(LEFT(L789,2)="15",AND(LEFT(M789,2)&lt;&gt;"15",LEFT(M789,2)&lt;&gt;"33"))),"x","")</f>
        <v/>
      </c>
      <c r="X789" s="39" t="str">
        <f>IF(AND(OR(LEFT(TH!L789,2)="15",LEFT(TH!M789,2)="15"),'152-CT'!$J$8=TH!F789),"x","")</f>
        <v/>
      </c>
      <c r="Y789" s="39" t="str">
        <f>IF(AND(OR(LEFT(TH!L789,2)="15",LEFT(TH!M789,2)="15"),TK!$E$7=TH!F789),"x","")</f>
        <v/>
      </c>
      <c r="Z789" s="39" t="str">
        <f>IF(AND(B789&lt;=NKC!$N$8,B789&gt;=NKC!$M$8),"x","")</f>
        <v/>
      </c>
      <c r="AA789" s="894"/>
      <c r="AB789" s="598" t="e">
        <f t="shared" si="37"/>
        <v>#N/A</v>
      </c>
    </row>
    <row r="790" spans="1:28" ht="15.75" customHeight="1">
      <c r="A790" s="199" t="str">
        <f>IF(B790&lt;&gt;"",IF(AND(B790&gt;=_TM1,B790&lt;=_TM2,OR(TH!L790="1111",TH!M790="1111")),TH!D790,""),"")</f>
        <v/>
      </c>
      <c r="B790" s="36">
        <f t="shared" si="35"/>
        <v>1</v>
      </c>
      <c r="C790" s="190">
        <f t="shared" si="36"/>
        <v>0</v>
      </c>
      <c r="D790" s="190"/>
      <c r="E790" s="183"/>
      <c r="F790" s="188"/>
      <c r="G790" s="491"/>
      <c r="H790" s="7"/>
      <c r="I790" s="253"/>
      <c r="J790" s="253"/>
      <c r="K790" s="606"/>
      <c r="L790" s="193"/>
      <c r="M790" s="193"/>
      <c r="N790" s="39" t="str">
        <f>IF(AND('331-CT'!$E$7=TH!H790,OR(L790="331",M790="331")),"331",IF(AND(OR(L790="131",M790="131"),H790='131-CT'!$E$7),"131",""))</f>
        <v/>
      </c>
      <c r="O790" s="39" t="str">
        <f>IF(AND($B790&gt;='111'!$N$11,$B790&lt;='111'!$O$11,OR($L790=$O$7,$M790=$O$7)),"x","")</f>
        <v/>
      </c>
      <c r="P790" s="39" t="str">
        <f>IF(AND($L790=$O$7,$B790&lt;'111'!$N$11),"x","")</f>
        <v/>
      </c>
      <c r="Q790" s="39" t="str">
        <f>IF(AND($M790=$O$7,$B790&lt;'111'!$N$11),"x","")</f>
        <v/>
      </c>
      <c r="R790" s="39" t="str">
        <f>IF(ISERROR(FIND('112'!$M$9,G790,1)),"",IF((AND(FIND('112'!$M$9,G790,1)&gt;=1,$B790&gt;='112'!$N$8,$B790&lt;='112'!$O$8,OR($L790='112'!$I$6,$M790='112'!$I$6))),"x",""))</f>
        <v/>
      </c>
      <c r="S790" s="39" t="str">
        <f>IF(ISERROR(FIND('112'!$M$9,G790,1)),"",IF((AND(LEFT(G790,2)=LEFT('112'!$M$9,2),B790&lt;'112'!$N$8,$L790='112'!$I$6)),"x",""))</f>
        <v/>
      </c>
      <c r="T790" s="39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39" t="str">
        <f>IF(OR(TH!L790=TH!$V$7,M790=TH!$V$7),"x","")</f>
        <v/>
      </c>
      <c r="W790" s="39" t="str">
        <f>IF(AND(B790&gt;='IN-NX'!$P$3,B790&lt;='IN-NX'!$Q$3,'IN-NX'!$D$7=D790,OR(LEFT(L790,2)="15",AND(LEFT(M790,2)&lt;&gt;"15",LEFT(M790,2)&lt;&gt;"33"))),"x","")</f>
        <v/>
      </c>
      <c r="X790" s="39" t="str">
        <f>IF(AND(OR(LEFT(TH!L790,2)="15",LEFT(TH!M790,2)="15"),'152-CT'!$J$8=TH!F790),"x","")</f>
        <v/>
      </c>
      <c r="Y790" s="39" t="str">
        <f>IF(AND(OR(LEFT(TH!L790,2)="15",LEFT(TH!M790,2)="15"),TK!$E$7=TH!F790),"x","")</f>
        <v/>
      </c>
      <c r="Z790" s="39" t="str">
        <f>IF(AND(B790&lt;=NKC!$N$8,B790&gt;=NKC!$M$8),"x","")</f>
        <v/>
      </c>
      <c r="AA790" s="894"/>
      <c r="AB790" s="598" t="e">
        <f t="shared" si="37"/>
        <v>#N/A</v>
      </c>
    </row>
    <row r="791" spans="1:28" ht="15.75" customHeight="1">
      <c r="A791" s="199" t="str">
        <f>IF(B791&lt;&gt;"",IF(AND(B791&gt;=_TM1,B791&lt;=_TM2,OR(TH!L791="1111",TH!M791="1111")),TH!D791,""),"")</f>
        <v/>
      </c>
      <c r="B791" s="36">
        <f t="shared" si="35"/>
        <v>1</v>
      </c>
      <c r="C791" s="190">
        <f t="shared" si="36"/>
        <v>0</v>
      </c>
      <c r="D791" s="190"/>
      <c r="E791" s="183"/>
      <c r="F791" s="188"/>
      <c r="G791" s="491"/>
      <c r="H791" s="7"/>
      <c r="I791" s="253"/>
      <c r="J791" s="253"/>
      <c r="K791" s="38"/>
      <c r="L791" s="193"/>
      <c r="M791" s="193"/>
      <c r="N791" s="39" t="str">
        <f>IF(AND('331-CT'!$E$7=TH!H791,OR(L791="331",M791="331")),"331",IF(AND(OR(L791="131",M791="131"),H791='131-CT'!$E$7),"131",""))</f>
        <v/>
      </c>
      <c r="O791" s="39" t="str">
        <f>IF(AND($B791&gt;='111'!$N$11,$B791&lt;='111'!$O$11,OR($L791=$O$7,$M791=$O$7)),"x","")</f>
        <v/>
      </c>
      <c r="P791" s="39" t="str">
        <f>IF(AND($L791=$O$7,$B791&lt;'111'!$N$11),"x","")</f>
        <v/>
      </c>
      <c r="Q791" s="39" t="str">
        <f>IF(AND($M791=$O$7,$B791&lt;'111'!$N$11),"x","")</f>
        <v/>
      </c>
      <c r="R791" s="39" t="str">
        <f>IF(ISERROR(FIND('112'!$M$9,G791,1)),"",IF((AND(FIND('112'!$M$9,G791,1)&gt;=1,$B791&gt;='112'!$N$8,$B791&lt;='112'!$O$8,OR($L791='112'!$I$6,$M791='112'!$I$6))),"x",""))</f>
        <v/>
      </c>
      <c r="S791" s="39" t="str">
        <f>IF(ISERROR(FIND('112'!$M$9,G791,1)),"",IF((AND(LEFT(G791,2)=LEFT('112'!$M$9,2),B791&lt;'112'!$N$8,$L791='112'!$I$6)),"x",""))</f>
        <v/>
      </c>
      <c r="T791" s="39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39" t="str">
        <f>IF(OR(TH!L791=TH!$V$7,M791=TH!$V$7),"x","")</f>
        <v/>
      </c>
      <c r="W791" s="39" t="str">
        <f>IF(AND(B791&gt;='IN-NX'!$P$3,B791&lt;='IN-NX'!$Q$3,'IN-NX'!$D$7=D791,OR(LEFT(L791,2)="15",AND(LEFT(M791,2)&lt;&gt;"15",LEFT(M791,2)&lt;&gt;"33"))),"x","")</f>
        <v/>
      </c>
      <c r="X791" s="39" t="str">
        <f>IF(AND(OR(LEFT(TH!L791,2)="15",LEFT(TH!M791,2)="15"),'152-CT'!$J$8=TH!F791),"x","")</f>
        <v/>
      </c>
      <c r="Y791" s="39" t="str">
        <f>IF(AND(OR(LEFT(TH!L791,2)="15",LEFT(TH!M791,2)="15"),TK!$E$7=TH!F791),"x","")</f>
        <v/>
      </c>
      <c r="Z791" s="39" t="str">
        <f>IF(AND(B791&lt;=NKC!$N$8,B791&gt;=NKC!$M$8),"x","")</f>
        <v/>
      </c>
      <c r="AA791" s="894"/>
      <c r="AB791" s="598" t="e">
        <f t="shared" si="37"/>
        <v>#N/A</v>
      </c>
    </row>
    <row r="792" spans="1:28" ht="15.75" customHeight="1">
      <c r="A792" s="199" t="str">
        <f>IF(B792&lt;&gt;"",IF(AND(B792&gt;=_TM1,B792&lt;=_TM2,OR(TH!L792="1111",TH!M792="1111")),TH!D792,""),"")</f>
        <v/>
      </c>
      <c r="B792" s="36">
        <f t="shared" si="35"/>
        <v>1</v>
      </c>
      <c r="C792" s="190">
        <f t="shared" si="36"/>
        <v>0</v>
      </c>
      <c r="D792" s="190"/>
      <c r="E792" s="183"/>
      <c r="F792" s="188"/>
      <c r="G792" s="491"/>
      <c r="H792" s="7"/>
      <c r="I792" s="253"/>
      <c r="J792" s="253"/>
      <c r="K792" s="38"/>
      <c r="L792" s="193"/>
      <c r="M792" s="193"/>
      <c r="N792" s="39" t="str">
        <f>IF(AND('331-CT'!$E$7=TH!H792,OR(L792="331",M792="331")),"331",IF(AND(OR(L792="131",M792="131"),H792='131-CT'!$E$7),"131",""))</f>
        <v/>
      </c>
      <c r="O792" s="39" t="str">
        <f>IF(AND($B792&gt;='111'!$N$11,$B792&lt;='111'!$O$11,OR($L792=$O$7,$M792=$O$7)),"x","")</f>
        <v/>
      </c>
      <c r="P792" s="39" t="str">
        <f>IF(AND($L792=$O$7,$B792&lt;'111'!$N$11),"x","")</f>
        <v/>
      </c>
      <c r="Q792" s="39" t="str">
        <f>IF(AND($M792=$O$7,$B792&lt;'111'!$N$11),"x","")</f>
        <v/>
      </c>
      <c r="R792" s="39" t="str">
        <f>IF(ISERROR(FIND('112'!$M$9,G792,1)),"",IF((AND(FIND('112'!$M$9,G792,1)&gt;=1,$B792&gt;='112'!$N$8,$B792&lt;='112'!$O$8,OR($L792='112'!$I$6,$M792='112'!$I$6))),"x",""))</f>
        <v/>
      </c>
      <c r="S792" s="39" t="str">
        <f>IF(ISERROR(FIND('112'!$M$9,G792,1)),"",IF((AND(LEFT(G792,2)=LEFT('112'!$M$9,2),B792&lt;'112'!$N$8,$L792='112'!$I$6)),"x",""))</f>
        <v/>
      </c>
      <c r="T792" s="39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39" t="str">
        <f>IF(OR(TH!L792=TH!$V$7,M792=TH!$V$7),"x","")</f>
        <v/>
      </c>
      <c r="W792" s="39" t="str">
        <f>IF(AND(B792&gt;='IN-NX'!$P$3,B792&lt;='IN-NX'!$Q$3,'IN-NX'!$D$7=D792,OR(LEFT(L792,2)="15",AND(LEFT(M792,2)&lt;&gt;"15",LEFT(M792,2)&lt;&gt;"33"))),"x","")</f>
        <v/>
      </c>
      <c r="X792" s="39" t="str">
        <f>IF(AND(OR(LEFT(TH!L792,2)="15",LEFT(TH!M792,2)="15"),'152-CT'!$J$8=TH!F792),"x","")</f>
        <v/>
      </c>
      <c r="Y792" s="39" t="str">
        <f>IF(AND(OR(LEFT(TH!L792,2)="15",LEFT(TH!M792,2)="15"),TK!$E$7=TH!F792),"x","")</f>
        <v/>
      </c>
      <c r="Z792" s="39" t="str">
        <f>IF(AND(B792&lt;=NKC!$N$8,B792&gt;=NKC!$M$8),"x","")</f>
        <v/>
      </c>
      <c r="AA792" s="894"/>
      <c r="AB792" s="598" t="e">
        <f t="shared" si="37"/>
        <v>#N/A</v>
      </c>
    </row>
    <row r="793" spans="1:28" ht="15.75" customHeight="1">
      <c r="A793" s="199" t="str">
        <f>IF(B793&lt;&gt;"",IF(AND(B793&gt;=_TM1,B793&lt;=_TM2,OR(TH!L793="1111",TH!M793="1111")),TH!D793,""),"")</f>
        <v/>
      </c>
      <c r="B793" s="36">
        <f t="shared" ref="B793:B856" si="38">IF(C793&lt;&gt;"",MONTH(C793),"")</f>
        <v>1</v>
      </c>
      <c r="C793" s="190">
        <f t="shared" si="36"/>
        <v>0</v>
      </c>
      <c r="D793" s="190"/>
      <c r="E793" s="183"/>
      <c r="F793" s="188"/>
      <c r="G793" s="491"/>
      <c r="H793" s="7"/>
      <c r="I793" s="253"/>
      <c r="J793" s="253"/>
      <c r="K793" s="38"/>
      <c r="L793" s="193"/>
      <c r="M793" s="193"/>
      <c r="N793" s="39" t="str">
        <f>IF(AND('331-CT'!$E$7=TH!H793,OR(L793="331",M793="331")),"331",IF(AND(OR(L793="131",M793="131"),H793='131-CT'!$E$7),"131",""))</f>
        <v/>
      </c>
      <c r="O793" s="39" t="str">
        <f>IF(AND($B793&gt;='111'!$N$11,$B793&lt;='111'!$O$11,OR($L793=$O$7,$M793=$O$7)),"x","")</f>
        <v/>
      </c>
      <c r="P793" s="39" t="str">
        <f>IF(AND($L793=$O$7,$B793&lt;'111'!$N$11),"x","")</f>
        <v/>
      </c>
      <c r="Q793" s="39" t="str">
        <f>IF(AND($M793=$O$7,$B793&lt;'111'!$N$11),"x","")</f>
        <v/>
      </c>
      <c r="R793" s="39" t="str">
        <f>IF(ISERROR(FIND('112'!$M$9,G793,1)),"",IF((AND(FIND('112'!$M$9,G793,1)&gt;=1,$B793&gt;='112'!$N$8,$B793&lt;='112'!$O$8,OR($L793='112'!$I$6,$M793='112'!$I$6))),"x",""))</f>
        <v/>
      </c>
      <c r="S793" s="39" t="str">
        <f>IF(ISERROR(FIND('112'!$M$9,G793,1)),"",IF((AND(LEFT(G793,2)=LEFT('112'!$M$9,2),B793&lt;'112'!$N$8,$L793='112'!$I$6)),"x",""))</f>
        <v/>
      </c>
      <c r="T793" s="39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39" t="str">
        <f>IF(OR(TH!L793=TH!$V$7,M793=TH!$V$7),"x","")</f>
        <v/>
      </c>
      <c r="W793" s="39" t="str">
        <f>IF(AND(B793&gt;='IN-NX'!$P$3,B793&lt;='IN-NX'!$Q$3,'IN-NX'!$D$7=D793,OR(LEFT(L793,2)="15",AND(LEFT(M793,2)&lt;&gt;"15",LEFT(M793,2)&lt;&gt;"33"))),"x","")</f>
        <v/>
      </c>
      <c r="X793" s="39" t="str">
        <f>IF(AND(OR(LEFT(TH!L793,2)="15",LEFT(TH!M793,2)="15"),'152-CT'!$J$8=TH!F793),"x","")</f>
        <v/>
      </c>
      <c r="Y793" s="39" t="str">
        <f>IF(AND(OR(LEFT(TH!L793,2)="15",LEFT(TH!M793,2)="15"),TK!$E$7=TH!F793),"x","")</f>
        <v/>
      </c>
      <c r="Z793" s="39" t="str">
        <f>IF(AND(B793&lt;=NKC!$N$8,B793&gt;=NKC!$M$8),"x","")</f>
        <v/>
      </c>
      <c r="AA793" s="894"/>
      <c r="AB793" s="598" t="e">
        <f t="shared" si="37"/>
        <v>#N/A</v>
      </c>
    </row>
    <row r="794" spans="1:28" ht="15.75" customHeight="1">
      <c r="A794" s="199" t="str">
        <f>IF(B794&lt;&gt;"",IF(AND(B794&gt;=_TM1,B794&lt;=_TM2,OR(TH!L794="1111",TH!M794="1111")),TH!D794,""),"")</f>
        <v/>
      </c>
      <c r="B794" s="36">
        <f t="shared" si="38"/>
        <v>1</v>
      </c>
      <c r="C794" s="190">
        <f t="shared" si="36"/>
        <v>0</v>
      </c>
      <c r="D794" s="190"/>
      <c r="E794" s="183"/>
      <c r="F794" s="188"/>
      <c r="G794" s="491"/>
      <c r="H794" s="7"/>
      <c r="I794" s="253"/>
      <c r="J794" s="253"/>
      <c r="K794" s="606"/>
      <c r="L794" s="193"/>
      <c r="M794" s="193"/>
      <c r="N794" s="39" t="str">
        <f>IF(AND('331-CT'!$E$7=TH!H794,OR(L794="331",M794="331")),"331",IF(AND(OR(L794="131",M794="131"),H794='131-CT'!$E$7),"131",""))</f>
        <v/>
      </c>
      <c r="O794" s="39" t="str">
        <f>IF(AND($B794&gt;='111'!$N$11,$B794&lt;='111'!$O$11,OR($L794=$O$7,$M794=$O$7)),"x","")</f>
        <v/>
      </c>
      <c r="P794" s="39" t="str">
        <f>IF(AND($L794=$O$7,$B794&lt;'111'!$N$11),"x","")</f>
        <v/>
      </c>
      <c r="Q794" s="39" t="str">
        <f>IF(AND($M794=$O$7,$B794&lt;'111'!$N$11),"x","")</f>
        <v/>
      </c>
      <c r="R794" s="39" t="str">
        <f>IF(ISERROR(FIND('112'!$M$9,G794,1)),"",IF((AND(FIND('112'!$M$9,G794,1)&gt;=1,$B794&gt;='112'!$N$8,$B794&lt;='112'!$O$8,OR($L794='112'!$I$6,$M794='112'!$I$6))),"x",""))</f>
        <v/>
      </c>
      <c r="S794" s="39" t="str">
        <f>IF(ISERROR(FIND('112'!$M$9,G794,1)),"",IF((AND(LEFT(G794,2)=LEFT('112'!$M$9,2),B794&lt;'112'!$N$8,$L794='112'!$I$6)),"x",""))</f>
        <v/>
      </c>
      <c r="T794" s="39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39" t="str">
        <f>IF(OR(TH!L794=TH!$V$7,M794=TH!$V$7),"x","")</f>
        <v/>
      </c>
      <c r="W794" s="39" t="str">
        <f>IF(AND(B794&gt;='IN-NX'!$P$3,B794&lt;='IN-NX'!$Q$3,'IN-NX'!$D$7=D794,OR(LEFT(L794,2)="15",AND(LEFT(M794,2)&lt;&gt;"15",LEFT(M794,2)&lt;&gt;"33"))),"x","")</f>
        <v/>
      </c>
      <c r="X794" s="39" t="str">
        <f>IF(AND(OR(LEFT(TH!L794,2)="15",LEFT(TH!M794,2)="15"),'152-CT'!$J$8=TH!F794),"x","")</f>
        <v/>
      </c>
      <c r="Y794" s="39" t="str">
        <f>IF(AND(OR(LEFT(TH!L794,2)="15",LEFT(TH!M794,2)="15"),TK!$E$7=TH!F794),"x","")</f>
        <v/>
      </c>
      <c r="Z794" s="39" t="str">
        <f>IF(AND(B794&lt;=NKC!$N$8,B794&gt;=NKC!$M$8),"x","")</f>
        <v/>
      </c>
      <c r="AA794" s="894"/>
      <c r="AB794" s="598" t="e">
        <f t="shared" si="37"/>
        <v>#N/A</v>
      </c>
    </row>
    <row r="795" spans="1:28" ht="15.75" customHeight="1">
      <c r="A795" s="199" t="str">
        <f>IF(B795&lt;&gt;"",IF(AND(B795&gt;=_TM1,B795&lt;=_TM2,OR(TH!L795="1111",TH!M795="1111")),TH!D795,""),"")</f>
        <v/>
      </c>
      <c r="B795" s="36" t="str">
        <f t="shared" si="38"/>
        <v/>
      </c>
      <c r="C795" s="190"/>
      <c r="D795" s="190"/>
      <c r="E795" s="183"/>
      <c r="F795" s="188"/>
      <c r="G795" s="491"/>
      <c r="H795" s="7"/>
      <c r="I795" s="253"/>
      <c r="J795" s="253"/>
      <c r="K795" s="606"/>
      <c r="L795" s="193"/>
      <c r="M795" s="193"/>
      <c r="N795" s="39" t="str">
        <f>IF(AND('331-CT'!$E$7=TH!H795,OR(L795="331",M795="331")),"331",IF(AND(OR(L795="131",M795="131"),H795='131-CT'!$E$7),"131",""))</f>
        <v/>
      </c>
      <c r="O795" s="39" t="str">
        <f>IF(AND($B795&gt;='111'!$N$11,$B795&lt;='111'!$O$11,OR($L795=$O$7,$M795=$O$7)),"x","")</f>
        <v/>
      </c>
      <c r="P795" s="39" t="str">
        <f>IF(AND($L795=$O$7,$B795&lt;'111'!$N$11),"x","")</f>
        <v/>
      </c>
      <c r="Q795" s="39" t="str">
        <f>IF(AND($M795=$O$7,$B795&lt;'111'!$N$11),"x","")</f>
        <v/>
      </c>
      <c r="R795" s="39" t="str">
        <f>IF(ISERROR(FIND('112'!$M$9,G795,1)),"",IF((AND(FIND('112'!$M$9,G795,1)&gt;=1,$B795&gt;='112'!$N$8,$B795&lt;='112'!$O$8,OR($L795='112'!$I$6,$M795='112'!$I$6))),"x",""))</f>
        <v/>
      </c>
      <c r="S795" s="39" t="str">
        <f>IF(ISERROR(FIND('112'!$M$9,G795,1)),"",IF((AND(LEFT(G795,2)=LEFT('112'!$M$9,2),B795&lt;'112'!$N$8,$L795='112'!$I$6)),"x",""))</f>
        <v/>
      </c>
      <c r="T795" s="39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39" t="str">
        <f>IF(OR(TH!L795=TH!$V$7,M795=TH!$V$7),"x","")</f>
        <v/>
      </c>
      <c r="W795" s="39" t="str">
        <f>IF(AND(B795&gt;='IN-NX'!$P$3,B795&lt;='IN-NX'!$Q$3,'IN-NX'!$D$7=D795,OR(LEFT(L795,2)="15",AND(LEFT(M795,2)&lt;&gt;"15",LEFT(M795,2)&lt;&gt;"33"))),"x","")</f>
        <v/>
      </c>
      <c r="X795" s="39" t="str">
        <f>IF(AND(OR(LEFT(TH!L795,2)="15",LEFT(TH!M795,2)="15"),'152-CT'!$J$8=TH!F795),"x","")</f>
        <v/>
      </c>
      <c r="Y795" s="39" t="str">
        <f>IF(AND(OR(LEFT(TH!L795,2)="15",LEFT(TH!M795,2)="15"),TK!$E$7=TH!F795),"x","")</f>
        <v/>
      </c>
      <c r="Z795" s="39" t="str">
        <f>IF(AND(B795&lt;=NKC!$N$8,B795&gt;=NKC!$M$8),"x","")</f>
        <v/>
      </c>
      <c r="AA795" s="894"/>
    </row>
    <row r="796" spans="1:28" ht="15.75" customHeight="1">
      <c r="A796" s="199" t="str">
        <f>IF(B796&lt;&gt;"",IF(AND(B796&gt;=_TM1,B796&lt;=_TM2,OR(TH!L796="1111",TH!M796="1111")),TH!D796,""),"")</f>
        <v/>
      </c>
      <c r="B796" s="36" t="str">
        <f t="shared" si="38"/>
        <v/>
      </c>
      <c r="C796" s="190"/>
      <c r="D796" s="190"/>
      <c r="E796" s="183"/>
      <c r="F796" s="188"/>
      <c r="G796" s="491"/>
      <c r="H796" s="7"/>
      <c r="I796" s="253"/>
      <c r="J796" s="253"/>
      <c r="K796" s="606"/>
      <c r="L796" s="193"/>
      <c r="M796" s="193"/>
      <c r="N796" s="39" t="str">
        <f>IF(AND('331-CT'!$E$7=TH!H796,OR(L796="331",M796="331")),"331",IF(AND(OR(L796="131",M796="131"),H796='131-CT'!$E$7),"131",""))</f>
        <v/>
      </c>
      <c r="O796" s="39" t="str">
        <f>IF(AND($B796&gt;='111'!$N$11,$B796&lt;='111'!$O$11,OR($L796=$O$7,$M796=$O$7)),"x","")</f>
        <v/>
      </c>
      <c r="P796" s="39" t="str">
        <f>IF(AND($L796=$O$7,$B796&lt;'111'!$N$11),"x","")</f>
        <v/>
      </c>
      <c r="Q796" s="39" t="str">
        <f>IF(AND($M796=$O$7,$B796&lt;'111'!$N$11),"x","")</f>
        <v/>
      </c>
      <c r="R796" s="39" t="str">
        <f>IF(ISERROR(FIND('112'!$M$9,G796,1)),"",IF((AND(FIND('112'!$M$9,G796,1)&gt;=1,$B796&gt;='112'!$N$8,$B796&lt;='112'!$O$8,OR($L796='112'!$I$6,$M796='112'!$I$6))),"x",""))</f>
        <v/>
      </c>
      <c r="S796" s="39" t="str">
        <f>IF(ISERROR(FIND('112'!$M$9,G796,1)),"",IF((AND(LEFT(G796,2)=LEFT('112'!$M$9,2),B796&lt;'112'!$N$8,$L796='112'!$I$6)),"x",""))</f>
        <v/>
      </c>
      <c r="T796" s="39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39" t="str">
        <f>IF(OR(TH!L796=TH!$V$7,M796=TH!$V$7),"x","")</f>
        <v/>
      </c>
      <c r="W796" s="39" t="str">
        <f>IF(AND(B796&gt;='IN-NX'!$P$3,B796&lt;='IN-NX'!$Q$3,'IN-NX'!$D$7=D796,OR(LEFT(L796,2)="15",AND(LEFT(M796,2)&lt;&gt;"15",LEFT(M796,2)&lt;&gt;"33"))),"x","")</f>
        <v/>
      </c>
      <c r="X796" s="39" t="str">
        <f>IF(AND(OR(LEFT(TH!L796,2)="15",LEFT(TH!M796,2)="15"),'152-CT'!$J$8=TH!F796),"x","")</f>
        <v/>
      </c>
      <c r="Y796" s="39" t="str">
        <f>IF(AND(OR(LEFT(TH!L796,2)="15",LEFT(TH!M796,2)="15"),TK!$E$7=TH!F796),"x","")</f>
        <v/>
      </c>
      <c r="Z796" s="39" t="str">
        <f>IF(AND(B796&lt;=NKC!$N$8,B796&gt;=NKC!$M$8),"x","")</f>
        <v/>
      </c>
      <c r="AA796" s="894"/>
    </row>
    <row r="797" spans="1:28" ht="15.75" customHeight="1">
      <c r="A797" s="199" t="str">
        <f>IF(B797&lt;&gt;"",IF(AND(B797&gt;=_TM1,B797&lt;=_TM2,OR(TH!L797="1111",TH!M797="1111")),TH!D797,""),"")</f>
        <v/>
      </c>
      <c r="B797" s="36" t="str">
        <f t="shared" si="38"/>
        <v/>
      </c>
      <c r="C797" s="190"/>
      <c r="D797" s="190"/>
      <c r="E797" s="183"/>
      <c r="F797" s="188"/>
      <c r="G797" s="491"/>
      <c r="H797" s="7"/>
      <c r="I797" s="253"/>
      <c r="J797" s="253"/>
      <c r="K797" s="606"/>
      <c r="L797" s="193"/>
      <c r="M797" s="193"/>
      <c r="N797" s="39" t="str">
        <f>IF(AND('331-CT'!$E$7=TH!H797,OR(L797="331",M797="331")),"331",IF(AND(OR(L797="131",M797="131"),H797='131-CT'!$E$7),"131",""))</f>
        <v/>
      </c>
      <c r="O797" s="39" t="str">
        <f>IF(AND($B797&gt;='111'!$N$11,$B797&lt;='111'!$O$11,OR($L797=$O$7,$M797=$O$7)),"x","")</f>
        <v/>
      </c>
      <c r="P797" s="39" t="str">
        <f>IF(AND($L797=$O$7,$B797&lt;'111'!$N$11),"x","")</f>
        <v/>
      </c>
      <c r="Q797" s="39" t="str">
        <f>IF(AND($M797=$O$7,$B797&lt;'111'!$N$11),"x","")</f>
        <v/>
      </c>
      <c r="R797" s="39" t="str">
        <f>IF(ISERROR(FIND('112'!$M$9,G797,1)),"",IF((AND(FIND('112'!$M$9,G797,1)&gt;=1,$B797&gt;='112'!$N$8,$B797&lt;='112'!$O$8,OR($L797='112'!$I$6,$M797='112'!$I$6))),"x",""))</f>
        <v/>
      </c>
      <c r="S797" s="39" t="str">
        <f>IF(ISERROR(FIND('112'!$M$9,G797,1)),"",IF((AND(LEFT(G797,2)=LEFT('112'!$M$9,2),B797&lt;'112'!$N$8,$L797='112'!$I$6)),"x",""))</f>
        <v/>
      </c>
      <c r="T797" s="39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39" t="str">
        <f>IF(OR(TH!L797=TH!$V$7,M797=TH!$V$7),"x","")</f>
        <v/>
      </c>
      <c r="W797" s="39" t="str">
        <f>IF(AND(B797&gt;='IN-NX'!$P$3,B797&lt;='IN-NX'!$Q$3,'IN-NX'!$D$7=D797,OR(LEFT(L797,2)="15",AND(LEFT(M797,2)&lt;&gt;"15",LEFT(M797,2)&lt;&gt;"33"))),"x","")</f>
        <v/>
      </c>
      <c r="X797" s="39" t="str">
        <f>IF(AND(OR(LEFT(TH!L797,2)="15",LEFT(TH!M797,2)="15"),'152-CT'!$J$8=TH!F797),"x","")</f>
        <v/>
      </c>
      <c r="Y797" s="39" t="str">
        <f>IF(AND(OR(LEFT(TH!L797,2)="15",LEFT(TH!M797,2)="15"),TK!$E$7=TH!F797),"x","")</f>
        <v/>
      </c>
      <c r="Z797" s="39" t="str">
        <f>IF(AND(B797&lt;=NKC!$N$8,B797&gt;=NKC!$M$8),"x","")</f>
        <v/>
      </c>
      <c r="AA797" s="894"/>
    </row>
    <row r="798" spans="1:28" ht="15.75" customHeight="1">
      <c r="A798" s="199" t="str">
        <f>IF(B798&lt;&gt;"",IF(AND(B798&gt;=_TM1,B798&lt;=_TM2,OR(TH!L798="1111",TH!M798="1111")),TH!D798,""),"")</f>
        <v/>
      </c>
      <c r="B798" s="36" t="str">
        <f t="shared" si="38"/>
        <v/>
      </c>
      <c r="C798" s="190"/>
      <c r="D798" s="190"/>
      <c r="E798" s="183"/>
      <c r="F798" s="191"/>
      <c r="G798" s="491"/>
      <c r="H798" s="7"/>
      <c r="I798" s="253"/>
      <c r="J798" s="253"/>
      <c r="K798" s="606"/>
      <c r="L798" s="193"/>
      <c r="M798" s="193"/>
      <c r="N798" s="39" t="str">
        <f>IF(AND('331-CT'!$E$7=TH!H798,OR(L798="331",M798="331")),"331",IF(AND(OR(L798="131",M798="131"),H798='131-CT'!$E$7),"131",""))</f>
        <v/>
      </c>
      <c r="O798" s="39" t="str">
        <f>IF(AND($B798&gt;='111'!$N$11,$B798&lt;='111'!$O$11,OR($L798=$O$7,$M798=$O$7)),"x","")</f>
        <v/>
      </c>
      <c r="P798" s="39" t="str">
        <f>IF(AND($L798=$O$7,$B798&lt;'111'!$N$11),"x","")</f>
        <v/>
      </c>
      <c r="Q798" s="39" t="str">
        <f>IF(AND($M798=$O$7,$B798&lt;'111'!$N$11),"x","")</f>
        <v/>
      </c>
      <c r="R798" s="39" t="str">
        <f>IF(ISERROR(FIND('112'!$M$9,G798,1)),"",IF((AND(FIND('112'!$M$9,G798,1)&gt;=1,$B798&gt;='112'!$N$8,$B798&lt;='112'!$O$8,OR($L798='112'!$I$6,$M798='112'!$I$6))),"x",""))</f>
        <v/>
      </c>
      <c r="S798" s="39" t="str">
        <f>IF(ISERROR(FIND('112'!$M$9,G798,1)),"",IF((AND(LEFT(G798,2)=LEFT('112'!$M$9,2),B798&lt;'112'!$N$8,$L798='112'!$I$6)),"x",""))</f>
        <v/>
      </c>
      <c r="T798" s="39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39" t="str">
        <f>IF(OR(TH!L798=TH!$V$7,M798=TH!$V$7),"x","")</f>
        <v/>
      </c>
      <c r="W798" s="39" t="str">
        <f>IF(AND(B798&gt;='IN-NX'!$P$3,B798&lt;='IN-NX'!$Q$3,'IN-NX'!$D$7=D798,OR(LEFT(L798,2)="15",AND(LEFT(M798,2)&lt;&gt;"15",LEFT(M798,2)&lt;&gt;"33"))),"x","")</f>
        <v/>
      </c>
      <c r="X798" s="39" t="str">
        <f>IF(AND(OR(LEFT(TH!L798,2)="15",LEFT(TH!M798,2)="15"),'152-CT'!$J$8=TH!F798),"x","")</f>
        <v/>
      </c>
      <c r="Y798" s="39" t="str">
        <f>IF(AND(OR(LEFT(TH!L798,2)="15",LEFT(TH!M798,2)="15"),TK!$E$7=TH!F798),"x","")</f>
        <v/>
      </c>
      <c r="Z798" s="39" t="str">
        <f>IF(AND(B798&lt;=NKC!$N$8,B798&gt;=NKC!$M$8),"x","")</f>
        <v/>
      </c>
      <c r="AA798" s="894"/>
    </row>
    <row r="799" spans="1:28" ht="15.75" customHeight="1">
      <c r="A799" s="199" t="str">
        <f>IF(B799&lt;&gt;"",IF(AND(B799&gt;=_TM1,B799&lt;=_TM2,OR(TH!L799="1111",TH!M799="1111")),TH!D799,""),"")</f>
        <v/>
      </c>
      <c r="B799" s="36" t="str">
        <f t="shared" si="38"/>
        <v/>
      </c>
      <c r="C799" s="190"/>
      <c r="D799" s="190"/>
      <c r="E799" s="183"/>
      <c r="F799" s="188"/>
      <c r="G799" s="491"/>
      <c r="H799" s="7"/>
      <c r="I799" s="253"/>
      <c r="J799" s="253"/>
      <c r="K799" s="606"/>
      <c r="L799" s="193"/>
      <c r="M799" s="193"/>
      <c r="N799" s="39" t="str">
        <f>IF(AND('331-CT'!$E$7=TH!H799,OR(L799="331",M799="331")),"331",IF(AND(OR(L799="131",M799="131"),H799='131-CT'!$E$7),"131",""))</f>
        <v/>
      </c>
      <c r="O799" s="39" t="str">
        <f>IF(AND($B799&gt;='111'!$N$11,$B799&lt;='111'!$O$11,OR($L799=$O$7,$M799=$O$7)),"x","")</f>
        <v/>
      </c>
      <c r="P799" s="39" t="str">
        <f>IF(AND($L799=$O$7,$B799&lt;'111'!$N$11),"x","")</f>
        <v/>
      </c>
      <c r="Q799" s="39" t="str">
        <f>IF(AND($M799=$O$7,$B799&lt;'111'!$N$11),"x","")</f>
        <v/>
      </c>
      <c r="R799" s="39" t="str">
        <f>IF(ISERROR(FIND('112'!$M$9,G799,1)),"",IF((AND(FIND('112'!$M$9,G799,1)&gt;=1,$B799&gt;='112'!$N$8,$B799&lt;='112'!$O$8,OR($L799='112'!$I$6,$M799='112'!$I$6))),"x",""))</f>
        <v/>
      </c>
      <c r="S799" s="39" t="str">
        <f>IF(ISERROR(FIND('112'!$M$9,G799,1)),"",IF((AND(LEFT(G799,2)=LEFT('112'!$M$9,2),B799&lt;'112'!$N$8,$L799='112'!$I$6)),"x",""))</f>
        <v/>
      </c>
      <c r="T799" s="39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39" t="str">
        <f>IF(OR(TH!L799=TH!$V$7,M799=TH!$V$7),"x","")</f>
        <v/>
      </c>
      <c r="W799" s="39" t="str">
        <f>IF(AND(B799&gt;='IN-NX'!$P$3,B799&lt;='IN-NX'!$Q$3,'IN-NX'!$D$7=D799,OR(LEFT(L799,2)="15",AND(LEFT(M799,2)&lt;&gt;"15",LEFT(M799,2)&lt;&gt;"33"))),"x","")</f>
        <v/>
      </c>
      <c r="X799" s="39" t="str">
        <f>IF(AND(OR(LEFT(TH!L799,2)="15",LEFT(TH!M799,2)="15"),'152-CT'!$J$8=TH!F799),"x","")</f>
        <v/>
      </c>
      <c r="Y799" s="39" t="str">
        <f>IF(AND(OR(LEFT(TH!L799,2)="15",LEFT(TH!M799,2)="15"),TK!$E$7=TH!F799),"x","")</f>
        <v/>
      </c>
      <c r="Z799" s="39" t="str">
        <f>IF(AND(B799&lt;=NKC!$N$8,B799&gt;=NKC!$M$8),"x","")</f>
        <v/>
      </c>
      <c r="AA799" s="894"/>
    </row>
    <row r="800" spans="1:28" ht="15.75" customHeight="1">
      <c r="A800" s="199" t="str">
        <f>IF(B800&lt;&gt;"",IF(AND(B800&gt;=_TM1,B800&lt;=_TM2,OR(TH!L800="1111",TH!M800="1111")),TH!D800,""),"")</f>
        <v/>
      </c>
      <c r="B800" s="36" t="str">
        <f t="shared" si="38"/>
        <v/>
      </c>
      <c r="C800" s="190"/>
      <c r="D800" s="190"/>
      <c r="E800" s="183"/>
      <c r="F800" s="188"/>
      <c r="G800" s="491"/>
      <c r="H800" s="7"/>
      <c r="I800" s="253"/>
      <c r="J800" s="253"/>
      <c r="K800" s="606"/>
      <c r="L800" s="193"/>
      <c r="M800" s="193"/>
      <c r="N800" s="39" t="str">
        <f>IF(AND('331-CT'!$E$7=TH!H800,OR(L800="331",M800="331")),"331",IF(AND(OR(L800="131",M800="131"),H800='131-CT'!$E$7),"131",""))</f>
        <v/>
      </c>
      <c r="O800" s="39" t="str">
        <f>IF(AND($B800&gt;='111'!$N$11,$B800&lt;='111'!$O$11,OR($L800=$O$7,$M800=$O$7)),"x","")</f>
        <v/>
      </c>
      <c r="P800" s="39" t="str">
        <f>IF(AND($L800=$O$7,$B800&lt;'111'!$N$11),"x","")</f>
        <v/>
      </c>
      <c r="Q800" s="39" t="str">
        <f>IF(AND($M800=$O$7,$B800&lt;'111'!$N$11),"x","")</f>
        <v/>
      </c>
      <c r="R800" s="39" t="str">
        <f>IF(ISERROR(FIND('112'!$M$9,G800,1)),"",IF((AND(FIND('112'!$M$9,G800,1)&gt;=1,$B800&gt;='112'!$N$8,$B800&lt;='112'!$O$8,OR($L800='112'!$I$6,$M800='112'!$I$6))),"x",""))</f>
        <v/>
      </c>
      <c r="S800" s="39" t="str">
        <f>IF(ISERROR(FIND('112'!$M$9,G800,1)),"",IF((AND(LEFT(G800,2)=LEFT('112'!$M$9,2),B800&lt;'112'!$N$8,$L800='112'!$I$6)),"x",""))</f>
        <v/>
      </c>
      <c r="T800" s="39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39" t="str">
        <f>IF(OR(TH!L800=TH!$V$7,M800=TH!$V$7),"x","")</f>
        <v/>
      </c>
      <c r="W800" s="39" t="str">
        <f>IF(AND(B800&gt;='IN-NX'!$P$3,B800&lt;='IN-NX'!$Q$3,'IN-NX'!$D$7=D800,OR(LEFT(L800,2)="15",AND(LEFT(M800,2)&lt;&gt;"15",LEFT(M800,2)&lt;&gt;"33"))),"x","")</f>
        <v/>
      </c>
      <c r="X800" s="39" t="str">
        <f>IF(AND(OR(LEFT(TH!L800,2)="15",LEFT(TH!M800,2)="15"),'152-CT'!$J$8=TH!F800),"x","")</f>
        <v/>
      </c>
      <c r="Y800" s="39" t="str">
        <f>IF(AND(OR(LEFT(TH!L800,2)="15",LEFT(TH!M800,2)="15"),TK!$E$7=TH!F800),"x","")</f>
        <v/>
      </c>
      <c r="Z800" s="39" t="str">
        <f>IF(AND(B800&lt;=NKC!$N$8,B800&gt;=NKC!$M$8),"x","")</f>
        <v/>
      </c>
      <c r="AA800" s="894"/>
    </row>
    <row r="801" spans="1:27" ht="15.75" customHeight="1">
      <c r="A801" s="199" t="str">
        <f>IF(B801&lt;&gt;"",IF(AND(B801&gt;=_TM1,B801&lt;=_TM2,OR(TH!L801="1111",TH!M801="1111")),TH!D801,""),"")</f>
        <v/>
      </c>
      <c r="B801" s="36" t="str">
        <f t="shared" si="38"/>
        <v/>
      </c>
      <c r="C801" s="190"/>
      <c r="D801" s="190"/>
      <c r="E801" s="183"/>
      <c r="F801" s="188"/>
      <c r="G801" s="491"/>
      <c r="H801" s="7"/>
      <c r="I801" s="253"/>
      <c r="J801" s="253"/>
      <c r="K801" s="606"/>
      <c r="L801" s="193"/>
      <c r="M801" s="193"/>
      <c r="N801" s="39" t="str">
        <f>IF(AND('331-CT'!$E$7=TH!H801,OR(L801="331",M801="331")),"331",IF(AND(OR(L801="131",M801="131"),H801='131-CT'!$E$7),"131",""))</f>
        <v/>
      </c>
      <c r="O801" s="39" t="str">
        <f>IF(AND($B801&gt;='111'!$N$11,$B801&lt;='111'!$O$11,OR($L801=$O$7,$M801=$O$7)),"x","")</f>
        <v/>
      </c>
      <c r="P801" s="39" t="str">
        <f>IF(AND($L801=$O$7,$B801&lt;'111'!$N$11),"x","")</f>
        <v/>
      </c>
      <c r="Q801" s="39" t="str">
        <f>IF(AND($M801=$O$7,$B801&lt;'111'!$N$11),"x","")</f>
        <v/>
      </c>
      <c r="R801" s="39" t="str">
        <f>IF(ISERROR(FIND('112'!$M$9,G801,1)),"",IF((AND(FIND('112'!$M$9,G801,1)&gt;=1,$B801&gt;='112'!$N$8,$B801&lt;='112'!$O$8,OR($L801='112'!$I$6,$M801='112'!$I$6))),"x",""))</f>
        <v/>
      </c>
      <c r="S801" s="39" t="str">
        <f>IF(ISERROR(FIND('112'!$M$9,G801,1)),"",IF((AND(LEFT(G801,2)=LEFT('112'!$M$9,2),B801&lt;'112'!$N$8,$L801='112'!$I$6)),"x",""))</f>
        <v/>
      </c>
      <c r="T801" s="39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39" t="str">
        <f>IF(OR(TH!L801=TH!$V$7,M801=TH!$V$7),"x","")</f>
        <v/>
      </c>
      <c r="W801" s="39" t="str">
        <f>IF(AND(B801&gt;='IN-NX'!$P$3,B801&lt;='IN-NX'!$Q$3,'IN-NX'!$D$7=D801,OR(LEFT(L801,2)="15",AND(LEFT(M801,2)&lt;&gt;"15",LEFT(M801,2)&lt;&gt;"33"))),"x","")</f>
        <v/>
      </c>
      <c r="X801" s="39" t="str">
        <f>IF(AND(OR(LEFT(TH!L801,2)="15",LEFT(TH!M801,2)="15"),'152-CT'!$J$8=TH!F801),"x","")</f>
        <v/>
      </c>
      <c r="Y801" s="39" t="str">
        <f>IF(AND(OR(LEFT(TH!L801,2)="15",LEFT(TH!M801,2)="15"),TK!$E$7=TH!F801),"x","")</f>
        <v/>
      </c>
      <c r="Z801" s="39" t="str">
        <f>IF(AND(B801&lt;=NKC!$N$8,B801&gt;=NKC!$M$8),"x","")</f>
        <v/>
      </c>
      <c r="AA801" s="894"/>
    </row>
    <row r="802" spans="1:27" ht="15.75" customHeight="1">
      <c r="A802" s="199" t="str">
        <f>IF(B802&lt;&gt;"",IF(AND(B802&gt;=_TM1,B802&lt;=_TM2,OR(TH!L802="1111",TH!M802="1111")),TH!D802,""),"")</f>
        <v/>
      </c>
      <c r="B802" s="36" t="str">
        <f t="shared" si="38"/>
        <v/>
      </c>
      <c r="C802" s="190"/>
      <c r="D802" s="190"/>
      <c r="E802" s="183"/>
      <c r="F802" s="188"/>
      <c r="G802" s="491"/>
      <c r="H802" s="7"/>
      <c r="I802" s="253"/>
      <c r="J802" s="253"/>
      <c r="K802" s="606"/>
      <c r="L802" s="193"/>
      <c r="M802" s="193"/>
      <c r="N802" s="39" t="str">
        <f>IF(AND('331-CT'!$E$7=TH!H802,OR(L802="331",M802="331")),"331",IF(AND(OR(L802="131",M802="131"),H802='131-CT'!$E$7),"131",""))</f>
        <v/>
      </c>
      <c r="O802" s="39" t="str">
        <f>IF(AND($B802&gt;='111'!$N$11,$B802&lt;='111'!$O$11,OR($L802=$O$7,$M802=$O$7)),"x","")</f>
        <v/>
      </c>
      <c r="P802" s="39" t="str">
        <f>IF(AND($L802=$O$7,$B802&lt;'111'!$N$11),"x","")</f>
        <v/>
      </c>
      <c r="Q802" s="39" t="str">
        <f>IF(AND($M802=$O$7,$B802&lt;'111'!$N$11),"x","")</f>
        <v/>
      </c>
      <c r="R802" s="39" t="str">
        <f>IF(ISERROR(FIND('112'!$M$9,G802,1)),"",IF((AND(FIND('112'!$M$9,G802,1)&gt;=1,$B802&gt;='112'!$N$8,$B802&lt;='112'!$O$8,OR($L802='112'!$I$6,$M802='112'!$I$6))),"x",""))</f>
        <v/>
      </c>
      <c r="S802" s="39" t="str">
        <f>IF(ISERROR(FIND('112'!$M$9,G802,1)),"",IF((AND(LEFT(G802,2)=LEFT('112'!$M$9,2),B802&lt;'112'!$N$8,$L802='112'!$I$6)),"x",""))</f>
        <v/>
      </c>
      <c r="T802" s="39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39" t="str">
        <f>IF(OR(TH!L802=TH!$V$7,M802=TH!$V$7),"x","")</f>
        <v/>
      </c>
      <c r="W802" s="39" t="str">
        <f>IF(AND(B802&gt;='IN-NX'!$P$3,B802&lt;='IN-NX'!$Q$3,'IN-NX'!$D$7=D802,OR(LEFT(L802,2)="15",AND(LEFT(M802,2)&lt;&gt;"15",LEFT(M802,2)&lt;&gt;"33"))),"x","")</f>
        <v/>
      </c>
      <c r="X802" s="39" t="str">
        <f>IF(AND(OR(LEFT(TH!L802,2)="15",LEFT(TH!M802,2)="15"),'152-CT'!$J$8=TH!F802),"x","")</f>
        <v/>
      </c>
      <c r="Y802" s="39" t="str">
        <f>IF(AND(OR(LEFT(TH!L802,2)="15",LEFT(TH!M802,2)="15"),TK!$E$7=TH!F802),"x","")</f>
        <v/>
      </c>
      <c r="Z802" s="39" t="str">
        <f>IF(AND(B802&lt;=NKC!$N$8,B802&gt;=NKC!$M$8),"x","")</f>
        <v/>
      </c>
      <c r="AA802" s="894"/>
    </row>
    <row r="803" spans="1:27" ht="15.75" customHeight="1">
      <c r="A803" s="199" t="str">
        <f>IF(B803&lt;&gt;"",IF(AND(B803&gt;=_TM1,B803&lt;=_TM2,OR(TH!L803="1111",TH!M803="1111")),TH!D803,""),"")</f>
        <v/>
      </c>
      <c r="B803" s="36" t="str">
        <f t="shared" si="38"/>
        <v/>
      </c>
      <c r="C803" s="190"/>
      <c r="D803" s="190"/>
      <c r="E803" s="183"/>
      <c r="F803" s="188"/>
      <c r="G803" s="491"/>
      <c r="H803" s="7"/>
      <c r="I803" s="253"/>
      <c r="J803" s="253"/>
      <c r="K803" s="606"/>
      <c r="L803" s="193"/>
      <c r="M803" s="193"/>
      <c r="N803" s="39" t="str">
        <f>IF(AND('331-CT'!$E$7=TH!H803,OR(L803="331",M803="331")),"331",IF(AND(OR(L803="131",M803="131"),H803='131-CT'!$E$7),"131",""))</f>
        <v/>
      </c>
      <c r="O803" s="39" t="str">
        <f>IF(AND($B803&gt;='111'!$N$11,$B803&lt;='111'!$O$11,OR($L803=$O$7,$M803=$O$7)),"x","")</f>
        <v/>
      </c>
      <c r="P803" s="39" t="str">
        <f>IF(AND($L803=$O$7,$B803&lt;'111'!$N$11),"x","")</f>
        <v/>
      </c>
      <c r="Q803" s="39" t="str">
        <f>IF(AND($M803=$O$7,$B803&lt;'111'!$N$11),"x","")</f>
        <v/>
      </c>
      <c r="R803" s="39" t="str">
        <f>IF(ISERROR(FIND('112'!$M$9,G803,1)),"",IF((AND(FIND('112'!$M$9,G803,1)&gt;=1,$B803&gt;='112'!$N$8,$B803&lt;='112'!$O$8,OR($L803='112'!$I$6,$M803='112'!$I$6))),"x",""))</f>
        <v/>
      </c>
      <c r="S803" s="39" t="str">
        <f>IF(ISERROR(FIND('112'!$M$9,G803,1)),"",IF((AND(LEFT(G803,2)=LEFT('112'!$M$9,2),B803&lt;'112'!$N$8,$L803='112'!$I$6)),"x",""))</f>
        <v/>
      </c>
      <c r="T803" s="39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39" t="str">
        <f>IF(OR(TH!L803=TH!$V$7,M803=TH!$V$7),"x","")</f>
        <v/>
      </c>
      <c r="W803" s="39" t="str">
        <f>IF(AND(B803&gt;='IN-NX'!$P$3,B803&lt;='IN-NX'!$Q$3,'IN-NX'!$D$7=D803,OR(LEFT(L803,2)="15",AND(LEFT(M803,2)&lt;&gt;"15",LEFT(M803,2)&lt;&gt;"33"))),"x","")</f>
        <v/>
      </c>
      <c r="X803" s="39" t="str">
        <f>IF(AND(OR(LEFT(TH!L803,2)="15",LEFT(TH!M803,2)="15"),'152-CT'!$J$8=TH!F803),"x","")</f>
        <v/>
      </c>
      <c r="Y803" s="39" t="str">
        <f>IF(AND(OR(LEFT(TH!L803,2)="15",LEFT(TH!M803,2)="15"),TK!$E$7=TH!F803),"x","")</f>
        <v/>
      </c>
      <c r="Z803" s="39" t="str">
        <f>IF(AND(B803&lt;=NKC!$N$8,B803&gt;=NKC!$M$8),"x","")</f>
        <v/>
      </c>
      <c r="AA803" s="894"/>
    </row>
    <row r="804" spans="1:27" ht="15.75" customHeight="1">
      <c r="A804" s="199" t="str">
        <f>IF(B804&lt;&gt;"",IF(AND(B804&gt;=_TM1,B804&lt;=_TM2,OR(TH!L804="1111",TH!M804="1111")),TH!D804,""),"")</f>
        <v/>
      </c>
      <c r="B804" s="36" t="str">
        <f t="shared" si="38"/>
        <v/>
      </c>
      <c r="C804" s="190"/>
      <c r="D804" s="190"/>
      <c r="E804" s="183"/>
      <c r="F804" s="188"/>
      <c r="G804" s="491"/>
      <c r="H804" s="7"/>
      <c r="I804" s="253"/>
      <c r="J804" s="253"/>
      <c r="K804" s="606"/>
      <c r="L804" s="193"/>
      <c r="M804" s="193"/>
      <c r="N804" s="39" t="str">
        <f>IF(AND('331-CT'!$E$7=TH!H804,OR(L804="331",M804="331")),"331",IF(AND(OR(L804="131",M804="131"),H804='131-CT'!$E$7),"131",""))</f>
        <v/>
      </c>
      <c r="O804" s="39" t="str">
        <f>IF(AND($B804&gt;='111'!$N$11,$B804&lt;='111'!$O$11,OR($L804=$O$7,$M804=$O$7)),"x","")</f>
        <v/>
      </c>
      <c r="P804" s="39" t="str">
        <f>IF(AND($L804=$O$7,$B804&lt;'111'!$N$11),"x","")</f>
        <v/>
      </c>
      <c r="Q804" s="39" t="str">
        <f>IF(AND($M804=$O$7,$B804&lt;'111'!$N$11),"x","")</f>
        <v/>
      </c>
      <c r="R804" s="39" t="str">
        <f>IF(ISERROR(FIND('112'!$M$9,G804,1)),"",IF((AND(FIND('112'!$M$9,G804,1)&gt;=1,$B804&gt;='112'!$N$8,$B804&lt;='112'!$O$8,OR($L804='112'!$I$6,$M804='112'!$I$6))),"x",""))</f>
        <v/>
      </c>
      <c r="S804" s="39" t="str">
        <f>IF(ISERROR(FIND('112'!$M$9,G804,1)),"",IF((AND(LEFT(G804,2)=LEFT('112'!$M$9,2),B804&lt;'112'!$N$8,$L804='112'!$I$6)),"x",""))</f>
        <v/>
      </c>
      <c r="T804" s="39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39" t="str">
        <f>IF(OR(TH!L804=TH!$V$7,M804=TH!$V$7),"x","")</f>
        <v/>
      </c>
      <c r="W804" s="39" t="str">
        <f>IF(AND(B804&gt;='IN-NX'!$P$3,B804&lt;='IN-NX'!$Q$3,'IN-NX'!$D$7=D804,OR(LEFT(L804,2)="15",AND(LEFT(M804,2)&lt;&gt;"15",LEFT(M804,2)&lt;&gt;"33"))),"x","")</f>
        <v/>
      </c>
      <c r="X804" s="39" t="str">
        <f>IF(AND(OR(LEFT(TH!L804,2)="15",LEFT(TH!M804,2)="15"),'152-CT'!$J$8=TH!F804),"x","")</f>
        <v/>
      </c>
      <c r="Y804" s="39" t="str">
        <f>IF(AND(OR(LEFT(TH!L804,2)="15",LEFT(TH!M804,2)="15"),TK!$E$7=TH!F804),"x","")</f>
        <v/>
      </c>
      <c r="Z804" s="39" t="str">
        <f>IF(AND(B804&lt;=NKC!$N$8,B804&gt;=NKC!$M$8),"x","")</f>
        <v/>
      </c>
      <c r="AA804" s="894"/>
    </row>
    <row r="805" spans="1:27" ht="15.75" customHeight="1">
      <c r="A805" s="199" t="str">
        <f>IF(B805&lt;&gt;"",IF(AND(B805&gt;=_TM1,B805&lt;=_TM2,OR(TH!L805="1111",TH!M805="1111")),TH!D805,""),"")</f>
        <v/>
      </c>
      <c r="B805" s="36" t="str">
        <f t="shared" si="38"/>
        <v/>
      </c>
      <c r="C805" s="190"/>
      <c r="D805" s="190"/>
      <c r="E805" s="183"/>
      <c r="F805" s="188"/>
      <c r="G805" s="491"/>
      <c r="H805" s="7"/>
      <c r="I805" s="253"/>
      <c r="J805" s="253"/>
      <c r="K805" s="606"/>
      <c r="L805" s="193"/>
      <c r="M805" s="193"/>
      <c r="N805" s="39" t="str">
        <f>IF(AND('331-CT'!$E$7=TH!H805,OR(L805="331",M805="331")),"331",IF(AND(OR(L805="131",M805="131"),H805='131-CT'!$E$7),"131",""))</f>
        <v/>
      </c>
      <c r="O805" s="39" t="str">
        <f>IF(AND($B805&gt;='111'!$N$11,$B805&lt;='111'!$O$11,OR($L805=$O$7,$M805=$O$7)),"x","")</f>
        <v/>
      </c>
      <c r="P805" s="39" t="str">
        <f>IF(AND($L805=$O$7,$B805&lt;'111'!$N$11),"x","")</f>
        <v/>
      </c>
      <c r="Q805" s="39" t="str">
        <f>IF(AND($M805=$O$7,$B805&lt;'111'!$N$11),"x","")</f>
        <v/>
      </c>
      <c r="R805" s="39" t="str">
        <f>IF(ISERROR(FIND('112'!$M$9,G805,1)),"",IF((AND(FIND('112'!$M$9,G805,1)&gt;=1,$B805&gt;='112'!$N$8,$B805&lt;='112'!$O$8,OR($L805='112'!$I$6,$M805='112'!$I$6))),"x",""))</f>
        <v/>
      </c>
      <c r="S805" s="39" t="str">
        <f>IF(ISERROR(FIND('112'!$M$9,G805,1)),"",IF((AND(LEFT(G805,2)=LEFT('112'!$M$9,2),B805&lt;'112'!$N$8,$L805='112'!$I$6)),"x",""))</f>
        <v/>
      </c>
      <c r="T805" s="39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39" t="str">
        <f>IF(OR(TH!L805=TH!$V$7,M805=TH!$V$7),"x","")</f>
        <v/>
      </c>
      <c r="W805" s="39" t="str">
        <f>IF(AND(B805&gt;='IN-NX'!$P$3,B805&lt;='IN-NX'!$Q$3,'IN-NX'!$D$7=D805,OR(LEFT(L805,2)="15",AND(LEFT(M805,2)&lt;&gt;"15",LEFT(M805,2)&lt;&gt;"33"))),"x","")</f>
        <v/>
      </c>
      <c r="X805" s="39" t="str">
        <f>IF(AND(OR(LEFT(TH!L805,2)="15",LEFT(TH!M805,2)="15"),'152-CT'!$J$8=TH!F805),"x","")</f>
        <v/>
      </c>
      <c r="Y805" s="39" t="str">
        <f>IF(AND(OR(LEFT(TH!L805,2)="15",LEFT(TH!M805,2)="15"),TK!$E$7=TH!F805),"x","")</f>
        <v/>
      </c>
      <c r="Z805" s="39" t="str">
        <f>IF(AND(B805&lt;=NKC!$N$8,B805&gt;=NKC!$M$8),"x","")</f>
        <v/>
      </c>
      <c r="AA805" s="894"/>
    </row>
    <row r="806" spans="1:27" ht="15.75" customHeight="1">
      <c r="A806" s="199" t="str">
        <f>IF(B806&lt;&gt;"",IF(AND(B806&gt;=_TM1,B806&lt;=_TM2,OR(TH!L806="1111",TH!M806="1111")),TH!D806,""),"")</f>
        <v/>
      </c>
      <c r="B806" s="36" t="str">
        <f t="shared" si="38"/>
        <v/>
      </c>
      <c r="C806" s="190"/>
      <c r="D806" s="190"/>
      <c r="E806" s="183"/>
      <c r="F806" s="188"/>
      <c r="G806" s="491"/>
      <c r="H806" s="7"/>
      <c r="I806" s="253"/>
      <c r="J806" s="253"/>
      <c r="K806" s="606"/>
      <c r="L806" s="193"/>
      <c r="M806" s="193"/>
      <c r="N806" s="39" t="str">
        <f>IF(AND('331-CT'!$E$7=TH!H806,OR(L806="331",M806="331")),"331",IF(AND(OR(L806="131",M806="131"),H806='131-CT'!$E$7),"131",""))</f>
        <v/>
      </c>
      <c r="O806" s="39" t="str">
        <f>IF(AND($B806&gt;='111'!$N$11,$B806&lt;='111'!$O$11,OR($L806=$O$7,$M806=$O$7)),"x","")</f>
        <v/>
      </c>
      <c r="P806" s="39" t="str">
        <f>IF(AND($L806=$O$7,$B806&lt;'111'!$N$11),"x","")</f>
        <v/>
      </c>
      <c r="Q806" s="39" t="str">
        <f>IF(AND($M806=$O$7,$B806&lt;'111'!$N$11),"x","")</f>
        <v/>
      </c>
      <c r="R806" s="39" t="str">
        <f>IF(ISERROR(FIND('112'!$M$9,G806,1)),"",IF((AND(FIND('112'!$M$9,G806,1)&gt;=1,$B806&gt;='112'!$N$8,$B806&lt;='112'!$O$8,OR($L806='112'!$I$6,$M806='112'!$I$6))),"x",""))</f>
        <v/>
      </c>
      <c r="S806" s="39" t="str">
        <f>IF(ISERROR(FIND('112'!$M$9,G806,1)),"",IF((AND(LEFT(G806,2)=LEFT('112'!$M$9,2),B806&lt;'112'!$N$8,$L806='112'!$I$6)),"x",""))</f>
        <v/>
      </c>
      <c r="T806" s="39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39" t="str">
        <f>IF(OR(TH!L806=TH!$V$7,M806=TH!$V$7),"x","")</f>
        <v/>
      </c>
      <c r="W806" s="39" t="str">
        <f>IF(AND(B806&gt;='IN-NX'!$P$3,B806&lt;='IN-NX'!$Q$3,'IN-NX'!$D$7=D806,OR(LEFT(L806,2)="15",AND(LEFT(M806,2)&lt;&gt;"15",LEFT(M806,2)&lt;&gt;"33"))),"x","")</f>
        <v/>
      </c>
      <c r="X806" s="39" t="str">
        <f>IF(AND(OR(LEFT(TH!L806,2)="15",LEFT(TH!M806,2)="15"),'152-CT'!$J$8=TH!F806),"x","")</f>
        <v/>
      </c>
      <c r="Y806" s="39" t="str">
        <f>IF(AND(OR(LEFT(TH!L806,2)="15",LEFT(TH!M806,2)="15"),TK!$E$7=TH!F806),"x","")</f>
        <v/>
      </c>
      <c r="Z806" s="39" t="str">
        <f>IF(AND(B806&lt;=NKC!$N$8,B806&gt;=NKC!$M$8),"x","")</f>
        <v/>
      </c>
      <c r="AA806" s="894"/>
    </row>
    <row r="807" spans="1:27" ht="15.75" customHeight="1">
      <c r="A807" s="199" t="str">
        <f>IF(B807&lt;&gt;"",IF(AND(B807&gt;=_TM1,B807&lt;=_TM2,OR(TH!L807="1111",TH!M807="1111")),TH!D807,""),"")</f>
        <v/>
      </c>
      <c r="B807" s="36" t="str">
        <f t="shared" si="38"/>
        <v/>
      </c>
      <c r="C807" s="190"/>
      <c r="D807" s="190"/>
      <c r="E807" s="183"/>
      <c r="F807" s="191"/>
      <c r="G807" s="491"/>
      <c r="H807" s="7"/>
      <c r="I807" s="253"/>
      <c r="J807" s="253"/>
      <c r="K807" s="38"/>
      <c r="L807" s="193"/>
      <c r="M807" s="193"/>
      <c r="N807" s="39" t="str">
        <f>IF(AND('331-CT'!$E$7=TH!H807,OR(L807="331",M807="331")),"331",IF(AND(OR(L807="131",M807="131"),H807='131-CT'!$E$7),"131",""))</f>
        <v/>
      </c>
      <c r="O807" s="39" t="str">
        <f>IF(AND($B807&gt;='111'!$N$11,$B807&lt;='111'!$O$11,OR($L807=$O$7,$M807=$O$7)),"x","")</f>
        <v/>
      </c>
      <c r="P807" s="39" t="str">
        <f>IF(AND($L807=$O$7,$B807&lt;'111'!$N$11),"x","")</f>
        <v/>
      </c>
      <c r="Q807" s="39" t="str">
        <f>IF(AND($M807=$O$7,$B807&lt;'111'!$N$11),"x","")</f>
        <v/>
      </c>
      <c r="R807" s="39" t="str">
        <f>IF(ISERROR(FIND('112'!$M$9,G807,1)),"",IF((AND(FIND('112'!$M$9,G807,1)&gt;=1,$B807&gt;='112'!$N$8,$B807&lt;='112'!$O$8,OR($L807='112'!$I$6,$M807='112'!$I$6))),"x",""))</f>
        <v/>
      </c>
      <c r="S807" s="39" t="str">
        <f>IF(ISERROR(FIND('112'!$M$9,G807,1)),"",IF((AND(LEFT(G807,2)=LEFT('112'!$M$9,2),B807&lt;'112'!$N$8,$L807='112'!$I$6)),"x",""))</f>
        <v/>
      </c>
      <c r="T807" s="39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39" t="str">
        <f>IF(OR(TH!L807=TH!$V$7,M807=TH!$V$7),"x","")</f>
        <v/>
      </c>
      <c r="W807" s="39" t="str">
        <f>IF(AND(B807&gt;='IN-NX'!$P$3,B807&lt;='IN-NX'!$Q$3,'IN-NX'!$D$7=D807,OR(LEFT(L807,2)="15",AND(LEFT(M807,2)&lt;&gt;"15",LEFT(M807,2)&lt;&gt;"33"))),"x","")</f>
        <v/>
      </c>
      <c r="X807" s="39" t="str">
        <f>IF(AND(OR(LEFT(TH!L807,2)="15",LEFT(TH!M807,2)="15"),'152-CT'!$J$8=TH!F807),"x","")</f>
        <v/>
      </c>
      <c r="Y807" s="39" t="str">
        <f>IF(AND(OR(LEFT(TH!L807,2)="15",LEFT(TH!M807,2)="15"),TK!$E$7=TH!F807),"x","")</f>
        <v/>
      </c>
      <c r="Z807" s="39" t="str">
        <f>IF(AND(B807&lt;=NKC!$N$8,B807&gt;=NKC!$M$8),"x","")</f>
        <v/>
      </c>
      <c r="AA807" s="894"/>
    </row>
    <row r="808" spans="1:27" ht="15.75" customHeight="1">
      <c r="A808" s="199" t="str">
        <f>IF(B808&lt;&gt;"",IF(AND(B808&gt;=_TM1,B808&lt;=_TM2,OR(TH!L808="1111",TH!M808="1111")),TH!D808,""),"")</f>
        <v/>
      </c>
      <c r="B808" s="36" t="str">
        <f t="shared" si="38"/>
        <v/>
      </c>
      <c r="C808" s="190"/>
      <c r="D808" s="190"/>
      <c r="E808" s="183"/>
      <c r="F808" s="188"/>
      <c r="G808" s="491"/>
      <c r="H808" s="7"/>
      <c r="I808" s="253"/>
      <c r="J808" s="253"/>
      <c r="K808" s="606"/>
      <c r="L808" s="193"/>
      <c r="M808" s="193"/>
      <c r="N808" s="39" t="str">
        <f>IF(AND('331-CT'!$E$7=TH!H808,OR(L808="331",M808="331")),"331",IF(AND(OR(L808="131",M808="131"),H808='131-CT'!$E$7),"131",""))</f>
        <v/>
      </c>
      <c r="O808" s="39" t="str">
        <f>IF(AND($B808&gt;='111'!$N$11,$B808&lt;='111'!$O$11,OR($L808=$O$7,$M808=$O$7)),"x","")</f>
        <v/>
      </c>
      <c r="P808" s="39" t="str">
        <f>IF(AND($L808=$O$7,$B808&lt;'111'!$N$11),"x","")</f>
        <v/>
      </c>
      <c r="Q808" s="39" t="str">
        <f>IF(AND($M808=$O$7,$B808&lt;'111'!$N$11),"x","")</f>
        <v/>
      </c>
      <c r="R808" s="39" t="str">
        <f>IF(ISERROR(FIND('112'!$M$9,G808,1)),"",IF((AND(FIND('112'!$M$9,G808,1)&gt;=1,$B808&gt;='112'!$N$8,$B808&lt;='112'!$O$8,OR($L808='112'!$I$6,$M808='112'!$I$6))),"x",""))</f>
        <v/>
      </c>
      <c r="S808" s="39" t="str">
        <f>IF(ISERROR(FIND('112'!$M$9,G808,1)),"",IF((AND(LEFT(G808,2)=LEFT('112'!$M$9,2),B808&lt;'112'!$N$8,$L808='112'!$I$6)),"x",""))</f>
        <v/>
      </c>
      <c r="T808" s="39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39" t="str">
        <f>IF(OR(TH!L808=TH!$V$7,M808=TH!$V$7),"x","")</f>
        <v/>
      </c>
      <c r="W808" s="39" t="str">
        <f>IF(AND(B808&gt;='IN-NX'!$P$3,B808&lt;='IN-NX'!$Q$3,'IN-NX'!$D$7=D808,OR(LEFT(L808,2)="15",AND(LEFT(M808,2)&lt;&gt;"15",LEFT(M808,2)&lt;&gt;"33"))),"x","")</f>
        <v/>
      </c>
      <c r="X808" s="39" t="str">
        <f>IF(AND(OR(LEFT(TH!L808,2)="15",LEFT(TH!M808,2)="15"),'152-CT'!$J$8=TH!F808),"x","")</f>
        <v/>
      </c>
      <c r="Y808" s="39" t="str">
        <f>IF(AND(OR(LEFT(TH!L808,2)="15",LEFT(TH!M808,2)="15"),TK!$E$7=TH!F808),"x","")</f>
        <v/>
      </c>
      <c r="Z808" s="39" t="str">
        <f>IF(AND(B808&lt;=NKC!$N$8,B808&gt;=NKC!$M$8),"x","")</f>
        <v/>
      </c>
      <c r="AA808" s="894"/>
    </row>
    <row r="809" spans="1:27" ht="15.75" customHeight="1">
      <c r="A809" s="199" t="str">
        <f>IF(B809&lt;&gt;"",IF(AND(B809&gt;=_TM1,B809&lt;=_TM2,OR(TH!L809="1111",TH!M809="1111")),TH!D809,""),"")</f>
        <v/>
      </c>
      <c r="B809" s="36" t="str">
        <f t="shared" si="38"/>
        <v/>
      </c>
      <c r="C809" s="190"/>
      <c r="D809" s="190"/>
      <c r="E809" s="183"/>
      <c r="F809" s="188"/>
      <c r="G809" s="491"/>
      <c r="H809" s="7"/>
      <c r="I809" s="253"/>
      <c r="J809" s="253"/>
      <c r="K809" s="606"/>
      <c r="L809" s="193"/>
      <c r="M809" s="193"/>
      <c r="N809" s="39" t="str">
        <f>IF(AND('331-CT'!$E$7=TH!H809,OR(L809="331",M809="331")),"331",IF(AND(OR(L809="131",M809="131"),H809='131-CT'!$E$7),"131",""))</f>
        <v/>
      </c>
      <c r="O809" s="39" t="str">
        <f>IF(AND($B809&gt;='111'!$N$11,$B809&lt;='111'!$O$11,OR($L809=$O$7,$M809=$O$7)),"x","")</f>
        <v/>
      </c>
      <c r="P809" s="39" t="str">
        <f>IF(AND($L809=$O$7,$B809&lt;'111'!$N$11),"x","")</f>
        <v/>
      </c>
      <c r="Q809" s="39" t="str">
        <f>IF(AND($M809=$O$7,$B809&lt;'111'!$N$11),"x","")</f>
        <v/>
      </c>
      <c r="R809" s="39" t="str">
        <f>IF(ISERROR(FIND('112'!$M$9,G809,1)),"",IF((AND(FIND('112'!$M$9,G809,1)&gt;=1,$B809&gt;='112'!$N$8,$B809&lt;='112'!$O$8,OR($L809='112'!$I$6,$M809='112'!$I$6))),"x",""))</f>
        <v/>
      </c>
      <c r="S809" s="39" t="str">
        <f>IF(ISERROR(FIND('112'!$M$9,G809,1)),"",IF((AND(LEFT(G809,2)=LEFT('112'!$M$9,2),B809&lt;'112'!$N$8,$L809='112'!$I$6)),"x",""))</f>
        <v/>
      </c>
      <c r="T809" s="39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39" t="str">
        <f>IF(OR(TH!L809=TH!$V$7,M809=TH!$V$7),"x","")</f>
        <v/>
      </c>
      <c r="W809" s="39" t="str">
        <f>IF(AND(B809&gt;='IN-NX'!$P$3,B809&lt;='IN-NX'!$Q$3,'IN-NX'!$D$7=D809,OR(LEFT(L809,2)="15",AND(LEFT(M809,2)&lt;&gt;"15",LEFT(M809,2)&lt;&gt;"33"))),"x","")</f>
        <v/>
      </c>
      <c r="X809" s="39" t="str">
        <f>IF(AND(OR(LEFT(TH!L809,2)="15",LEFT(TH!M809,2)="15"),'152-CT'!$J$8=TH!F809),"x","")</f>
        <v/>
      </c>
      <c r="Y809" s="39" t="str">
        <f>IF(AND(OR(LEFT(TH!L809,2)="15",LEFT(TH!M809,2)="15"),TK!$E$7=TH!F809),"x","")</f>
        <v/>
      </c>
      <c r="Z809" s="39" t="str">
        <f>IF(AND(B809&lt;=NKC!$N$8,B809&gt;=NKC!$M$8),"x","")</f>
        <v/>
      </c>
      <c r="AA809" s="894"/>
    </row>
    <row r="810" spans="1:27" ht="15.75" customHeight="1">
      <c r="A810" s="199" t="str">
        <f>IF(B810&lt;&gt;"",IF(AND(B810&gt;=_TM1,B810&lt;=_TM2,OR(TH!L810="1111",TH!M810="1111")),TH!D810,""),"")</f>
        <v/>
      </c>
      <c r="B810" s="36" t="str">
        <f t="shared" si="38"/>
        <v/>
      </c>
      <c r="C810" s="190"/>
      <c r="D810" s="190"/>
      <c r="E810" s="183"/>
      <c r="F810" s="188"/>
      <c r="G810" s="491"/>
      <c r="H810" s="7"/>
      <c r="I810" s="253"/>
      <c r="J810" s="253"/>
      <c r="K810" s="606"/>
      <c r="L810" s="193"/>
      <c r="M810" s="193"/>
      <c r="N810" s="39" t="str">
        <f>IF(AND('331-CT'!$E$7=TH!H810,OR(L810="331",M810="331")),"331",IF(AND(OR(L810="131",M810="131"),H810='131-CT'!$E$7),"131",""))</f>
        <v/>
      </c>
      <c r="O810" s="39" t="str">
        <f>IF(AND($B810&gt;='111'!$N$11,$B810&lt;='111'!$O$11,OR($L810=$O$7,$M810=$O$7)),"x","")</f>
        <v/>
      </c>
      <c r="P810" s="39" t="str">
        <f>IF(AND($L810=$O$7,$B810&lt;'111'!$N$11),"x","")</f>
        <v/>
      </c>
      <c r="Q810" s="39" t="str">
        <f>IF(AND($M810=$O$7,$B810&lt;'111'!$N$11),"x","")</f>
        <v/>
      </c>
      <c r="R810" s="39" t="str">
        <f>IF(ISERROR(FIND('112'!$M$9,G810,1)),"",IF((AND(FIND('112'!$M$9,G810,1)&gt;=1,$B810&gt;='112'!$N$8,$B810&lt;='112'!$O$8,OR($L810='112'!$I$6,$M810='112'!$I$6))),"x",""))</f>
        <v/>
      </c>
      <c r="S810" s="39" t="str">
        <f>IF(ISERROR(FIND('112'!$M$9,G810,1)),"",IF((AND(LEFT(G810,2)=LEFT('112'!$M$9,2),B810&lt;'112'!$N$8,$L810='112'!$I$6)),"x",""))</f>
        <v/>
      </c>
      <c r="T810" s="39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39" t="str">
        <f>IF(OR(TH!L810=TH!$V$7,M810=TH!$V$7),"x","")</f>
        <v/>
      </c>
      <c r="W810" s="39" t="str">
        <f>IF(AND(B810&gt;='IN-NX'!$P$3,B810&lt;='IN-NX'!$Q$3,'IN-NX'!$D$7=D810,OR(LEFT(L810,2)="15",AND(LEFT(M810,2)&lt;&gt;"15",LEFT(M810,2)&lt;&gt;"33"))),"x","")</f>
        <v/>
      </c>
      <c r="X810" s="39" t="str">
        <f>IF(AND(OR(LEFT(TH!L810,2)="15",LEFT(TH!M810,2)="15"),'152-CT'!$J$8=TH!F810),"x","")</f>
        <v/>
      </c>
      <c r="Y810" s="39" t="str">
        <f>IF(AND(OR(LEFT(TH!L810,2)="15",LEFT(TH!M810,2)="15"),TK!$E$7=TH!F810),"x","")</f>
        <v/>
      </c>
      <c r="Z810" s="39" t="str">
        <f>IF(AND(B810&lt;=NKC!$N$8,B810&gt;=NKC!$M$8),"x","")</f>
        <v/>
      </c>
      <c r="AA810" s="894"/>
    </row>
    <row r="811" spans="1:27" ht="15.75" customHeight="1">
      <c r="A811" s="199" t="str">
        <f>IF(B811&lt;&gt;"",IF(AND(B811&gt;=_TM1,B811&lt;=_TM2,OR(TH!L811="1111",TH!M811="1111")),TH!D811,""),"")</f>
        <v/>
      </c>
      <c r="B811" s="36" t="str">
        <f t="shared" si="38"/>
        <v/>
      </c>
      <c r="C811" s="190"/>
      <c r="D811" s="190"/>
      <c r="E811" s="183"/>
      <c r="F811" s="188"/>
      <c r="G811" s="491"/>
      <c r="H811" s="7"/>
      <c r="I811" s="253"/>
      <c r="J811" s="253"/>
      <c r="K811" s="606"/>
      <c r="L811" s="193"/>
      <c r="M811" s="193"/>
      <c r="N811" s="39" t="str">
        <f>IF(AND('331-CT'!$E$7=TH!H811,OR(L811="331",M811="331")),"331",IF(AND(OR(L811="131",M811="131"),H811='131-CT'!$E$7),"131",""))</f>
        <v/>
      </c>
      <c r="O811" s="39" t="str">
        <f>IF(AND($B811&gt;='111'!$N$11,$B811&lt;='111'!$O$11,OR($L811=$O$7,$M811=$O$7)),"x","")</f>
        <v/>
      </c>
      <c r="P811" s="39" t="str">
        <f>IF(AND($L811=$O$7,$B811&lt;'111'!$N$11),"x","")</f>
        <v/>
      </c>
      <c r="Q811" s="39" t="str">
        <f>IF(AND($M811=$O$7,$B811&lt;'111'!$N$11),"x","")</f>
        <v/>
      </c>
      <c r="R811" s="39" t="str">
        <f>IF(ISERROR(FIND('112'!$M$9,G811,1)),"",IF((AND(FIND('112'!$M$9,G811,1)&gt;=1,$B811&gt;='112'!$N$8,$B811&lt;='112'!$O$8,OR($L811='112'!$I$6,$M811='112'!$I$6))),"x",""))</f>
        <v/>
      </c>
      <c r="S811" s="39" t="str">
        <f>IF(ISERROR(FIND('112'!$M$9,G811,1)),"",IF((AND(LEFT(G811,2)=LEFT('112'!$M$9,2),B811&lt;'112'!$N$8,$L811='112'!$I$6)),"x",""))</f>
        <v/>
      </c>
      <c r="T811" s="39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39" t="str">
        <f>IF(OR(TH!L811=TH!$V$7,M811=TH!$V$7),"x","")</f>
        <v/>
      </c>
      <c r="W811" s="39" t="str">
        <f>IF(AND(B811&gt;='IN-NX'!$P$3,B811&lt;='IN-NX'!$Q$3,'IN-NX'!$D$7=D811,OR(LEFT(L811,2)="15",AND(LEFT(M811,2)&lt;&gt;"15",LEFT(M811,2)&lt;&gt;"33"))),"x","")</f>
        <v/>
      </c>
      <c r="X811" s="39" t="str">
        <f>IF(AND(OR(LEFT(TH!L811,2)="15",LEFT(TH!M811,2)="15"),'152-CT'!$J$8=TH!F811),"x","")</f>
        <v/>
      </c>
      <c r="Y811" s="39" t="str">
        <f>IF(AND(OR(LEFT(TH!L811,2)="15",LEFT(TH!M811,2)="15"),TK!$E$7=TH!F811),"x","")</f>
        <v/>
      </c>
      <c r="Z811" s="39" t="str">
        <f>IF(AND(B811&lt;=NKC!$N$8,B811&gt;=NKC!$M$8),"x","")</f>
        <v/>
      </c>
      <c r="AA811" s="894"/>
    </row>
    <row r="812" spans="1:27" ht="15.75" customHeight="1">
      <c r="A812" s="199" t="str">
        <f>IF(B812&lt;&gt;"",IF(AND(B812&gt;=_TM1,B812&lt;=_TM2,OR(TH!L812="1111",TH!M812="1111")),TH!D812,""),"")</f>
        <v/>
      </c>
      <c r="B812" s="36" t="str">
        <f t="shared" si="38"/>
        <v/>
      </c>
      <c r="C812" s="190"/>
      <c r="D812" s="190"/>
      <c r="E812" s="183"/>
      <c r="F812" s="188"/>
      <c r="G812" s="491"/>
      <c r="H812" s="7"/>
      <c r="I812" s="253"/>
      <c r="J812" s="253"/>
      <c r="K812" s="606"/>
      <c r="L812" s="193"/>
      <c r="M812" s="193"/>
      <c r="N812" s="39" t="str">
        <f>IF(AND('331-CT'!$E$7=TH!H812,OR(L812="331",M812="331")),"331",IF(AND(OR(L812="131",M812="131"),H812='131-CT'!$E$7),"131",""))</f>
        <v/>
      </c>
      <c r="O812" s="39" t="str">
        <f>IF(AND($B812&gt;='111'!$N$11,$B812&lt;='111'!$O$11,OR($L812=$O$7,$M812=$O$7)),"x","")</f>
        <v/>
      </c>
      <c r="P812" s="39" t="str">
        <f>IF(AND($L812=$O$7,$B812&lt;'111'!$N$11),"x","")</f>
        <v/>
      </c>
      <c r="Q812" s="39" t="str">
        <f>IF(AND($M812=$O$7,$B812&lt;'111'!$N$11),"x","")</f>
        <v/>
      </c>
      <c r="R812" s="39" t="str">
        <f>IF(ISERROR(FIND('112'!$M$9,G812,1)),"",IF((AND(FIND('112'!$M$9,G812,1)&gt;=1,$B812&gt;='112'!$N$8,$B812&lt;='112'!$O$8,OR($L812='112'!$I$6,$M812='112'!$I$6))),"x",""))</f>
        <v/>
      </c>
      <c r="S812" s="39" t="str">
        <f>IF(ISERROR(FIND('112'!$M$9,G812,1)),"",IF((AND(LEFT(G812,2)=LEFT('112'!$M$9,2),B812&lt;'112'!$N$8,$L812='112'!$I$6)),"x",""))</f>
        <v/>
      </c>
      <c r="T812" s="39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39" t="str">
        <f>IF(OR(TH!L812=TH!$V$7,M812=TH!$V$7),"x","")</f>
        <v/>
      </c>
      <c r="W812" s="39" t="str">
        <f>IF(AND(B812&gt;='IN-NX'!$P$3,B812&lt;='IN-NX'!$Q$3,'IN-NX'!$D$7=D812,OR(LEFT(L812,2)="15",AND(LEFT(M812,2)&lt;&gt;"15",LEFT(M812,2)&lt;&gt;"33"))),"x","")</f>
        <v/>
      </c>
      <c r="X812" s="39" t="str">
        <f>IF(AND(OR(LEFT(TH!L812,2)="15",LEFT(TH!M812,2)="15"),'152-CT'!$J$8=TH!F812),"x","")</f>
        <v/>
      </c>
      <c r="Y812" s="39" t="str">
        <f>IF(AND(OR(LEFT(TH!L812,2)="15",LEFT(TH!M812,2)="15"),TK!$E$7=TH!F812),"x","")</f>
        <v/>
      </c>
      <c r="Z812" s="39" t="str">
        <f>IF(AND(B812&lt;=NKC!$N$8,B812&gt;=NKC!$M$8),"x","")</f>
        <v/>
      </c>
      <c r="AA812" s="894"/>
    </row>
    <row r="813" spans="1:27" ht="15.75" customHeight="1">
      <c r="A813" s="199" t="str">
        <f>IF(B813&lt;&gt;"",IF(AND(B813&gt;=_TM1,B813&lt;=_TM2,OR(TH!L813="1111",TH!M813="1111")),TH!D813,""),"")</f>
        <v/>
      </c>
      <c r="B813" s="36" t="str">
        <f t="shared" si="38"/>
        <v/>
      </c>
      <c r="C813" s="190"/>
      <c r="D813" s="190"/>
      <c r="E813" s="183"/>
      <c r="F813" s="188"/>
      <c r="G813" s="491"/>
      <c r="H813" s="7"/>
      <c r="I813" s="253"/>
      <c r="J813" s="253"/>
      <c r="K813" s="606"/>
      <c r="L813" s="193"/>
      <c r="M813" s="193"/>
      <c r="N813" s="39" t="str">
        <f>IF(AND('331-CT'!$E$7=TH!H813,OR(L813="331",M813="331")),"331",IF(AND(OR(L813="131",M813="131"),H813='131-CT'!$E$7),"131",""))</f>
        <v/>
      </c>
      <c r="O813" s="39" t="str">
        <f>IF(AND($B813&gt;='111'!$N$11,$B813&lt;='111'!$O$11,OR($L813=$O$7,$M813=$O$7)),"x","")</f>
        <v/>
      </c>
      <c r="P813" s="39" t="str">
        <f>IF(AND($L813=$O$7,$B813&lt;'111'!$N$11),"x","")</f>
        <v/>
      </c>
      <c r="Q813" s="39" t="str">
        <f>IF(AND($M813=$O$7,$B813&lt;'111'!$N$11),"x","")</f>
        <v/>
      </c>
      <c r="R813" s="39" t="str">
        <f>IF(ISERROR(FIND('112'!$M$9,G813,1)),"",IF((AND(FIND('112'!$M$9,G813,1)&gt;=1,$B813&gt;='112'!$N$8,$B813&lt;='112'!$O$8,OR($L813='112'!$I$6,$M813='112'!$I$6))),"x",""))</f>
        <v/>
      </c>
      <c r="S813" s="39" t="str">
        <f>IF(ISERROR(FIND('112'!$M$9,G813,1)),"",IF((AND(LEFT(G813,2)=LEFT('112'!$M$9,2),B813&lt;'112'!$N$8,$L813='112'!$I$6)),"x",""))</f>
        <v/>
      </c>
      <c r="T813" s="39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39" t="str">
        <f>IF(OR(TH!L813=TH!$V$7,M813=TH!$V$7),"x","")</f>
        <v/>
      </c>
      <c r="W813" s="39" t="str">
        <f>IF(AND(B813&gt;='IN-NX'!$P$3,B813&lt;='IN-NX'!$Q$3,'IN-NX'!$D$7=D813,OR(LEFT(L813,2)="15",AND(LEFT(M813,2)&lt;&gt;"15",LEFT(M813,2)&lt;&gt;"33"))),"x","")</f>
        <v/>
      </c>
      <c r="X813" s="39" t="str">
        <f>IF(AND(OR(LEFT(TH!L813,2)="15",LEFT(TH!M813,2)="15"),'152-CT'!$J$8=TH!F813),"x","")</f>
        <v/>
      </c>
      <c r="Y813" s="39" t="str">
        <f>IF(AND(OR(LEFT(TH!L813,2)="15",LEFT(TH!M813,2)="15"),TK!$E$7=TH!F813),"x","")</f>
        <v/>
      </c>
      <c r="Z813" s="39" t="str">
        <f>IF(AND(B813&lt;=NKC!$N$8,B813&gt;=NKC!$M$8),"x","")</f>
        <v/>
      </c>
      <c r="AA813" s="894"/>
    </row>
    <row r="814" spans="1:27" ht="15.75" customHeight="1">
      <c r="A814" s="199" t="str">
        <f>IF(B814&lt;&gt;"",IF(AND(B814&gt;=_TM1,B814&lt;=_TM2,OR(TH!L814="1111",TH!M814="1111")),TH!D814,""),"")</f>
        <v/>
      </c>
      <c r="B814" s="36" t="str">
        <f t="shared" si="38"/>
        <v/>
      </c>
      <c r="C814" s="190"/>
      <c r="D814" s="190"/>
      <c r="E814" s="183"/>
      <c r="F814" s="188"/>
      <c r="G814" s="491"/>
      <c r="H814" s="7"/>
      <c r="I814" s="253"/>
      <c r="J814" s="253"/>
      <c r="K814" s="606"/>
      <c r="L814" s="193"/>
      <c r="M814" s="193"/>
      <c r="N814" s="39" t="str">
        <f>IF(AND('331-CT'!$E$7=TH!H814,OR(L814="331",M814="331")),"331",IF(AND(OR(L814="131",M814="131"),H814='131-CT'!$E$7),"131",""))</f>
        <v/>
      </c>
      <c r="O814" s="39" t="str">
        <f>IF(AND($B814&gt;='111'!$N$11,$B814&lt;='111'!$O$11,OR($L814=$O$7,$M814=$O$7)),"x","")</f>
        <v/>
      </c>
      <c r="P814" s="39" t="str">
        <f>IF(AND($L814=$O$7,$B814&lt;'111'!$N$11),"x","")</f>
        <v/>
      </c>
      <c r="Q814" s="39" t="str">
        <f>IF(AND($M814=$O$7,$B814&lt;'111'!$N$11),"x","")</f>
        <v/>
      </c>
      <c r="R814" s="39" t="str">
        <f>IF(ISERROR(FIND('112'!$M$9,G814,1)),"",IF((AND(FIND('112'!$M$9,G814,1)&gt;=1,$B814&gt;='112'!$N$8,$B814&lt;='112'!$O$8,OR($L814='112'!$I$6,$M814='112'!$I$6))),"x",""))</f>
        <v/>
      </c>
      <c r="S814" s="39" t="str">
        <f>IF(ISERROR(FIND('112'!$M$9,G814,1)),"",IF((AND(LEFT(G814,2)=LEFT('112'!$M$9,2),B814&lt;'112'!$N$8,$L814='112'!$I$6)),"x",""))</f>
        <v/>
      </c>
      <c r="T814" s="39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39" t="str">
        <f>IF(OR(TH!L814=TH!$V$7,M814=TH!$V$7),"x","")</f>
        <v/>
      </c>
      <c r="W814" s="39" t="str">
        <f>IF(AND(B814&gt;='IN-NX'!$P$3,B814&lt;='IN-NX'!$Q$3,'IN-NX'!$D$7=D814,OR(LEFT(L814,2)="15",AND(LEFT(M814,2)&lt;&gt;"15",LEFT(M814,2)&lt;&gt;"33"))),"x","")</f>
        <v/>
      </c>
      <c r="X814" s="39" t="str">
        <f>IF(AND(OR(LEFT(TH!L814,2)="15",LEFT(TH!M814,2)="15"),'152-CT'!$J$8=TH!F814),"x","")</f>
        <v/>
      </c>
      <c r="Y814" s="39" t="str">
        <f>IF(AND(OR(LEFT(TH!L814,2)="15",LEFT(TH!M814,2)="15"),TK!$E$7=TH!F814),"x","")</f>
        <v/>
      </c>
      <c r="Z814" s="39" t="str">
        <f>IF(AND(B814&lt;=NKC!$N$8,B814&gt;=NKC!$M$8),"x","")</f>
        <v/>
      </c>
      <c r="AA814" s="894"/>
    </row>
    <row r="815" spans="1:27" ht="15.75" customHeight="1">
      <c r="A815" s="199" t="str">
        <f>IF(B815&lt;&gt;"",IF(AND(B815&gt;=_TM1,B815&lt;=_TM2,OR(TH!L815="1111",TH!M815="1111")),TH!D815,""),"")</f>
        <v/>
      </c>
      <c r="B815" s="36" t="str">
        <f t="shared" si="38"/>
        <v/>
      </c>
      <c r="C815" s="190"/>
      <c r="D815" s="190"/>
      <c r="E815" s="183"/>
      <c r="F815" s="188"/>
      <c r="G815" s="491"/>
      <c r="H815" s="7"/>
      <c r="I815" s="253"/>
      <c r="J815" s="253"/>
      <c r="K815" s="606"/>
      <c r="L815" s="193"/>
      <c r="M815" s="193"/>
      <c r="N815" s="39" t="str">
        <f>IF(AND('331-CT'!$E$7=TH!H815,OR(L815="331",M815="331")),"331",IF(AND(OR(L815="131",M815="131"),H815='131-CT'!$E$7),"131",""))</f>
        <v/>
      </c>
      <c r="O815" s="39" t="str">
        <f>IF(AND($B815&gt;='111'!$N$11,$B815&lt;='111'!$O$11,OR($L815=$O$7,$M815=$O$7)),"x","")</f>
        <v/>
      </c>
      <c r="P815" s="39" t="str">
        <f>IF(AND($L815=$O$7,$B815&lt;'111'!$N$11),"x","")</f>
        <v/>
      </c>
      <c r="Q815" s="39" t="str">
        <f>IF(AND($M815=$O$7,$B815&lt;'111'!$N$11),"x","")</f>
        <v/>
      </c>
      <c r="R815" s="39" t="str">
        <f>IF(ISERROR(FIND('112'!$M$9,G815,1)),"",IF((AND(FIND('112'!$M$9,G815,1)&gt;=1,$B815&gt;='112'!$N$8,$B815&lt;='112'!$O$8,OR($L815='112'!$I$6,$M815='112'!$I$6))),"x",""))</f>
        <v/>
      </c>
      <c r="S815" s="39" t="str">
        <f>IF(ISERROR(FIND('112'!$M$9,G815,1)),"",IF((AND(LEFT(G815,2)=LEFT('112'!$M$9,2),B815&lt;'112'!$N$8,$L815='112'!$I$6)),"x",""))</f>
        <v/>
      </c>
      <c r="T815" s="39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39" t="str">
        <f>IF(OR(TH!L815=TH!$V$7,M815=TH!$V$7),"x","")</f>
        <v/>
      </c>
      <c r="W815" s="39" t="str">
        <f>IF(AND(B815&gt;='IN-NX'!$P$3,B815&lt;='IN-NX'!$Q$3,'IN-NX'!$D$7=D815,OR(LEFT(L815,2)="15",AND(LEFT(M815,2)&lt;&gt;"15",LEFT(M815,2)&lt;&gt;"33"))),"x","")</f>
        <v/>
      </c>
      <c r="X815" s="39" t="str">
        <f>IF(AND(OR(LEFT(TH!L815,2)="15",LEFT(TH!M815,2)="15"),'152-CT'!$J$8=TH!F815),"x","")</f>
        <v/>
      </c>
      <c r="Y815" s="39" t="str">
        <f>IF(AND(OR(LEFT(TH!L815,2)="15",LEFT(TH!M815,2)="15"),TK!$E$7=TH!F815),"x","")</f>
        <v/>
      </c>
      <c r="Z815" s="39" t="str">
        <f>IF(AND(B815&lt;=NKC!$N$8,B815&gt;=NKC!$M$8),"x","")</f>
        <v/>
      </c>
      <c r="AA815" s="894"/>
    </row>
    <row r="816" spans="1:27" ht="15.75" customHeight="1">
      <c r="A816" s="199" t="str">
        <f>IF(B816&lt;&gt;"",IF(AND(B816&gt;=_TM1,B816&lt;=_TM2,OR(TH!L816="1111",TH!M816="1111")),TH!D816,""),"")</f>
        <v/>
      </c>
      <c r="B816" s="36" t="str">
        <f t="shared" si="38"/>
        <v/>
      </c>
      <c r="C816" s="190"/>
      <c r="D816" s="190"/>
      <c r="E816" s="183"/>
      <c r="F816" s="191"/>
      <c r="G816" s="491"/>
      <c r="H816" s="7"/>
      <c r="I816" s="253"/>
      <c r="J816" s="253"/>
      <c r="K816" s="606"/>
      <c r="L816" s="193"/>
      <c r="M816" s="193"/>
      <c r="N816" s="39" t="str">
        <f>IF(AND('331-CT'!$E$7=TH!H816,OR(L816="331",M816="331")),"331",IF(AND(OR(L816="131",M816="131"),H816='131-CT'!$E$7),"131",""))</f>
        <v/>
      </c>
      <c r="O816" s="39" t="str">
        <f>IF(AND($B816&gt;='111'!$N$11,$B816&lt;='111'!$O$11,OR($L816=$O$7,$M816=$O$7)),"x","")</f>
        <v/>
      </c>
      <c r="P816" s="39" t="str">
        <f>IF(AND($L816=$O$7,$B816&lt;'111'!$N$11),"x","")</f>
        <v/>
      </c>
      <c r="Q816" s="39" t="str">
        <f>IF(AND($M816=$O$7,$B816&lt;'111'!$N$11),"x","")</f>
        <v/>
      </c>
      <c r="R816" s="39" t="str">
        <f>IF(ISERROR(FIND('112'!$M$9,G816,1)),"",IF((AND(FIND('112'!$M$9,G816,1)&gt;=1,$B816&gt;='112'!$N$8,$B816&lt;='112'!$O$8,OR($L816='112'!$I$6,$M816='112'!$I$6))),"x",""))</f>
        <v/>
      </c>
      <c r="S816" s="39" t="str">
        <f>IF(ISERROR(FIND('112'!$M$9,G816,1)),"",IF((AND(LEFT(G816,2)=LEFT('112'!$M$9,2),B816&lt;'112'!$N$8,$L816='112'!$I$6)),"x",""))</f>
        <v/>
      </c>
      <c r="T816" s="39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39" t="str">
        <f>IF(OR(TH!L816=TH!$V$7,M816=TH!$V$7),"x","")</f>
        <v/>
      </c>
      <c r="W816" s="39" t="str">
        <f>IF(AND(B816&gt;='IN-NX'!$P$3,B816&lt;='IN-NX'!$Q$3,'IN-NX'!$D$7=D816,OR(LEFT(L816,2)="15",AND(LEFT(M816,2)&lt;&gt;"15",LEFT(M816,2)&lt;&gt;"33"))),"x","")</f>
        <v/>
      </c>
      <c r="X816" s="39" t="str">
        <f>IF(AND(OR(LEFT(TH!L816,2)="15",LEFT(TH!M816,2)="15"),'152-CT'!$J$8=TH!F816),"x","")</f>
        <v/>
      </c>
      <c r="Y816" s="39" t="str">
        <f>IF(AND(OR(LEFT(TH!L816,2)="15",LEFT(TH!M816,2)="15"),TK!$E$7=TH!F816),"x","")</f>
        <v/>
      </c>
      <c r="Z816" s="39" t="str">
        <f>IF(AND(B816&lt;=NKC!$N$8,B816&gt;=NKC!$M$8),"x","")</f>
        <v/>
      </c>
      <c r="AA816" s="894"/>
    </row>
    <row r="817" spans="1:27" ht="15.75" customHeight="1">
      <c r="A817" s="199" t="str">
        <f>IF(B817&lt;&gt;"",IF(AND(B817&gt;=_TM1,B817&lt;=_TM2,OR(TH!L817="1111",TH!M817="1111")),TH!D817,""),"")</f>
        <v/>
      </c>
      <c r="B817" s="36" t="str">
        <f t="shared" si="38"/>
        <v/>
      </c>
      <c r="C817" s="190"/>
      <c r="D817" s="190"/>
      <c r="E817" s="183"/>
      <c r="F817" s="188"/>
      <c r="G817" s="491"/>
      <c r="H817" s="7"/>
      <c r="I817" s="253"/>
      <c r="J817" s="253"/>
      <c r="K817" s="606"/>
      <c r="L817" s="193"/>
      <c r="M817" s="193"/>
      <c r="N817" s="39" t="str">
        <f>IF(AND('331-CT'!$E$7=TH!H817,OR(L817="331",M817="331")),"331",IF(AND(OR(L817="131",M817="131"),H817='131-CT'!$E$7),"131",""))</f>
        <v/>
      </c>
      <c r="O817" s="39" t="str">
        <f>IF(AND($B817&gt;='111'!$N$11,$B817&lt;='111'!$O$11,OR($L817=$O$7,$M817=$O$7)),"x","")</f>
        <v/>
      </c>
      <c r="P817" s="39" t="str">
        <f>IF(AND($L817=$O$7,$B817&lt;'111'!$N$11),"x","")</f>
        <v/>
      </c>
      <c r="Q817" s="39" t="str">
        <f>IF(AND($M817=$O$7,$B817&lt;'111'!$N$11),"x","")</f>
        <v/>
      </c>
      <c r="R817" s="39" t="str">
        <f>IF(ISERROR(FIND('112'!$M$9,G817,1)),"",IF((AND(FIND('112'!$M$9,G817,1)&gt;=1,$B817&gt;='112'!$N$8,$B817&lt;='112'!$O$8,OR($L817='112'!$I$6,$M817='112'!$I$6))),"x",""))</f>
        <v/>
      </c>
      <c r="S817" s="39" t="str">
        <f>IF(ISERROR(FIND('112'!$M$9,G817,1)),"",IF((AND(LEFT(G817,2)=LEFT('112'!$M$9,2),B817&lt;'112'!$N$8,$L817='112'!$I$6)),"x",""))</f>
        <v/>
      </c>
      <c r="T817" s="39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39" t="str">
        <f>IF(OR(TH!L817=TH!$V$7,M817=TH!$V$7),"x","")</f>
        <v/>
      </c>
      <c r="W817" s="39" t="str">
        <f>IF(AND(B817&gt;='IN-NX'!$P$3,B817&lt;='IN-NX'!$Q$3,'IN-NX'!$D$7=D817,OR(LEFT(L817,2)="15",AND(LEFT(M817,2)&lt;&gt;"15",LEFT(M817,2)&lt;&gt;"33"))),"x","")</f>
        <v/>
      </c>
      <c r="X817" s="39" t="str">
        <f>IF(AND(OR(LEFT(TH!L817,2)="15",LEFT(TH!M817,2)="15"),'152-CT'!$J$8=TH!F817),"x","")</f>
        <v/>
      </c>
      <c r="Y817" s="39" t="str">
        <f>IF(AND(OR(LEFT(TH!L817,2)="15",LEFT(TH!M817,2)="15"),TK!$E$7=TH!F817),"x","")</f>
        <v/>
      </c>
      <c r="Z817" s="39" t="str">
        <f>IF(AND(B817&lt;=NKC!$N$8,B817&gt;=NKC!$M$8),"x","")</f>
        <v/>
      </c>
      <c r="AA817" s="894"/>
    </row>
    <row r="818" spans="1:27" ht="15.75" customHeight="1">
      <c r="A818" s="199" t="str">
        <f>IF(B818&lt;&gt;"",IF(AND(B818&gt;=_TM1,B818&lt;=_TM2,OR(TH!L818="1111",TH!M818="1111")),TH!D818,""),"")</f>
        <v/>
      </c>
      <c r="B818" s="36" t="str">
        <f t="shared" si="38"/>
        <v/>
      </c>
      <c r="C818" s="190"/>
      <c r="D818" s="190"/>
      <c r="E818" s="183"/>
      <c r="F818" s="188"/>
      <c r="G818" s="491"/>
      <c r="H818" s="7"/>
      <c r="I818" s="253"/>
      <c r="J818" s="253"/>
      <c r="K818" s="606"/>
      <c r="L818" s="193"/>
      <c r="M818" s="193"/>
      <c r="N818" s="39" t="str">
        <f>IF(AND('331-CT'!$E$7=TH!H818,OR(L818="331",M818="331")),"331",IF(AND(OR(L818="131",M818="131"),H818='131-CT'!$E$7),"131",""))</f>
        <v/>
      </c>
      <c r="O818" s="39" t="str">
        <f>IF(AND($B818&gt;='111'!$N$11,$B818&lt;='111'!$O$11,OR($L818=$O$7,$M818=$O$7)),"x","")</f>
        <v/>
      </c>
      <c r="P818" s="39" t="str">
        <f>IF(AND($L818=$O$7,$B818&lt;'111'!$N$11),"x","")</f>
        <v/>
      </c>
      <c r="Q818" s="39" t="str">
        <f>IF(AND($M818=$O$7,$B818&lt;'111'!$N$11),"x","")</f>
        <v/>
      </c>
      <c r="R818" s="39" t="str">
        <f>IF(ISERROR(FIND('112'!$M$9,G818,1)),"",IF((AND(FIND('112'!$M$9,G818,1)&gt;=1,$B818&gt;='112'!$N$8,$B818&lt;='112'!$O$8,OR($L818='112'!$I$6,$M818='112'!$I$6))),"x",""))</f>
        <v/>
      </c>
      <c r="S818" s="39" t="str">
        <f>IF(ISERROR(FIND('112'!$M$9,G818,1)),"",IF((AND(LEFT(G818,2)=LEFT('112'!$M$9,2),B818&lt;'112'!$N$8,$L818='112'!$I$6)),"x",""))</f>
        <v/>
      </c>
      <c r="T818" s="39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39" t="str">
        <f>IF(OR(TH!L818=TH!$V$7,M818=TH!$V$7),"x","")</f>
        <v/>
      </c>
      <c r="W818" s="39" t="str">
        <f>IF(AND(B818&gt;='IN-NX'!$P$3,B818&lt;='IN-NX'!$Q$3,'IN-NX'!$D$7=D818,OR(LEFT(L818,2)="15",AND(LEFT(M818,2)&lt;&gt;"15",LEFT(M818,2)&lt;&gt;"33"))),"x","")</f>
        <v/>
      </c>
      <c r="X818" s="39" t="str">
        <f>IF(AND(OR(LEFT(TH!L818,2)="15",LEFT(TH!M818,2)="15"),'152-CT'!$J$8=TH!F818),"x","")</f>
        <v/>
      </c>
      <c r="Y818" s="39" t="str">
        <f>IF(AND(OR(LEFT(TH!L818,2)="15",LEFT(TH!M818,2)="15"),TK!$E$7=TH!F818),"x","")</f>
        <v/>
      </c>
      <c r="Z818" s="39" t="str">
        <f>IF(AND(B818&lt;=NKC!$N$8,B818&gt;=NKC!$M$8),"x","")</f>
        <v/>
      </c>
      <c r="AA818" s="894"/>
    </row>
    <row r="819" spans="1:27" ht="15.75" customHeight="1">
      <c r="A819" s="199" t="str">
        <f>IF(B819&lt;&gt;"",IF(AND(B819&gt;=_TM1,B819&lt;=_TM2,OR(TH!L819="1111",TH!M819="1111")),TH!D819,""),"")</f>
        <v/>
      </c>
      <c r="B819" s="36" t="str">
        <f t="shared" si="38"/>
        <v/>
      </c>
      <c r="C819" s="190"/>
      <c r="D819" s="190"/>
      <c r="E819" s="183"/>
      <c r="F819" s="188"/>
      <c r="G819" s="491"/>
      <c r="H819" s="7"/>
      <c r="I819" s="253"/>
      <c r="J819" s="253"/>
      <c r="K819" s="606"/>
      <c r="L819" s="193"/>
      <c r="M819" s="193"/>
      <c r="N819" s="39" t="str">
        <f>IF(AND('331-CT'!$E$7=TH!H819,OR(L819="331",M819="331")),"331",IF(AND(OR(L819="131",M819="131"),H819='131-CT'!$E$7),"131",""))</f>
        <v/>
      </c>
      <c r="O819" s="39" t="str">
        <f>IF(AND($B819&gt;='111'!$N$11,$B819&lt;='111'!$O$11,OR($L819=$O$7,$M819=$O$7)),"x","")</f>
        <v/>
      </c>
      <c r="P819" s="39" t="str">
        <f>IF(AND($L819=$O$7,$B819&lt;'111'!$N$11),"x","")</f>
        <v/>
      </c>
      <c r="Q819" s="39" t="str">
        <f>IF(AND($M819=$O$7,$B819&lt;'111'!$N$11),"x","")</f>
        <v/>
      </c>
      <c r="R819" s="39" t="str">
        <f>IF(ISERROR(FIND('112'!$M$9,G819,1)),"",IF((AND(FIND('112'!$M$9,G819,1)&gt;=1,$B819&gt;='112'!$N$8,$B819&lt;='112'!$O$8,OR($L819='112'!$I$6,$M819='112'!$I$6))),"x",""))</f>
        <v/>
      </c>
      <c r="S819" s="39" t="str">
        <f>IF(ISERROR(FIND('112'!$M$9,G819,1)),"",IF((AND(LEFT(G819,2)=LEFT('112'!$M$9,2),B819&lt;'112'!$N$8,$L819='112'!$I$6)),"x",""))</f>
        <v/>
      </c>
      <c r="T819" s="39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39" t="str">
        <f>IF(OR(TH!L819=TH!$V$7,M819=TH!$V$7),"x","")</f>
        <v/>
      </c>
      <c r="W819" s="39" t="str">
        <f>IF(AND(B819&gt;='IN-NX'!$P$3,B819&lt;='IN-NX'!$Q$3,'IN-NX'!$D$7=D819,OR(LEFT(L819,2)="15",AND(LEFT(M819,2)&lt;&gt;"15",LEFT(M819,2)&lt;&gt;"33"))),"x","")</f>
        <v/>
      </c>
      <c r="X819" s="39" t="str">
        <f>IF(AND(OR(LEFT(TH!L819,2)="15",LEFT(TH!M819,2)="15"),'152-CT'!$J$8=TH!F819),"x","")</f>
        <v/>
      </c>
      <c r="Y819" s="39" t="str">
        <f>IF(AND(OR(LEFT(TH!L819,2)="15",LEFT(TH!M819,2)="15"),TK!$E$7=TH!F819),"x","")</f>
        <v/>
      </c>
      <c r="Z819" s="39" t="str">
        <f>IF(AND(B819&lt;=NKC!$N$8,B819&gt;=NKC!$M$8),"x","")</f>
        <v/>
      </c>
      <c r="AA819" s="894"/>
    </row>
    <row r="820" spans="1:27" ht="15.75" customHeight="1">
      <c r="A820" s="199" t="str">
        <f>IF(B820&lt;&gt;"",IF(AND(B820&gt;=_TM1,B820&lt;=_TM2,OR(TH!L820="1111",TH!M820="1111")),TH!D820,""),"")</f>
        <v/>
      </c>
      <c r="B820" s="36" t="str">
        <f t="shared" si="38"/>
        <v/>
      </c>
      <c r="C820" s="190"/>
      <c r="D820" s="190"/>
      <c r="E820" s="183"/>
      <c r="F820" s="188"/>
      <c r="G820" s="491"/>
      <c r="H820" s="7"/>
      <c r="I820" s="253"/>
      <c r="J820" s="253"/>
      <c r="K820" s="606"/>
      <c r="L820" s="193"/>
      <c r="M820" s="193"/>
      <c r="N820" s="39" t="str">
        <f>IF(AND('331-CT'!$E$7=TH!H820,OR(L820="331",M820="331")),"331",IF(AND(OR(L820="131",M820="131"),H820='131-CT'!$E$7),"131",""))</f>
        <v/>
      </c>
      <c r="O820" s="39" t="str">
        <f>IF(AND($B820&gt;='111'!$N$11,$B820&lt;='111'!$O$11,OR($L820=$O$7,$M820=$O$7)),"x","")</f>
        <v/>
      </c>
      <c r="P820" s="39" t="str">
        <f>IF(AND($L820=$O$7,$B820&lt;'111'!$N$11),"x","")</f>
        <v/>
      </c>
      <c r="Q820" s="39" t="str">
        <f>IF(AND($M820=$O$7,$B820&lt;'111'!$N$11),"x","")</f>
        <v/>
      </c>
      <c r="R820" s="39" t="str">
        <f>IF(ISERROR(FIND('112'!$M$9,G820,1)),"",IF((AND(FIND('112'!$M$9,G820,1)&gt;=1,$B820&gt;='112'!$N$8,$B820&lt;='112'!$O$8,OR($L820='112'!$I$6,$M820='112'!$I$6))),"x",""))</f>
        <v/>
      </c>
      <c r="S820" s="39" t="str">
        <f>IF(ISERROR(FIND('112'!$M$9,G820,1)),"",IF((AND(LEFT(G820,2)=LEFT('112'!$M$9,2),B820&lt;'112'!$N$8,$L820='112'!$I$6)),"x",""))</f>
        <v/>
      </c>
      <c r="T820" s="39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39" t="str">
        <f>IF(OR(TH!L820=TH!$V$7,M820=TH!$V$7),"x","")</f>
        <v/>
      </c>
      <c r="W820" s="39" t="str">
        <f>IF(AND(B820&gt;='IN-NX'!$P$3,B820&lt;='IN-NX'!$Q$3,'IN-NX'!$D$7=D820,OR(LEFT(L820,2)="15",AND(LEFT(M820,2)&lt;&gt;"15",LEFT(M820,2)&lt;&gt;"33"))),"x","")</f>
        <v/>
      </c>
      <c r="X820" s="39" t="str">
        <f>IF(AND(OR(LEFT(TH!L820,2)="15",LEFT(TH!M820,2)="15"),'152-CT'!$J$8=TH!F820),"x","")</f>
        <v/>
      </c>
      <c r="Y820" s="39" t="str">
        <f>IF(AND(OR(LEFT(TH!L820,2)="15",LEFT(TH!M820,2)="15"),TK!$E$7=TH!F820),"x","")</f>
        <v/>
      </c>
      <c r="Z820" s="39" t="str">
        <f>IF(AND(B820&lt;=NKC!$N$8,B820&gt;=NKC!$M$8),"x","")</f>
        <v/>
      </c>
      <c r="AA820" s="894"/>
    </row>
    <row r="821" spans="1:27" ht="15.75" customHeight="1">
      <c r="A821" s="199" t="str">
        <f>IF(B821&lt;&gt;"",IF(AND(B821&gt;=_TM1,B821&lt;=_TM2,OR(TH!L821="1111",TH!M821="1111")),TH!D821,""),"")</f>
        <v/>
      </c>
      <c r="B821" s="36" t="str">
        <f t="shared" si="38"/>
        <v/>
      </c>
      <c r="C821" s="190"/>
      <c r="D821" s="190"/>
      <c r="E821" s="183"/>
      <c r="F821" s="188"/>
      <c r="G821" s="491"/>
      <c r="H821" s="7"/>
      <c r="I821" s="253"/>
      <c r="J821" s="253"/>
      <c r="K821" s="606"/>
      <c r="L821" s="193"/>
      <c r="M821" s="193"/>
      <c r="N821" s="39" t="str">
        <f>IF(AND('331-CT'!$E$7=TH!H821,OR(L821="331",M821="331")),"331",IF(AND(OR(L821="131",M821="131"),H821='131-CT'!$E$7),"131",""))</f>
        <v/>
      </c>
      <c r="O821" s="39" t="str">
        <f>IF(AND($B821&gt;='111'!$N$11,$B821&lt;='111'!$O$11,OR($L821=$O$7,$M821=$O$7)),"x","")</f>
        <v/>
      </c>
      <c r="P821" s="39" t="str">
        <f>IF(AND($L821=$O$7,$B821&lt;'111'!$N$11),"x","")</f>
        <v/>
      </c>
      <c r="Q821" s="39" t="str">
        <f>IF(AND($M821=$O$7,$B821&lt;'111'!$N$11),"x","")</f>
        <v/>
      </c>
      <c r="R821" s="39" t="str">
        <f>IF(ISERROR(FIND('112'!$M$9,G821,1)),"",IF((AND(FIND('112'!$M$9,G821,1)&gt;=1,$B821&gt;='112'!$N$8,$B821&lt;='112'!$O$8,OR($L821='112'!$I$6,$M821='112'!$I$6))),"x",""))</f>
        <v/>
      </c>
      <c r="S821" s="39" t="str">
        <f>IF(ISERROR(FIND('112'!$M$9,G821,1)),"",IF((AND(LEFT(G821,2)=LEFT('112'!$M$9,2),B821&lt;'112'!$N$8,$L821='112'!$I$6)),"x",""))</f>
        <v/>
      </c>
      <c r="T821" s="39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39" t="str">
        <f>IF(OR(TH!L821=TH!$V$7,M821=TH!$V$7),"x","")</f>
        <v/>
      </c>
      <c r="W821" s="39" t="str">
        <f>IF(AND(B821&gt;='IN-NX'!$P$3,B821&lt;='IN-NX'!$Q$3,'IN-NX'!$D$7=D821,OR(LEFT(L821,2)="15",AND(LEFT(M821,2)&lt;&gt;"15",LEFT(M821,2)&lt;&gt;"33"))),"x","")</f>
        <v/>
      </c>
      <c r="X821" s="39" t="str">
        <f>IF(AND(OR(LEFT(TH!L821,2)="15",LEFT(TH!M821,2)="15"),'152-CT'!$J$8=TH!F821),"x","")</f>
        <v/>
      </c>
      <c r="Y821" s="39" t="str">
        <f>IF(AND(OR(LEFT(TH!L821,2)="15",LEFT(TH!M821,2)="15"),TK!$E$7=TH!F821),"x","")</f>
        <v/>
      </c>
      <c r="Z821" s="39" t="str">
        <f>IF(AND(B821&lt;=NKC!$N$8,B821&gt;=NKC!$M$8),"x","")</f>
        <v/>
      </c>
      <c r="AA821" s="894"/>
    </row>
    <row r="822" spans="1:27" ht="15.75" customHeight="1">
      <c r="A822" s="199" t="str">
        <f>IF(B822&lt;&gt;"",IF(AND(B822&gt;=_TM1,B822&lt;=_TM2,OR(TH!L822="1111",TH!M822="1111")),TH!D822,""),"")</f>
        <v/>
      </c>
      <c r="B822" s="36" t="str">
        <f t="shared" si="38"/>
        <v/>
      </c>
      <c r="C822" s="190"/>
      <c r="D822" s="190"/>
      <c r="E822" s="183"/>
      <c r="F822" s="188"/>
      <c r="G822" s="491"/>
      <c r="H822" s="7"/>
      <c r="I822" s="253"/>
      <c r="J822" s="253"/>
      <c r="K822" s="606"/>
      <c r="L822" s="193"/>
      <c r="M822" s="193"/>
      <c r="N822" s="39" t="str">
        <f>IF(AND('331-CT'!$E$7=TH!H822,OR(L822="331",M822="331")),"331",IF(AND(OR(L822="131",M822="131"),H822='131-CT'!$E$7),"131",""))</f>
        <v/>
      </c>
      <c r="O822" s="39" t="str">
        <f>IF(AND($B822&gt;='111'!$N$11,$B822&lt;='111'!$O$11,OR($L822=$O$7,$M822=$O$7)),"x","")</f>
        <v/>
      </c>
      <c r="P822" s="39" t="str">
        <f>IF(AND($L822=$O$7,$B822&lt;'111'!$N$11),"x","")</f>
        <v/>
      </c>
      <c r="Q822" s="39" t="str">
        <f>IF(AND($M822=$O$7,$B822&lt;'111'!$N$11),"x","")</f>
        <v/>
      </c>
      <c r="R822" s="39" t="str">
        <f>IF(ISERROR(FIND('112'!$M$9,G822,1)),"",IF((AND(FIND('112'!$M$9,G822,1)&gt;=1,$B822&gt;='112'!$N$8,$B822&lt;='112'!$O$8,OR($L822='112'!$I$6,$M822='112'!$I$6))),"x",""))</f>
        <v/>
      </c>
      <c r="S822" s="39" t="str">
        <f>IF(ISERROR(FIND('112'!$M$9,G822,1)),"",IF((AND(LEFT(G822,2)=LEFT('112'!$M$9,2),B822&lt;'112'!$N$8,$L822='112'!$I$6)),"x",""))</f>
        <v/>
      </c>
      <c r="T822" s="39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39" t="str">
        <f>IF(OR(TH!L822=TH!$V$7,M822=TH!$V$7),"x","")</f>
        <v/>
      </c>
      <c r="W822" s="39" t="str">
        <f>IF(AND(B822&gt;='IN-NX'!$P$3,B822&lt;='IN-NX'!$Q$3,'IN-NX'!$D$7=D822,OR(LEFT(L822,2)="15",AND(LEFT(M822,2)&lt;&gt;"15",LEFT(M822,2)&lt;&gt;"33"))),"x","")</f>
        <v/>
      </c>
      <c r="X822" s="39" t="str">
        <f>IF(AND(OR(LEFT(TH!L822,2)="15",LEFT(TH!M822,2)="15"),'152-CT'!$J$8=TH!F822),"x","")</f>
        <v/>
      </c>
      <c r="Y822" s="39" t="str">
        <f>IF(AND(OR(LEFT(TH!L822,2)="15",LEFT(TH!M822,2)="15"),TK!$E$7=TH!F822),"x","")</f>
        <v/>
      </c>
      <c r="Z822" s="39" t="str">
        <f>IF(AND(B822&lt;=NKC!$N$8,B822&gt;=NKC!$M$8),"x","")</f>
        <v/>
      </c>
      <c r="AA822" s="894"/>
    </row>
    <row r="823" spans="1:27" ht="15.75" customHeight="1">
      <c r="A823" s="199" t="str">
        <f>IF(B823&lt;&gt;"",IF(AND(B823&gt;=_TM1,B823&lt;=_TM2,OR(TH!L823="1111",TH!M823="1111")),TH!D823,""),"")</f>
        <v/>
      </c>
      <c r="B823" s="36" t="str">
        <f t="shared" si="38"/>
        <v/>
      </c>
      <c r="C823" s="190"/>
      <c r="D823" s="190"/>
      <c r="E823" s="183"/>
      <c r="F823" s="191"/>
      <c r="G823" s="491"/>
      <c r="H823" s="7"/>
      <c r="I823" s="253"/>
      <c r="J823" s="253"/>
      <c r="K823" s="606"/>
      <c r="L823" s="193"/>
      <c r="M823" s="193"/>
      <c r="N823" s="39" t="str">
        <f>IF(AND('331-CT'!$E$7=TH!H823,OR(L823="331",M823="331")),"331",IF(AND(OR(L823="131",M823="131"),H823='131-CT'!$E$7),"131",""))</f>
        <v/>
      </c>
      <c r="O823" s="39" t="str">
        <f>IF(AND($B823&gt;='111'!$N$11,$B823&lt;='111'!$O$11,OR($L823=$O$7,$M823=$O$7)),"x","")</f>
        <v/>
      </c>
      <c r="P823" s="39" t="str">
        <f>IF(AND($L823=$O$7,$B823&lt;'111'!$N$11),"x","")</f>
        <v/>
      </c>
      <c r="Q823" s="39" t="str">
        <f>IF(AND($M823=$O$7,$B823&lt;'111'!$N$11),"x","")</f>
        <v/>
      </c>
      <c r="R823" s="39" t="str">
        <f>IF(ISERROR(FIND('112'!$M$9,G823,1)),"",IF((AND(FIND('112'!$M$9,G823,1)&gt;=1,$B823&gt;='112'!$N$8,$B823&lt;='112'!$O$8,OR($L823='112'!$I$6,$M823='112'!$I$6))),"x",""))</f>
        <v/>
      </c>
      <c r="S823" s="39" t="str">
        <f>IF(ISERROR(FIND('112'!$M$9,G823,1)),"",IF((AND(LEFT(G823,2)=LEFT('112'!$M$9,2),B823&lt;'112'!$N$8,$L823='112'!$I$6)),"x",""))</f>
        <v/>
      </c>
      <c r="T823" s="39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39" t="str">
        <f>IF(OR(TH!L823=TH!$V$7,M823=TH!$V$7),"x","")</f>
        <v/>
      </c>
      <c r="W823" s="39" t="str">
        <f>IF(AND(B823&gt;='IN-NX'!$P$3,B823&lt;='IN-NX'!$Q$3,'IN-NX'!$D$7=D823,OR(LEFT(L823,2)="15",AND(LEFT(M823,2)&lt;&gt;"15",LEFT(M823,2)&lt;&gt;"33"))),"x","")</f>
        <v/>
      </c>
      <c r="X823" s="39" t="str">
        <f>IF(AND(OR(LEFT(TH!L823,2)="15",LEFT(TH!M823,2)="15"),'152-CT'!$J$8=TH!F823),"x","")</f>
        <v/>
      </c>
      <c r="Y823" s="39" t="str">
        <f>IF(AND(OR(LEFT(TH!L823,2)="15",LEFT(TH!M823,2)="15"),TK!$E$7=TH!F823),"x","")</f>
        <v/>
      </c>
      <c r="Z823" s="39" t="str">
        <f>IF(AND(B823&lt;=NKC!$N$8,B823&gt;=NKC!$M$8),"x","")</f>
        <v/>
      </c>
      <c r="AA823" s="894"/>
    </row>
    <row r="824" spans="1:27" ht="15.75" customHeight="1">
      <c r="A824" s="199" t="str">
        <f>IF(B824&lt;&gt;"",IF(AND(B824&gt;=_TM1,B824&lt;=_TM2,OR(TH!L824="1111",TH!M824="1111")),TH!D824,""),"")</f>
        <v/>
      </c>
      <c r="B824" s="36" t="str">
        <f t="shared" si="38"/>
        <v/>
      </c>
      <c r="C824" s="190"/>
      <c r="D824" s="190"/>
      <c r="E824" s="183"/>
      <c r="F824" s="191"/>
      <c r="G824" s="491"/>
      <c r="H824" s="204"/>
      <c r="I824" s="253"/>
      <c r="J824" s="253"/>
      <c r="K824" s="606"/>
      <c r="L824" s="193"/>
      <c r="M824" s="193"/>
      <c r="N824" s="39" t="str">
        <f>IF(AND('331-CT'!$E$7=TH!H824,OR(L824="331",M824="331")),"331",IF(AND(OR(L824="131",M824="131"),H824='131-CT'!$E$7),"131",""))</f>
        <v/>
      </c>
      <c r="O824" s="39" t="str">
        <f>IF(AND($B824&gt;='111'!$N$11,$B824&lt;='111'!$O$11,OR($L824=$O$7,$M824=$O$7)),"x","")</f>
        <v/>
      </c>
      <c r="P824" s="39" t="str">
        <f>IF(AND($L824=$O$7,$B824&lt;'111'!$N$11),"x","")</f>
        <v/>
      </c>
      <c r="Q824" s="39" t="str">
        <f>IF(AND($M824=$O$7,$B824&lt;'111'!$N$11),"x","")</f>
        <v/>
      </c>
      <c r="R824" s="39" t="str">
        <f>IF(ISERROR(FIND('112'!$M$9,G824,1)),"",IF((AND(FIND('112'!$M$9,G824,1)&gt;=1,$B824&gt;='112'!$N$8,$B824&lt;='112'!$O$8,OR($L824='112'!$I$6,$M824='112'!$I$6))),"x",""))</f>
        <v/>
      </c>
      <c r="S824" s="39" t="str">
        <f>IF(ISERROR(FIND('112'!$M$9,G824,1)),"",IF((AND(LEFT(G824,2)=LEFT('112'!$M$9,2),B824&lt;'112'!$N$8,$L824='112'!$I$6)),"x",""))</f>
        <v/>
      </c>
      <c r="T824" s="39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39" t="str">
        <f>IF(OR(TH!L824=TH!$V$7,M824=TH!$V$7),"x","")</f>
        <v/>
      </c>
      <c r="W824" s="39" t="str">
        <f>IF(AND(B824&gt;='IN-NX'!$P$3,B824&lt;='IN-NX'!$Q$3,'IN-NX'!$D$7=D824,OR(LEFT(L824,2)="15",AND(LEFT(M824,2)&lt;&gt;"15",LEFT(M824,2)&lt;&gt;"33"))),"x","")</f>
        <v/>
      </c>
      <c r="X824" s="39" t="str">
        <f>IF(AND(OR(LEFT(TH!L824,2)="15",LEFT(TH!M824,2)="15"),'152-CT'!$J$8=TH!F824),"x","")</f>
        <v/>
      </c>
      <c r="Y824" s="39" t="str">
        <f>IF(AND(OR(LEFT(TH!L824,2)="15",LEFT(TH!M824,2)="15"),TK!$E$7=TH!F824),"x","")</f>
        <v/>
      </c>
      <c r="Z824" s="39" t="str">
        <f>IF(AND(B824&lt;=NKC!$N$8,B824&gt;=NKC!$M$8),"x","")</f>
        <v/>
      </c>
      <c r="AA824" s="894"/>
    </row>
    <row r="825" spans="1:27" ht="15.75" customHeight="1">
      <c r="A825" s="199" t="str">
        <f>IF(B825&lt;&gt;"",IF(AND(B825&gt;=_TM1,B825&lt;=_TM2,OR(TH!L825="1111",TH!M825="1111")),TH!D825,""),"")</f>
        <v/>
      </c>
      <c r="B825" s="36" t="str">
        <f t="shared" si="38"/>
        <v/>
      </c>
      <c r="C825" s="190"/>
      <c r="D825" s="190"/>
      <c r="E825" s="183"/>
      <c r="F825" s="191"/>
      <c r="G825" s="491"/>
      <c r="H825" s="204"/>
      <c r="I825" s="253"/>
      <c r="J825" s="253"/>
      <c r="K825" s="606"/>
      <c r="L825" s="193"/>
      <c r="M825" s="193"/>
      <c r="N825" s="39" t="str">
        <f>IF(AND('331-CT'!$E$7=TH!H825,OR(L825="331",M825="331")),"331",IF(AND(OR(L825="131",M825="131"),H825='131-CT'!$E$7),"131",""))</f>
        <v/>
      </c>
      <c r="O825" s="39" t="str">
        <f>IF(AND($B825&gt;='111'!$N$11,$B825&lt;='111'!$O$11,OR($L825=$O$7,$M825=$O$7)),"x","")</f>
        <v/>
      </c>
      <c r="P825" s="39" t="str">
        <f>IF(AND($L825=$O$7,$B825&lt;'111'!$N$11),"x","")</f>
        <v/>
      </c>
      <c r="Q825" s="39" t="str">
        <f>IF(AND($M825=$O$7,$B825&lt;'111'!$N$11),"x","")</f>
        <v/>
      </c>
      <c r="R825" s="39" t="str">
        <f>IF(ISERROR(FIND('112'!$M$9,G825,1)),"",IF((AND(FIND('112'!$M$9,G825,1)&gt;=1,$B825&gt;='112'!$N$8,$B825&lt;='112'!$O$8,OR($L825='112'!$I$6,$M825='112'!$I$6))),"x",""))</f>
        <v/>
      </c>
      <c r="S825" s="39" t="str">
        <f>IF(ISERROR(FIND('112'!$M$9,G825,1)),"",IF((AND(LEFT(G825,2)=LEFT('112'!$M$9,2),B825&lt;'112'!$N$8,$L825='112'!$I$6)),"x",""))</f>
        <v/>
      </c>
      <c r="T825" s="39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39" t="str">
        <f>IF(OR(TH!L825=TH!$V$7,M825=TH!$V$7),"x","")</f>
        <v/>
      </c>
      <c r="W825" s="39" t="str">
        <f>IF(AND(B825&gt;='IN-NX'!$P$3,B825&lt;='IN-NX'!$Q$3,'IN-NX'!$D$7=D825,OR(LEFT(L825,2)="15",AND(LEFT(M825,2)&lt;&gt;"15",LEFT(M825,2)&lt;&gt;"33"))),"x","")</f>
        <v/>
      </c>
      <c r="X825" s="39" t="str">
        <f>IF(AND(OR(LEFT(TH!L825,2)="15",LEFT(TH!M825,2)="15"),'152-CT'!$J$8=TH!F825),"x","")</f>
        <v/>
      </c>
      <c r="Y825" s="39" t="str">
        <f>IF(AND(OR(LEFT(TH!L825,2)="15",LEFT(TH!M825,2)="15"),TK!$E$7=TH!F825),"x","")</f>
        <v/>
      </c>
      <c r="Z825" s="39" t="str">
        <f>IF(AND(B825&lt;=NKC!$N$8,B825&gt;=NKC!$M$8),"x","")</f>
        <v/>
      </c>
      <c r="AA825" s="894"/>
    </row>
    <row r="826" spans="1:27" ht="15.75" customHeight="1">
      <c r="A826" s="199" t="str">
        <f>IF(B826&lt;&gt;"",IF(AND(B826&gt;=_TM1,B826&lt;=_TM2,OR(TH!L826="1111",TH!M826="1111")),TH!D826,""),"")</f>
        <v/>
      </c>
      <c r="B826" s="36" t="str">
        <f t="shared" si="38"/>
        <v/>
      </c>
      <c r="C826" s="190"/>
      <c r="D826" s="190"/>
      <c r="E826" s="183"/>
      <c r="F826" s="191"/>
      <c r="G826" s="491"/>
      <c r="H826" s="7"/>
      <c r="I826" s="253"/>
      <c r="J826" s="253"/>
      <c r="K826" s="606"/>
      <c r="L826" s="193"/>
      <c r="M826" s="193"/>
      <c r="N826" s="39" t="str">
        <f>IF(AND('331-CT'!$E$7=TH!H826,OR(L826="331",M826="331")),"331",IF(AND(OR(L826="131",M826="131"),H826='131-CT'!$E$7),"131",""))</f>
        <v/>
      </c>
      <c r="O826" s="39" t="str">
        <f>IF(AND($B826&gt;='111'!$N$11,$B826&lt;='111'!$O$11,OR($L826=$O$7,$M826=$O$7)),"x","")</f>
        <v/>
      </c>
      <c r="P826" s="39" t="str">
        <f>IF(AND($L826=$O$7,$B826&lt;'111'!$N$11),"x","")</f>
        <v/>
      </c>
      <c r="Q826" s="39" t="str">
        <f>IF(AND($M826=$O$7,$B826&lt;'111'!$N$11),"x","")</f>
        <v/>
      </c>
      <c r="R826" s="39" t="str">
        <f>IF(ISERROR(FIND('112'!$M$9,G826,1)),"",IF((AND(FIND('112'!$M$9,G826,1)&gt;=1,$B826&gt;='112'!$N$8,$B826&lt;='112'!$O$8,OR($L826='112'!$I$6,$M826='112'!$I$6))),"x",""))</f>
        <v/>
      </c>
      <c r="S826" s="39" t="str">
        <f>IF(ISERROR(FIND('112'!$M$9,G826,1)),"",IF((AND(LEFT(G826,2)=LEFT('112'!$M$9,2),B826&lt;'112'!$N$8,$L826='112'!$I$6)),"x",""))</f>
        <v/>
      </c>
      <c r="T826" s="39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39" t="str">
        <f>IF(OR(TH!L826=TH!$V$7,M826=TH!$V$7),"x","")</f>
        <v/>
      </c>
      <c r="W826" s="39" t="str">
        <f>IF(AND(B826&gt;='IN-NX'!$P$3,B826&lt;='IN-NX'!$Q$3,'IN-NX'!$D$7=D826,OR(LEFT(L826,2)="15",AND(LEFT(M826,2)&lt;&gt;"15",LEFT(M826,2)&lt;&gt;"33"))),"x","")</f>
        <v/>
      </c>
      <c r="X826" s="39" t="str">
        <f>IF(AND(OR(LEFT(TH!L826,2)="15",LEFT(TH!M826,2)="15"),'152-CT'!$J$8=TH!F826),"x","")</f>
        <v/>
      </c>
      <c r="Y826" s="39" t="str">
        <f>IF(AND(OR(LEFT(TH!L826,2)="15",LEFT(TH!M826,2)="15"),TK!$E$7=TH!F826),"x","")</f>
        <v/>
      </c>
      <c r="Z826" s="39" t="str">
        <f>IF(AND(B826&lt;=NKC!$N$8,B826&gt;=NKC!$M$8),"x","")</f>
        <v/>
      </c>
      <c r="AA826" s="894"/>
    </row>
    <row r="827" spans="1:27" ht="15.75" customHeight="1">
      <c r="A827" s="199" t="str">
        <f>IF(B827&lt;&gt;"",IF(AND(B827&gt;=_TM1,B827&lt;=_TM2,OR(TH!L827="1111",TH!M827="1111")),TH!D827,""),"")</f>
        <v/>
      </c>
      <c r="B827" s="36" t="str">
        <f t="shared" si="38"/>
        <v/>
      </c>
      <c r="C827" s="190"/>
      <c r="D827" s="190"/>
      <c r="E827" s="183"/>
      <c r="F827" s="191"/>
      <c r="G827" s="491"/>
      <c r="H827" s="7"/>
      <c r="I827" s="253"/>
      <c r="J827" s="253"/>
      <c r="K827" s="606"/>
      <c r="L827" s="193"/>
      <c r="M827" s="193"/>
      <c r="N827" s="39" t="str">
        <f>IF(AND('331-CT'!$E$7=TH!H827,OR(L827="331",M827="331")),"331",IF(AND(OR(L827="131",M827="131"),H827='131-CT'!$E$7),"131",""))</f>
        <v/>
      </c>
      <c r="O827" s="39" t="str">
        <f>IF(AND($B827&gt;='111'!$N$11,$B827&lt;='111'!$O$11,OR($L827=$O$7,$M827=$O$7)),"x","")</f>
        <v/>
      </c>
      <c r="P827" s="39" t="str">
        <f>IF(AND($L827=$O$7,$B827&lt;'111'!$N$11),"x","")</f>
        <v/>
      </c>
      <c r="Q827" s="39" t="str">
        <f>IF(AND($M827=$O$7,$B827&lt;'111'!$N$11),"x","")</f>
        <v/>
      </c>
      <c r="R827" s="39" t="str">
        <f>IF(ISERROR(FIND('112'!$M$9,G827,1)),"",IF((AND(FIND('112'!$M$9,G827,1)&gt;=1,$B827&gt;='112'!$N$8,$B827&lt;='112'!$O$8,OR($L827='112'!$I$6,$M827='112'!$I$6))),"x",""))</f>
        <v/>
      </c>
      <c r="S827" s="39" t="str">
        <f>IF(ISERROR(FIND('112'!$M$9,G827,1)),"",IF((AND(LEFT(G827,2)=LEFT('112'!$M$9,2),B827&lt;'112'!$N$8,$L827='112'!$I$6)),"x",""))</f>
        <v/>
      </c>
      <c r="T827" s="39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39" t="str">
        <f>IF(OR(TH!L827=TH!$V$7,M827=TH!$V$7),"x","")</f>
        <v/>
      </c>
      <c r="W827" s="39" t="str">
        <f>IF(AND(B827&gt;='IN-NX'!$P$3,B827&lt;='IN-NX'!$Q$3,'IN-NX'!$D$7=D827,OR(LEFT(L827,2)="15",AND(LEFT(M827,2)&lt;&gt;"15",LEFT(M827,2)&lt;&gt;"33"))),"x","")</f>
        <v/>
      </c>
      <c r="X827" s="39" t="str">
        <f>IF(AND(OR(LEFT(TH!L827,2)="15",LEFT(TH!M827,2)="15"),'152-CT'!$J$8=TH!F827),"x","")</f>
        <v/>
      </c>
      <c r="Y827" s="39" t="str">
        <f>IF(AND(OR(LEFT(TH!L827,2)="15",LEFT(TH!M827,2)="15"),TK!$E$7=TH!F827),"x","")</f>
        <v/>
      </c>
      <c r="Z827" s="39" t="str">
        <f>IF(AND(B827&lt;=NKC!$N$8,B827&gt;=NKC!$M$8),"x","")</f>
        <v/>
      </c>
      <c r="AA827" s="894"/>
    </row>
    <row r="828" spans="1:27" ht="15.75" customHeight="1">
      <c r="A828" s="199" t="str">
        <f>IF(B828&lt;&gt;"",IF(AND(B828&gt;=_TM1,B828&lt;=_TM2,OR(TH!L828="1111",TH!M828="1111")),TH!D828,""),"")</f>
        <v/>
      </c>
      <c r="B828" s="36" t="str">
        <f t="shared" si="38"/>
        <v/>
      </c>
      <c r="C828" s="190"/>
      <c r="D828" s="190"/>
      <c r="E828" s="183"/>
      <c r="F828" s="191"/>
      <c r="G828" s="491"/>
      <c r="H828" s="7"/>
      <c r="I828" s="253"/>
      <c r="J828" s="253"/>
      <c r="K828" s="606"/>
      <c r="L828" s="193"/>
      <c r="M828" s="193"/>
      <c r="N828" s="39" t="str">
        <f>IF(AND('331-CT'!$E$7=TH!H828,OR(L828="331",M828="331")),"331",IF(AND(OR(L828="131",M828="131"),H828='131-CT'!$E$7),"131",""))</f>
        <v/>
      </c>
      <c r="O828" s="39" t="str">
        <f>IF(AND($B828&gt;='111'!$N$11,$B828&lt;='111'!$O$11,OR($L828=$O$7,$M828=$O$7)),"x","")</f>
        <v/>
      </c>
      <c r="P828" s="39" t="str">
        <f>IF(AND($L828=$O$7,$B828&lt;'111'!$N$11),"x","")</f>
        <v/>
      </c>
      <c r="Q828" s="39" t="str">
        <f>IF(AND($M828=$O$7,$B828&lt;'111'!$N$11),"x","")</f>
        <v/>
      </c>
      <c r="R828" s="39" t="str">
        <f>IF(ISERROR(FIND('112'!$M$9,G828,1)),"",IF((AND(FIND('112'!$M$9,G828,1)&gt;=1,$B828&gt;='112'!$N$8,$B828&lt;='112'!$O$8,OR($L828='112'!$I$6,$M828='112'!$I$6))),"x",""))</f>
        <v/>
      </c>
      <c r="S828" s="39" t="str">
        <f>IF(ISERROR(FIND('112'!$M$9,G828,1)),"",IF((AND(LEFT(G828,2)=LEFT('112'!$M$9,2),B828&lt;'112'!$N$8,$L828='112'!$I$6)),"x",""))</f>
        <v/>
      </c>
      <c r="T828" s="39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39" t="str">
        <f>IF(OR(TH!L828=TH!$V$7,M828=TH!$V$7),"x","")</f>
        <v/>
      </c>
      <c r="W828" s="39" t="str">
        <f>IF(AND(B828&gt;='IN-NX'!$P$3,B828&lt;='IN-NX'!$Q$3,'IN-NX'!$D$7=D828,OR(LEFT(L828,2)="15",AND(LEFT(M828,2)&lt;&gt;"15",LEFT(M828,2)&lt;&gt;"33"))),"x","")</f>
        <v/>
      </c>
      <c r="X828" s="39" t="str">
        <f>IF(AND(OR(LEFT(TH!L828,2)="15",LEFT(TH!M828,2)="15"),'152-CT'!$J$8=TH!F828),"x","")</f>
        <v/>
      </c>
      <c r="Y828" s="39" t="str">
        <f>IF(AND(OR(LEFT(TH!L828,2)="15",LEFT(TH!M828,2)="15"),TK!$E$7=TH!F828),"x","")</f>
        <v/>
      </c>
      <c r="Z828" s="39" t="str">
        <f>IF(AND(B828&lt;=NKC!$N$8,B828&gt;=NKC!$M$8),"x","")</f>
        <v/>
      </c>
      <c r="AA828" s="894"/>
    </row>
    <row r="829" spans="1:27" ht="15.75" customHeight="1">
      <c r="A829" s="199" t="str">
        <f>IF(B829&lt;&gt;"",IF(AND(B829&gt;=_TM1,B829&lt;=_TM2,OR(TH!L829="1111",TH!M829="1111")),TH!D829,""),"")</f>
        <v/>
      </c>
      <c r="B829" s="36" t="str">
        <f t="shared" si="38"/>
        <v/>
      </c>
      <c r="C829" s="190"/>
      <c r="D829" s="190"/>
      <c r="E829" s="183"/>
      <c r="F829" s="191"/>
      <c r="G829" s="491"/>
      <c r="H829" s="7"/>
      <c r="I829" s="253"/>
      <c r="J829" s="253"/>
      <c r="K829" s="606"/>
      <c r="L829" s="193"/>
      <c r="M829" s="193"/>
      <c r="N829" s="39" t="str">
        <f>IF(AND('331-CT'!$E$7=TH!H829,OR(L829="331",M829="331")),"331",IF(AND(OR(L829="131",M829="131"),H829='131-CT'!$E$7),"131",""))</f>
        <v/>
      </c>
      <c r="O829" s="39" t="str">
        <f>IF(AND($B829&gt;='111'!$N$11,$B829&lt;='111'!$O$11,OR($L829=$O$7,$M829=$O$7)),"x","")</f>
        <v/>
      </c>
      <c r="P829" s="39" t="str">
        <f>IF(AND($L829=$O$7,$B829&lt;'111'!$N$11),"x","")</f>
        <v/>
      </c>
      <c r="Q829" s="39" t="str">
        <f>IF(AND($M829=$O$7,$B829&lt;'111'!$N$11),"x","")</f>
        <v/>
      </c>
      <c r="R829" s="39" t="str">
        <f>IF(ISERROR(FIND('112'!$M$9,G829,1)),"",IF((AND(FIND('112'!$M$9,G829,1)&gt;=1,$B829&gt;='112'!$N$8,$B829&lt;='112'!$O$8,OR($L829='112'!$I$6,$M829='112'!$I$6))),"x",""))</f>
        <v/>
      </c>
      <c r="S829" s="39" t="str">
        <f>IF(ISERROR(FIND('112'!$M$9,G829,1)),"",IF((AND(LEFT(G829,2)=LEFT('112'!$M$9,2),B829&lt;'112'!$N$8,$L829='112'!$I$6)),"x",""))</f>
        <v/>
      </c>
      <c r="T829" s="39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39" t="str">
        <f>IF(OR(TH!L829=TH!$V$7,M829=TH!$V$7),"x","")</f>
        <v/>
      </c>
      <c r="W829" s="39" t="str">
        <f>IF(AND(B829&gt;='IN-NX'!$P$3,B829&lt;='IN-NX'!$Q$3,'IN-NX'!$D$7=D829,OR(LEFT(L829,2)="15",AND(LEFT(M829,2)&lt;&gt;"15",LEFT(M829,2)&lt;&gt;"33"))),"x","")</f>
        <v/>
      </c>
      <c r="X829" s="39" t="str">
        <f>IF(AND(OR(LEFT(TH!L829,2)="15",LEFT(TH!M829,2)="15"),'152-CT'!$J$8=TH!F829),"x","")</f>
        <v/>
      </c>
      <c r="Y829" s="39" t="str">
        <f>IF(AND(OR(LEFT(TH!L829,2)="15",LEFT(TH!M829,2)="15"),TK!$E$7=TH!F829),"x","")</f>
        <v/>
      </c>
      <c r="Z829" s="39" t="str">
        <f>IF(AND(B829&lt;=NKC!$N$8,B829&gt;=NKC!$M$8),"x","")</f>
        <v/>
      </c>
      <c r="AA829" s="894"/>
    </row>
    <row r="830" spans="1:27" ht="15.75" customHeight="1">
      <c r="A830" s="199" t="str">
        <f>IF(B830&lt;&gt;"",IF(AND(B830&gt;=_TM1,B830&lt;=_TM2,OR(TH!L830="1111",TH!M830="1111")),TH!D830,""),"")</f>
        <v/>
      </c>
      <c r="B830" s="36" t="str">
        <f t="shared" si="38"/>
        <v/>
      </c>
      <c r="C830" s="190"/>
      <c r="D830" s="190"/>
      <c r="E830" s="183"/>
      <c r="F830" s="191"/>
      <c r="G830" s="491"/>
      <c r="H830" s="7"/>
      <c r="I830" s="253"/>
      <c r="J830" s="253"/>
      <c r="K830" s="606"/>
      <c r="L830" s="193"/>
      <c r="M830" s="193"/>
      <c r="N830" s="39" t="str">
        <f>IF(AND('331-CT'!$E$7=TH!H830,OR(L830="331",M830="331")),"331",IF(AND(OR(L830="131",M830="131"),H830='131-CT'!$E$7),"131",""))</f>
        <v/>
      </c>
      <c r="O830" s="39" t="str">
        <f>IF(AND($B830&gt;='111'!$N$11,$B830&lt;='111'!$O$11,OR($L830=$O$7,$M830=$O$7)),"x","")</f>
        <v/>
      </c>
      <c r="P830" s="39" t="str">
        <f>IF(AND($L830=$O$7,$B830&lt;'111'!$N$11),"x","")</f>
        <v/>
      </c>
      <c r="Q830" s="39" t="str">
        <f>IF(AND($M830=$O$7,$B830&lt;'111'!$N$11),"x","")</f>
        <v/>
      </c>
      <c r="R830" s="39" t="str">
        <f>IF(ISERROR(FIND('112'!$M$9,G830,1)),"",IF((AND(FIND('112'!$M$9,G830,1)&gt;=1,$B830&gt;='112'!$N$8,$B830&lt;='112'!$O$8,OR($L830='112'!$I$6,$M830='112'!$I$6))),"x",""))</f>
        <v/>
      </c>
      <c r="S830" s="39" t="str">
        <f>IF(ISERROR(FIND('112'!$M$9,G830,1)),"",IF((AND(LEFT(G830,2)=LEFT('112'!$M$9,2),B830&lt;'112'!$N$8,$L830='112'!$I$6)),"x",""))</f>
        <v/>
      </c>
      <c r="T830" s="39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39" t="str">
        <f>IF(OR(TH!L830=TH!$V$7,M830=TH!$V$7),"x","")</f>
        <v/>
      </c>
      <c r="W830" s="39" t="str">
        <f>IF(AND(B830&gt;='IN-NX'!$P$3,B830&lt;='IN-NX'!$Q$3,'IN-NX'!$D$7=D830,OR(LEFT(L830,2)="15",AND(LEFT(M830,2)&lt;&gt;"15",LEFT(M830,2)&lt;&gt;"33"))),"x","")</f>
        <v/>
      </c>
      <c r="X830" s="39" t="str">
        <f>IF(AND(OR(LEFT(TH!L830,2)="15",LEFT(TH!M830,2)="15"),'152-CT'!$J$8=TH!F830),"x","")</f>
        <v/>
      </c>
      <c r="Y830" s="39" t="str">
        <f>IF(AND(OR(LEFT(TH!L830,2)="15",LEFT(TH!M830,2)="15"),TK!$E$7=TH!F830),"x","")</f>
        <v/>
      </c>
      <c r="Z830" s="39" t="str">
        <f>IF(AND(B830&lt;=NKC!$N$8,B830&gt;=NKC!$M$8),"x","")</f>
        <v/>
      </c>
      <c r="AA830" s="894"/>
    </row>
    <row r="831" spans="1:27" ht="15.75" customHeight="1">
      <c r="A831" s="199" t="str">
        <f>IF(B831&lt;&gt;"",IF(AND(B831&gt;=_TM1,B831&lt;=_TM2,OR(TH!L831="1111",TH!M831="1111")),TH!D831,""),"")</f>
        <v/>
      </c>
      <c r="B831" s="36" t="str">
        <f t="shared" si="38"/>
        <v/>
      </c>
      <c r="C831" s="190"/>
      <c r="D831" s="190"/>
      <c r="E831" s="183"/>
      <c r="F831" s="191"/>
      <c r="G831" s="491"/>
      <c r="H831" s="7"/>
      <c r="I831" s="253"/>
      <c r="J831" s="253"/>
      <c r="K831" s="606"/>
      <c r="L831" s="193"/>
      <c r="M831" s="193"/>
      <c r="N831" s="39" t="str">
        <f>IF(AND('331-CT'!$E$7=TH!H831,OR(L831="331",M831="331")),"331",IF(AND(OR(L831="131",M831="131"),H831='131-CT'!$E$7),"131",""))</f>
        <v/>
      </c>
      <c r="O831" s="39" t="str">
        <f>IF(AND($B831&gt;='111'!$N$11,$B831&lt;='111'!$O$11,OR($L831=$O$7,$M831=$O$7)),"x","")</f>
        <v/>
      </c>
      <c r="P831" s="39" t="str">
        <f>IF(AND($L831=$O$7,$B831&lt;'111'!$N$11),"x","")</f>
        <v/>
      </c>
      <c r="Q831" s="39" t="str">
        <f>IF(AND($M831=$O$7,$B831&lt;'111'!$N$11),"x","")</f>
        <v/>
      </c>
      <c r="R831" s="39" t="str">
        <f>IF(ISERROR(FIND('112'!$M$9,G831,1)),"",IF((AND(FIND('112'!$M$9,G831,1)&gt;=1,$B831&gt;='112'!$N$8,$B831&lt;='112'!$O$8,OR($L831='112'!$I$6,$M831='112'!$I$6))),"x",""))</f>
        <v/>
      </c>
      <c r="S831" s="39" t="str">
        <f>IF(ISERROR(FIND('112'!$M$9,G831,1)),"",IF((AND(LEFT(G831,2)=LEFT('112'!$M$9,2),B831&lt;'112'!$N$8,$L831='112'!$I$6)),"x",""))</f>
        <v/>
      </c>
      <c r="T831" s="39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39" t="str">
        <f>IF(OR(TH!L831=TH!$V$7,M831=TH!$V$7),"x","")</f>
        <v/>
      </c>
      <c r="W831" s="39" t="str">
        <f>IF(AND(B831&gt;='IN-NX'!$P$3,B831&lt;='IN-NX'!$Q$3,'IN-NX'!$D$7=D831,OR(LEFT(L831,2)="15",AND(LEFT(M831,2)&lt;&gt;"15",LEFT(M831,2)&lt;&gt;"33"))),"x","")</f>
        <v/>
      </c>
      <c r="X831" s="39" t="str">
        <f>IF(AND(OR(LEFT(TH!L831,2)="15",LEFT(TH!M831,2)="15"),'152-CT'!$J$8=TH!F831),"x","")</f>
        <v/>
      </c>
      <c r="Y831" s="39" t="str">
        <f>IF(AND(OR(LEFT(TH!L831,2)="15",LEFT(TH!M831,2)="15"),TK!$E$7=TH!F831),"x","")</f>
        <v/>
      </c>
      <c r="Z831" s="39" t="str">
        <f>IF(AND(B831&lt;=NKC!$N$8,B831&gt;=NKC!$M$8),"x","")</f>
        <v/>
      </c>
      <c r="AA831" s="894"/>
    </row>
    <row r="832" spans="1:27" ht="15.75" customHeight="1">
      <c r="A832" s="199" t="str">
        <f>IF(B832&lt;&gt;"",IF(AND(B832&gt;=_TM1,B832&lt;=_TM2,OR(TH!L832="1111",TH!M832="1111")),TH!D832,""),"")</f>
        <v/>
      </c>
      <c r="B832" s="36" t="str">
        <f t="shared" si="38"/>
        <v/>
      </c>
      <c r="C832" s="190"/>
      <c r="D832" s="190"/>
      <c r="E832" s="183"/>
      <c r="F832" s="191"/>
      <c r="G832" s="491"/>
      <c r="H832" s="7"/>
      <c r="I832" s="253"/>
      <c r="J832" s="253"/>
      <c r="K832" s="606"/>
      <c r="L832" s="193"/>
      <c r="M832" s="193"/>
      <c r="N832" s="39" t="str">
        <f>IF(AND('331-CT'!$E$7=TH!H832,OR(L832="331",M832="331")),"331",IF(AND(OR(L832="131",M832="131"),H832='131-CT'!$E$7),"131",""))</f>
        <v/>
      </c>
      <c r="O832" s="39" t="str">
        <f>IF(AND($B832&gt;='111'!$N$11,$B832&lt;='111'!$O$11,OR($L832=$O$7,$M832=$O$7)),"x","")</f>
        <v/>
      </c>
      <c r="P832" s="39" t="str">
        <f>IF(AND($L832=$O$7,$B832&lt;'111'!$N$11),"x","")</f>
        <v/>
      </c>
      <c r="Q832" s="39" t="str">
        <f>IF(AND($M832=$O$7,$B832&lt;'111'!$N$11),"x","")</f>
        <v/>
      </c>
      <c r="R832" s="39" t="str">
        <f>IF(ISERROR(FIND('112'!$M$9,G832,1)),"",IF((AND(FIND('112'!$M$9,G832,1)&gt;=1,$B832&gt;='112'!$N$8,$B832&lt;='112'!$O$8,OR($L832='112'!$I$6,$M832='112'!$I$6))),"x",""))</f>
        <v/>
      </c>
      <c r="S832" s="39" t="str">
        <f>IF(ISERROR(FIND('112'!$M$9,G832,1)),"",IF((AND(LEFT(G832,2)=LEFT('112'!$M$9,2),B832&lt;'112'!$N$8,$L832='112'!$I$6)),"x",""))</f>
        <v/>
      </c>
      <c r="T832" s="39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39" t="str">
        <f>IF(OR(TH!L832=TH!$V$7,M832=TH!$V$7),"x","")</f>
        <v/>
      </c>
      <c r="W832" s="39" t="str">
        <f>IF(AND(B832&gt;='IN-NX'!$P$3,B832&lt;='IN-NX'!$Q$3,'IN-NX'!$D$7=D832,OR(LEFT(L832,2)="15",AND(LEFT(M832,2)&lt;&gt;"15",LEFT(M832,2)&lt;&gt;"33"))),"x","")</f>
        <v/>
      </c>
      <c r="X832" s="39" t="str">
        <f>IF(AND(OR(LEFT(TH!L832,2)="15",LEFT(TH!M832,2)="15"),'152-CT'!$J$8=TH!F832),"x","")</f>
        <v/>
      </c>
      <c r="Y832" s="39" t="str">
        <f>IF(AND(OR(LEFT(TH!L832,2)="15",LEFT(TH!M832,2)="15"),TK!$E$7=TH!F832),"x","")</f>
        <v/>
      </c>
      <c r="Z832" s="39" t="str">
        <f>IF(AND(B832&lt;=NKC!$N$8,B832&gt;=NKC!$M$8),"x","")</f>
        <v/>
      </c>
      <c r="AA832" s="894"/>
    </row>
    <row r="833" spans="1:27" ht="15.75" customHeight="1">
      <c r="A833" s="199" t="str">
        <f>IF(B833&lt;&gt;"",IF(AND(B833&gt;=_TM1,B833&lt;=_TM2,OR(TH!L833="1111",TH!M833="1111")),TH!D833,""),"")</f>
        <v/>
      </c>
      <c r="B833" s="36" t="str">
        <f t="shared" si="38"/>
        <v/>
      </c>
      <c r="C833" s="190"/>
      <c r="D833" s="190"/>
      <c r="E833" s="183"/>
      <c r="F833" s="191"/>
      <c r="G833" s="491"/>
      <c r="H833" s="7"/>
      <c r="I833" s="253"/>
      <c r="J833" s="253"/>
      <c r="K833" s="606"/>
      <c r="L833" s="193"/>
      <c r="M833" s="193"/>
      <c r="N833" s="39" t="str">
        <f>IF(AND('331-CT'!$E$7=TH!H833,OR(L833="331",M833="331")),"331",IF(AND(OR(L833="131",M833="131"),H833='131-CT'!$E$7),"131",""))</f>
        <v/>
      </c>
      <c r="O833" s="39" t="str">
        <f>IF(AND($B833&gt;='111'!$N$11,$B833&lt;='111'!$O$11,OR($L833=$O$7,$M833=$O$7)),"x","")</f>
        <v/>
      </c>
      <c r="P833" s="39" t="str">
        <f>IF(AND($L833=$O$7,$B833&lt;'111'!$N$11),"x","")</f>
        <v/>
      </c>
      <c r="Q833" s="39" t="str">
        <f>IF(AND($M833=$O$7,$B833&lt;'111'!$N$11),"x","")</f>
        <v/>
      </c>
      <c r="R833" s="39" t="str">
        <f>IF(ISERROR(FIND('112'!$M$9,G833,1)),"",IF((AND(FIND('112'!$M$9,G833,1)&gt;=1,$B833&gt;='112'!$N$8,$B833&lt;='112'!$O$8,OR($L833='112'!$I$6,$M833='112'!$I$6))),"x",""))</f>
        <v/>
      </c>
      <c r="S833" s="39" t="str">
        <f>IF(ISERROR(FIND('112'!$M$9,G833,1)),"",IF((AND(LEFT(G833,2)=LEFT('112'!$M$9,2),B833&lt;'112'!$N$8,$L833='112'!$I$6)),"x",""))</f>
        <v/>
      </c>
      <c r="T833" s="39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39" t="str">
        <f>IF(OR(TH!L833=TH!$V$7,M833=TH!$V$7),"x","")</f>
        <v/>
      </c>
      <c r="W833" s="39" t="str">
        <f>IF(AND(B833&gt;='IN-NX'!$P$3,B833&lt;='IN-NX'!$Q$3,'IN-NX'!$D$7=D833,OR(LEFT(L833,2)="15",AND(LEFT(M833,2)&lt;&gt;"15",LEFT(M833,2)&lt;&gt;"33"))),"x","")</f>
        <v/>
      </c>
      <c r="X833" s="39" t="str">
        <f>IF(AND(OR(LEFT(TH!L833,2)="15",LEFT(TH!M833,2)="15"),'152-CT'!$J$8=TH!F833),"x","")</f>
        <v/>
      </c>
      <c r="Y833" s="39" t="str">
        <f>IF(AND(OR(LEFT(TH!L833,2)="15",LEFT(TH!M833,2)="15"),TK!$E$7=TH!F833),"x","")</f>
        <v/>
      </c>
      <c r="Z833" s="39" t="str">
        <f>IF(AND(B833&lt;=NKC!$N$8,B833&gt;=NKC!$M$8),"x","")</f>
        <v/>
      </c>
      <c r="AA833" s="894"/>
    </row>
    <row r="834" spans="1:27" ht="15.75" customHeight="1">
      <c r="A834" s="199" t="str">
        <f>IF(B834&lt;&gt;"",IF(AND(B834&gt;=_TM1,B834&lt;=_TM2,OR(TH!L834="1111",TH!M834="1111")),TH!D834,""),"")</f>
        <v/>
      </c>
      <c r="B834" s="36" t="str">
        <f t="shared" si="38"/>
        <v/>
      </c>
      <c r="C834" s="190"/>
      <c r="D834" s="190"/>
      <c r="E834" s="183"/>
      <c r="F834" s="188"/>
      <c r="G834" s="491"/>
      <c r="H834" s="7"/>
      <c r="I834" s="253"/>
      <c r="J834" s="253"/>
      <c r="K834" s="606"/>
      <c r="L834" s="39"/>
      <c r="M834" s="39"/>
      <c r="N834" s="39" t="str">
        <f>IF(AND('331-CT'!$E$7=TH!H834,OR(L834="331",M834="331")),"331",IF(AND(OR(L834="131",M834="131"),H834='131-CT'!$E$7),"131",""))</f>
        <v/>
      </c>
      <c r="O834" s="39" t="str">
        <f>IF(AND($B834&gt;='111'!$N$11,$B834&lt;='111'!$O$11,OR($L834=$O$7,$M834=$O$7)),"x","")</f>
        <v/>
      </c>
      <c r="P834" s="39" t="str">
        <f>IF(AND($L834=$O$7,$B834&lt;'111'!$N$11),"x","")</f>
        <v/>
      </c>
      <c r="Q834" s="39" t="str">
        <f>IF(AND($M834=$O$7,$B834&lt;'111'!$N$11),"x","")</f>
        <v/>
      </c>
      <c r="R834" s="39" t="str">
        <f>IF(ISERROR(FIND('112'!$M$9,G834,1)),"",IF((AND(FIND('112'!$M$9,G834,1)&gt;=1,$B834&gt;='112'!$N$8,$B834&lt;='112'!$O$8,OR($L834='112'!$I$6,$M834='112'!$I$6))),"x",""))</f>
        <v/>
      </c>
      <c r="S834" s="39" t="str">
        <f>IF(ISERROR(FIND('112'!$M$9,G834,1)),"",IF((AND(LEFT(G834,2)=LEFT('112'!$M$9,2),B834&lt;'112'!$N$8,$L834='112'!$I$6)),"x",""))</f>
        <v/>
      </c>
      <c r="T834" s="39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39" t="str">
        <f>IF(OR(TH!L834=TH!$V$7,M834=TH!$V$7),"x","")</f>
        <v/>
      </c>
      <c r="W834" s="39" t="str">
        <f>IF(AND(B834&gt;='IN-NX'!$P$3,B834&lt;='IN-NX'!$Q$3,'IN-NX'!$D$7=D834,OR(LEFT(L834,2)="15",AND(LEFT(M834,2)&lt;&gt;"15",LEFT(M834,2)&lt;&gt;"33"))),"x","")</f>
        <v/>
      </c>
      <c r="X834" s="39" t="str">
        <f>IF(AND(OR(LEFT(TH!L834,2)="15",LEFT(TH!M834,2)="15"),'152-CT'!$J$8=TH!F834),"x","")</f>
        <v/>
      </c>
      <c r="Y834" s="39" t="str">
        <f>IF(AND(OR(LEFT(TH!L834,2)="15",LEFT(TH!M834,2)="15"),TK!$E$7=TH!F834),"x","")</f>
        <v/>
      </c>
      <c r="Z834" s="39" t="str">
        <f>IF(AND(B834&lt;=NKC!$N$8,B834&gt;=NKC!$M$8),"x","")</f>
        <v/>
      </c>
      <c r="AA834" s="894"/>
    </row>
    <row r="835" spans="1:27" ht="15.75" customHeight="1">
      <c r="A835" s="199" t="str">
        <f>IF(B835&lt;&gt;"",IF(AND(B835&gt;=_TM1,B835&lt;=_TM2,OR(TH!L835="1111",TH!M835="1111")),TH!D835,""),"")</f>
        <v/>
      </c>
      <c r="B835" s="36" t="str">
        <f t="shared" si="38"/>
        <v/>
      </c>
      <c r="C835" s="190"/>
      <c r="D835" s="190"/>
      <c r="E835" s="183"/>
      <c r="F835" s="188"/>
      <c r="G835" s="491"/>
      <c r="H835" s="7"/>
      <c r="I835" s="253"/>
      <c r="J835" s="253"/>
      <c r="K835" s="606"/>
      <c r="L835" s="39"/>
      <c r="M835" s="39"/>
      <c r="N835" s="39" t="str">
        <f>IF(AND('331-CT'!$E$7=TH!H835,OR(L835="331",M835="331")),"331",IF(AND(OR(L835="131",M835="131"),H835='131-CT'!$E$7),"131",""))</f>
        <v/>
      </c>
      <c r="O835" s="39" t="str">
        <f>IF(AND($B835&gt;='111'!$N$11,$B835&lt;='111'!$O$11,OR($L835=$O$7,$M835=$O$7)),"x","")</f>
        <v/>
      </c>
      <c r="P835" s="39" t="str">
        <f>IF(AND($L835=$O$7,$B835&lt;'111'!$N$11),"x","")</f>
        <v/>
      </c>
      <c r="Q835" s="39" t="str">
        <f>IF(AND($M835=$O$7,$B835&lt;'111'!$N$11),"x","")</f>
        <v/>
      </c>
      <c r="R835" s="39" t="str">
        <f>IF(ISERROR(FIND('112'!$M$9,G835,1)),"",IF((AND(FIND('112'!$M$9,G835,1)&gt;=1,$B835&gt;='112'!$N$8,$B835&lt;='112'!$O$8,OR($L835='112'!$I$6,$M835='112'!$I$6))),"x",""))</f>
        <v/>
      </c>
      <c r="S835" s="39" t="str">
        <f>IF(ISERROR(FIND('112'!$M$9,G835,1)),"",IF((AND(LEFT(G835,2)=LEFT('112'!$M$9,2),B835&lt;'112'!$N$8,$L835='112'!$I$6)),"x",""))</f>
        <v/>
      </c>
      <c r="T835" s="39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39" t="str">
        <f>IF(OR(TH!L835=TH!$V$7,M835=TH!$V$7),"x","")</f>
        <v/>
      </c>
      <c r="W835" s="39" t="str">
        <f>IF(AND(B835&gt;='IN-NX'!$P$3,B835&lt;='IN-NX'!$Q$3,'IN-NX'!$D$7=D835,OR(LEFT(L835,2)="15",AND(LEFT(M835,2)&lt;&gt;"15",LEFT(M835,2)&lt;&gt;"33"))),"x","")</f>
        <v/>
      </c>
      <c r="X835" s="39" t="str">
        <f>IF(AND(OR(LEFT(TH!L835,2)="15",LEFT(TH!M835,2)="15"),'152-CT'!$J$8=TH!F835),"x","")</f>
        <v/>
      </c>
      <c r="Y835" s="39" t="str">
        <f>IF(AND(OR(LEFT(TH!L835,2)="15",LEFT(TH!M835,2)="15"),TK!$E$7=TH!F835),"x","")</f>
        <v/>
      </c>
      <c r="Z835" s="39" t="str">
        <f>IF(AND(B835&lt;=NKC!$N$8,B835&gt;=NKC!$M$8),"x","")</f>
        <v/>
      </c>
      <c r="AA835" s="894"/>
    </row>
    <row r="836" spans="1:27" ht="15.75" customHeight="1">
      <c r="A836" s="199" t="str">
        <f>IF(B836&lt;&gt;"",IF(AND(B836&gt;=_TM1,B836&lt;=_TM2,OR(TH!L836="1111",TH!M836="1111")),TH!D836,""),"")</f>
        <v/>
      </c>
      <c r="B836" s="36" t="str">
        <f t="shared" si="38"/>
        <v/>
      </c>
      <c r="C836" s="190"/>
      <c r="D836" s="190"/>
      <c r="E836" s="183"/>
      <c r="F836" s="188"/>
      <c r="G836" s="491"/>
      <c r="H836" s="7"/>
      <c r="I836" s="253"/>
      <c r="J836" s="253"/>
      <c r="K836" s="606"/>
      <c r="L836" s="39"/>
      <c r="M836" s="39"/>
      <c r="N836" s="39" t="str">
        <f>IF(AND('331-CT'!$E$7=TH!H836,OR(L836="331",M836="331")),"331",IF(AND(OR(L836="131",M836="131"),H836='131-CT'!$E$7),"131",""))</f>
        <v/>
      </c>
      <c r="O836" s="39" t="str">
        <f>IF(AND($B836&gt;='111'!$N$11,$B836&lt;='111'!$O$11,OR($L836=$O$7,$M836=$O$7)),"x","")</f>
        <v/>
      </c>
      <c r="P836" s="39" t="str">
        <f>IF(AND($L836=$O$7,$B836&lt;'111'!$N$11),"x","")</f>
        <v/>
      </c>
      <c r="Q836" s="39" t="str">
        <f>IF(AND($M836=$O$7,$B836&lt;'111'!$N$11),"x","")</f>
        <v/>
      </c>
      <c r="R836" s="39" t="str">
        <f>IF(ISERROR(FIND('112'!$M$9,G836,1)),"",IF((AND(FIND('112'!$M$9,G836,1)&gt;=1,$B836&gt;='112'!$N$8,$B836&lt;='112'!$O$8,OR($L836='112'!$I$6,$M836='112'!$I$6))),"x",""))</f>
        <v/>
      </c>
      <c r="S836" s="39" t="str">
        <f>IF(ISERROR(FIND('112'!$M$9,G836,1)),"",IF((AND(LEFT(G836,2)=LEFT('112'!$M$9,2),B836&lt;'112'!$N$8,$L836='112'!$I$6)),"x",""))</f>
        <v/>
      </c>
      <c r="T836" s="39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39" t="str">
        <f>IF(OR(TH!L836=TH!$V$7,M836=TH!$V$7),"x","")</f>
        <v/>
      </c>
      <c r="W836" s="39" t="str">
        <f>IF(AND(B836&gt;='IN-NX'!$P$3,B836&lt;='IN-NX'!$Q$3,'IN-NX'!$D$7=D836,OR(LEFT(L836,2)="15",AND(LEFT(M836,2)&lt;&gt;"15",LEFT(M836,2)&lt;&gt;"33"))),"x","")</f>
        <v/>
      </c>
      <c r="X836" s="39" t="str">
        <f>IF(AND(OR(LEFT(TH!L836,2)="15",LEFT(TH!M836,2)="15"),'152-CT'!$J$8=TH!F836),"x","")</f>
        <v/>
      </c>
      <c r="Y836" s="39" t="str">
        <f>IF(AND(OR(LEFT(TH!L836,2)="15",LEFT(TH!M836,2)="15"),TK!$E$7=TH!F836),"x","")</f>
        <v/>
      </c>
      <c r="Z836" s="39" t="str">
        <f>IF(AND(B836&lt;=NKC!$N$8,B836&gt;=NKC!$M$8),"x","")</f>
        <v/>
      </c>
      <c r="AA836" s="894"/>
    </row>
    <row r="837" spans="1:27" ht="15.75" customHeight="1">
      <c r="A837" s="199" t="str">
        <f>IF(B837&lt;&gt;"",IF(AND(B837&gt;=_TM1,B837&lt;=_TM2,OR(TH!L837="1111",TH!M837="1111")),TH!D837,""),"")</f>
        <v/>
      </c>
      <c r="B837" s="36" t="str">
        <f t="shared" si="38"/>
        <v/>
      </c>
      <c r="C837" s="190"/>
      <c r="D837" s="190"/>
      <c r="E837" s="183"/>
      <c r="F837" s="188"/>
      <c r="G837" s="491"/>
      <c r="H837" s="7"/>
      <c r="I837" s="253"/>
      <c r="J837" s="253"/>
      <c r="K837" s="606"/>
      <c r="L837" s="39"/>
      <c r="M837" s="39"/>
      <c r="N837" s="39" t="str">
        <f>IF(AND('331-CT'!$E$7=TH!H837,OR(L837="331",M837="331")),"331",IF(AND(OR(L837="131",M837="131"),H837='131-CT'!$E$7),"131",""))</f>
        <v/>
      </c>
      <c r="O837" s="39" t="str">
        <f>IF(AND($B837&gt;='111'!$N$11,$B837&lt;='111'!$O$11,OR($L837=$O$7,$M837=$O$7)),"x","")</f>
        <v/>
      </c>
      <c r="P837" s="39" t="str">
        <f>IF(AND($L837=$O$7,$B837&lt;'111'!$N$11),"x","")</f>
        <v/>
      </c>
      <c r="Q837" s="39" t="str">
        <f>IF(AND($M837=$O$7,$B837&lt;'111'!$N$11),"x","")</f>
        <v/>
      </c>
      <c r="R837" s="39" t="str">
        <f>IF(ISERROR(FIND('112'!$M$9,G837,1)),"",IF((AND(FIND('112'!$M$9,G837,1)&gt;=1,$B837&gt;='112'!$N$8,$B837&lt;='112'!$O$8,OR($L837='112'!$I$6,$M837='112'!$I$6))),"x",""))</f>
        <v/>
      </c>
      <c r="S837" s="39" t="str">
        <f>IF(ISERROR(FIND('112'!$M$9,G837,1)),"",IF((AND(LEFT(G837,2)=LEFT('112'!$M$9,2),B837&lt;'112'!$N$8,$L837='112'!$I$6)),"x",""))</f>
        <v/>
      </c>
      <c r="T837" s="39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39" t="str">
        <f>IF(OR(TH!L837=TH!$V$7,M837=TH!$V$7),"x","")</f>
        <v/>
      </c>
      <c r="W837" s="39" t="str">
        <f>IF(AND(B837&gt;='IN-NX'!$P$3,B837&lt;='IN-NX'!$Q$3,'IN-NX'!$D$7=D837,OR(LEFT(L837,2)="15",AND(LEFT(M837,2)&lt;&gt;"15",LEFT(M837,2)&lt;&gt;"33"))),"x","")</f>
        <v/>
      </c>
      <c r="X837" s="39" t="str">
        <f>IF(AND(OR(LEFT(TH!L837,2)="15",LEFT(TH!M837,2)="15"),'152-CT'!$J$8=TH!F837),"x","")</f>
        <v/>
      </c>
      <c r="Y837" s="39" t="str">
        <f>IF(AND(OR(LEFT(TH!L837,2)="15",LEFT(TH!M837,2)="15"),TK!$E$7=TH!F837),"x","")</f>
        <v/>
      </c>
      <c r="Z837" s="39" t="str">
        <f>IF(AND(B837&lt;=NKC!$N$8,B837&gt;=NKC!$M$8),"x","")</f>
        <v/>
      </c>
      <c r="AA837" s="894"/>
    </row>
    <row r="838" spans="1:27" ht="15.75" customHeight="1">
      <c r="A838" s="199" t="str">
        <f>IF(B838&lt;&gt;"",IF(AND(B838&gt;=_TM1,B838&lt;=_TM2,OR(TH!L838="1111",TH!M838="1111")),TH!D838,""),"")</f>
        <v/>
      </c>
      <c r="B838" s="36" t="str">
        <f t="shared" si="38"/>
        <v/>
      </c>
      <c r="C838" s="190"/>
      <c r="D838" s="190"/>
      <c r="E838" s="183"/>
      <c r="F838" s="188"/>
      <c r="G838" s="491"/>
      <c r="H838" s="7"/>
      <c r="I838" s="253"/>
      <c r="J838" s="253"/>
      <c r="K838" s="606"/>
      <c r="L838" s="39"/>
      <c r="M838" s="39"/>
      <c r="N838" s="39" t="str">
        <f>IF(AND('331-CT'!$E$7=TH!H838,OR(L838="331",M838="331")),"331",IF(AND(OR(L838="131",M838="131"),H838='131-CT'!$E$7),"131",""))</f>
        <v/>
      </c>
      <c r="O838" s="39" t="str">
        <f>IF(AND($B838&gt;='111'!$N$11,$B838&lt;='111'!$O$11,OR($L838=$O$7,$M838=$O$7)),"x","")</f>
        <v/>
      </c>
      <c r="P838" s="39" t="str">
        <f>IF(AND($L838=$O$7,$B838&lt;'111'!$N$11),"x","")</f>
        <v/>
      </c>
      <c r="Q838" s="39" t="str">
        <f>IF(AND($M838=$O$7,$B838&lt;'111'!$N$11),"x","")</f>
        <v/>
      </c>
      <c r="R838" s="39" t="str">
        <f>IF(ISERROR(FIND('112'!$M$9,G838,1)),"",IF((AND(FIND('112'!$M$9,G838,1)&gt;=1,$B838&gt;='112'!$N$8,$B838&lt;='112'!$O$8,OR($L838='112'!$I$6,$M838='112'!$I$6))),"x",""))</f>
        <v/>
      </c>
      <c r="S838" s="39" t="str">
        <f>IF(ISERROR(FIND('112'!$M$9,G838,1)),"",IF((AND(LEFT(G838,2)=LEFT('112'!$M$9,2),B838&lt;'112'!$N$8,$L838='112'!$I$6)),"x",""))</f>
        <v/>
      </c>
      <c r="T838" s="39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39" t="str">
        <f>IF(OR(TH!L838=TH!$V$7,M838=TH!$V$7),"x","")</f>
        <v/>
      </c>
      <c r="W838" s="39" t="str">
        <f>IF(AND(B838&gt;='IN-NX'!$P$3,B838&lt;='IN-NX'!$Q$3,'IN-NX'!$D$7=D838,OR(LEFT(L838,2)="15",AND(LEFT(M838,2)&lt;&gt;"15",LEFT(M838,2)&lt;&gt;"33"))),"x","")</f>
        <v/>
      </c>
      <c r="X838" s="39" t="str">
        <f>IF(AND(OR(LEFT(TH!L838,2)="15",LEFT(TH!M838,2)="15"),'152-CT'!$J$8=TH!F838),"x","")</f>
        <v/>
      </c>
      <c r="Y838" s="39" t="str">
        <f>IF(AND(OR(LEFT(TH!L838,2)="15",LEFT(TH!M838,2)="15"),TK!$E$7=TH!F838),"x","")</f>
        <v/>
      </c>
      <c r="Z838" s="39" t="str">
        <f>IF(AND(B838&lt;=NKC!$N$8,B838&gt;=NKC!$M$8),"x","")</f>
        <v/>
      </c>
      <c r="AA838" s="894"/>
    </row>
    <row r="839" spans="1:27" ht="15.75" customHeight="1">
      <c r="A839" s="199" t="str">
        <f>IF(B839&lt;&gt;"",IF(AND(B839&gt;=_TM1,B839&lt;=_TM2,OR(TH!L839="1111",TH!M839="1111")),TH!D839,""),"")</f>
        <v/>
      </c>
      <c r="B839" s="36" t="str">
        <f t="shared" si="38"/>
        <v/>
      </c>
      <c r="C839" s="190"/>
      <c r="D839" s="190"/>
      <c r="E839" s="183"/>
      <c r="F839" s="188"/>
      <c r="G839" s="491"/>
      <c r="H839" s="7"/>
      <c r="I839" s="253"/>
      <c r="J839" s="253"/>
      <c r="K839" s="606"/>
      <c r="L839" s="39"/>
      <c r="M839" s="39"/>
      <c r="N839" s="39" t="str">
        <f>IF(AND('331-CT'!$E$7=TH!H839,OR(L839="331",M839="331")),"331",IF(AND(OR(L839="131",M839="131"),H839='131-CT'!$E$7),"131",""))</f>
        <v/>
      </c>
      <c r="O839" s="39" t="str">
        <f>IF(AND($B839&gt;='111'!$N$11,$B839&lt;='111'!$O$11,OR($L839=$O$7,$M839=$O$7)),"x","")</f>
        <v/>
      </c>
      <c r="P839" s="39" t="str">
        <f>IF(AND($L839=$O$7,$B839&lt;'111'!$N$11),"x","")</f>
        <v/>
      </c>
      <c r="Q839" s="39" t="str">
        <f>IF(AND($M839=$O$7,$B839&lt;'111'!$N$11),"x","")</f>
        <v/>
      </c>
      <c r="R839" s="39" t="str">
        <f>IF(ISERROR(FIND('112'!$M$9,G839,1)),"",IF((AND(FIND('112'!$M$9,G839,1)&gt;=1,$B839&gt;='112'!$N$8,$B839&lt;='112'!$O$8,OR($L839='112'!$I$6,$M839='112'!$I$6))),"x",""))</f>
        <v/>
      </c>
      <c r="S839" s="39" t="str">
        <f>IF(ISERROR(FIND('112'!$M$9,G839,1)),"",IF((AND(LEFT(G839,2)=LEFT('112'!$M$9,2),B839&lt;'112'!$N$8,$L839='112'!$I$6)),"x",""))</f>
        <v/>
      </c>
      <c r="T839" s="39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39" t="str">
        <f>IF(OR(TH!L839=TH!$V$7,M839=TH!$V$7),"x","")</f>
        <v/>
      </c>
      <c r="W839" s="39" t="str">
        <f>IF(AND(B839&gt;='IN-NX'!$P$3,B839&lt;='IN-NX'!$Q$3,'IN-NX'!$D$7=D839,OR(LEFT(L839,2)="15",AND(LEFT(M839,2)&lt;&gt;"15",LEFT(M839,2)&lt;&gt;"33"))),"x","")</f>
        <v/>
      </c>
      <c r="X839" s="39" t="str">
        <f>IF(AND(OR(LEFT(TH!L839,2)="15",LEFT(TH!M839,2)="15"),'152-CT'!$J$8=TH!F839),"x","")</f>
        <v/>
      </c>
      <c r="Y839" s="39" t="str">
        <f>IF(AND(OR(LEFT(TH!L839,2)="15",LEFT(TH!M839,2)="15"),TK!$E$7=TH!F839),"x","")</f>
        <v/>
      </c>
      <c r="Z839" s="39" t="str">
        <f>IF(AND(B839&lt;=NKC!$N$8,B839&gt;=NKC!$M$8),"x","")</f>
        <v/>
      </c>
      <c r="AA839" s="894"/>
    </row>
    <row r="840" spans="1:27" ht="15.75" customHeight="1">
      <c r="A840" s="199" t="str">
        <f>IF(B840&lt;&gt;"",IF(AND(B840&gt;=_TM1,B840&lt;=_TM2,OR(TH!L840="1111",TH!M840="1111")),TH!D840,""),"")</f>
        <v/>
      </c>
      <c r="B840" s="36" t="str">
        <f t="shared" si="38"/>
        <v/>
      </c>
      <c r="C840" s="190"/>
      <c r="D840" s="190"/>
      <c r="E840" s="183"/>
      <c r="F840" s="188"/>
      <c r="G840" s="491"/>
      <c r="H840" s="7"/>
      <c r="I840" s="253"/>
      <c r="J840" s="253"/>
      <c r="K840" s="606"/>
      <c r="L840" s="39"/>
      <c r="M840" s="39"/>
      <c r="N840" s="39" t="str">
        <f>IF(AND('331-CT'!$E$7=TH!H840,OR(L840="331",M840="331")),"331",IF(AND(OR(L840="131",M840="131"),H840='131-CT'!$E$7),"131",""))</f>
        <v/>
      </c>
      <c r="O840" s="39" t="str">
        <f>IF(AND($B840&gt;='111'!$N$11,$B840&lt;='111'!$O$11,OR($L840=$O$7,$M840=$O$7)),"x","")</f>
        <v/>
      </c>
      <c r="P840" s="39" t="str">
        <f>IF(AND($L840=$O$7,$B840&lt;'111'!$N$11),"x","")</f>
        <v/>
      </c>
      <c r="Q840" s="39" t="str">
        <f>IF(AND($M840=$O$7,$B840&lt;'111'!$N$11),"x","")</f>
        <v/>
      </c>
      <c r="R840" s="39" t="str">
        <f>IF(ISERROR(FIND('112'!$M$9,G840,1)),"",IF((AND(FIND('112'!$M$9,G840,1)&gt;=1,$B840&gt;='112'!$N$8,$B840&lt;='112'!$O$8,OR($L840='112'!$I$6,$M840='112'!$I$6))),"x",""))</f>
        <v/>
      </c>
      <c r="S840" s="39" t="str">
        <f>IF(ISERROR(FIND('112'!$M$9,G840,1)),"",IF((AND(LEFT(G840,2)=LEFT('112'!$M$9,2),B840&lt;'112'!$N$8,$L840='112'!$I$6)),"x",""))</f>
        <v/>
      </c>
      <c r="T840" s="39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39" t="str">
        <f>IF(OR(TH!L840=TH!$V$7,M840=TH!$V$7),"x","")</f>
        <v/>
      </c>
      <c r="W840" s="39" t="str">
        <f>IF(AND(B840&gt;='IN-NX'!$P$3,B840&lt;='IN-NX'!$Q$3,'IN-NX'!$D$7=D840,OR(LEFT(L840,2)="15",AND(LEFT(M840,2)&lt;&gt;"15",LEFT(M840,2)&lt;&gt;"33"))),"x","")</f>
        <v/>
      </c>
      <c r="X840" s="39" t="str">
        <f>IF(AND(OR(LEFT(TH!L840,2)="15",LEFT(TH!M840,2)="15"),'152-CT'!$J$8=TH!F840),"x","")</f>
        <v/>
      </c>
      <c r="Y840" s="39" t="str">
        <f>IF(AND(OR(LEFT(TH!L840,2)="15",LEFT(TH!M840,2)="15"),TK!$E$7=TH!F840),"x","")</f>
        <v/>
      </c>
      <c r="Z840" s="39" t="str">
        <f>IF(AND(B840&lt;=NKC!$N$8,B840&gt;=NKC!$M$8),"x","")</f>
        <v/>
      </c>
      <c r="AA840" s="894"/>
    </row>
    <row r="841" spans="1:27" ht="15.75" customHeight="1">
      <c r="A841" s="199" t="str">
        <f>IF(B841&lt;&gt;"",IF(AND(B841&gt;=_TM1,B841&lt;=_TM2,OR(TH!L841="1111",TH!M841="1111")),TH!D841,""),"")</f>
        <v/>
      </c>
      <c r="B841" s="36" t="str">
        <f t="shared" si="38"/>
        <v/>
      </c>
      <c r="C841" s="190"/>
      <c r="D841" s="190"/>
      <c r="E841" s="183"/>
      <c r="F841" s="188"/>
      <c r="G841" s="491"/>
      <c r="H841" s="7"/>
      <c r="I841" s="253"/>
      <c r="J841" s="253"/>
      <c r="K841" s="606"/>
      <c r="L841" s="39"/>
      <c r="M841" s="39"/>
      <c r="N841" s="39" t="str">
        <f>IF(AND('331-CT'!$E$7=TH!H841,OR(L841="331",M841="331")),"331",IF(AND(OR(L841="131",M841="131"),H841='131-CT'!$E$7),"131",""))</f>
        <v/>
      </c>
      <c r="O841" s="39" t="str">
        <f>IF(AND($B841&gt;='111'!$N$11,$B841&lt;='111'!$O$11,OR($L841=$O$7,$M841=$O$7)),"x","")</f>
        <v/>
      </c>
      <c r="P841" s="39" t="str">
        <f>IF(AND($L841=$O$7,$B841&lt;'111'!$N$11),"x","")</f>
        <v/>
      </c>
      <c r="Q841" s="39" t="str">
        <f>IF(AND($M841=$O$7,$B841&lt;'111'!$N$11),"x","")</f>
        <v/>
      </c>
      <c r="R841" s="39" t="str">
        <f>IF(ISERROR(FIND('112'!$M$9,G841,1)),"",IF((AND(FIND('112'!$M$9,G841,1)&gt;=1,$B841&gt;='112'!$N$8,$B841&lt;='112'!$O$8,OR($L841='112'!$I$6,$M841='112'!$I$6))),"x",""))</f>
        <v/>
      </c>
      <c r="S841" s="39" t="str">
        <f>IF(ISERROR(FIND('112'!$M$9,G841,1)),"",IF((AND(LEFT(G841,2)=LEFT('112'!$M$9,2),B841&lt;'112'!$N$8,$L841='112'!$I$6)),"x",""))</f>
        <v/>
      </c>
      <c r="T841" s="39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39" t="str">
        <f>IF(OR(TH!L841=TH!$V$7,M841=TH!$V$7),"x","")</f>
        <v/>
      </c>
      <c r="W841" s="39" t="str">
        <f>IF(AND(B841&gt;='IN-NX'!$P$3,B841&lt;='IN-NX'!$Q$3,'IN-NX'!$D$7=D841,OR(LEFT(L841,2)="15",AND(LEFT(M841,2)&lt;&gt;"15",LEFT(M841,2)&lt;&gt;"33"))),"x","")</f>
        <v/>
      </c>
      <c r="X841" s="39" t="str">
        <f>IF(AND(OR(LEFT(TH!L841,2)="15",LEFT(TH!M841,2)="15"),'152-CT'!$J$8=TH!F841),"x","")</f>
        <v/>
      </c>
      <c r="Y841" s="39" t="str">
        <f>IF(AND(OR(LEFT(TH!L841,2)="15",LEFT(TH!M841,2)="15"),TK!$E$7=TH!F841),"x","")</f>
        <v/>
      </c>
      <c r="Z841" s="39" t="str">
        <f>IF(AND(B841&lt;=NKC!$N$8,B841&gt;=NKC!$M$8),"x","")</f>
        <v/>
      </c>
      <c r="AA841" s="894"/>
    </row>
    <row r="842" spans="1:27" ht="15.75" customHeight="1">
      <c r="A842" s="199" t="str">
        <f>IF(B842&lt;&gt;"",IF(AND(B842&gt;=_TM1,B842&lt;=_TM2,OR(TH!L842="1111",TH!M842="1111")),TH!D842,""),"")</f>
        <v/>
      </c>
      <c r="B842" s="36" t="str">
        <f t="shared" si="38"/>
        <v/>
      </c>
      <c r="C842" s="190"/>
      <c r="D842" s="190"/>
      <c r="E842" s="183"/>
      <c r="F842" s="188"/>
      <c r="G842" s="491"/>
      <c r="H842" s="7"/>
      <c r="I842" s="253"/>
      <c r="J842" s="253"/>
      <c r="K842" s="606"/>
      <c r="L842" s="39"/>
      <c r="M842" s="39"/>
      <c r="N842" s="39" t="str">
        <f>IF(AND('331-CT'!$E$7=TH!H842,OR(L842="331",M842="331")),"331",IF(AND(OR(L842="131",M842="131"),H842='131-CT'!$E$7),"131",""))</f>
        <v/>
      </c>
      <c r="O842" s="39" t="str">
        <f>IF(AND($B842&gt;='111'!$N$11,$B842&lt;='111'!$O$11,OR($L842=$O$7,$M842=$O$7)),"x","")</f>
        <v/>
      </c>
      <c r="P842" s="39" t="str">
        <f>IF(AND($L842=$O$7,$B842&lt;'111'!$N$11),"x","")</f>
        <v/>
      </c>
      <c r="Q842" s="39" t="str">
        <f>IF(AND($M842=$O$7,$B842&lt;'111'!$N$11),"x","")</f>
        <v/>
      </c>
      <c r="R842" s="39" t="str">
        <f>IF(ISERROR(FIND('112'!$M$9,G842,1)),"",IF((AND(FIND('112'!$M$9,G842,1)&gt;=1,$B842&gt;='112'!$N$8,$B842&lt;='112'!$O$8,OR($L842='112'!$I$6,$M842='112'!$I$6))),"x",""))</f>
        <v/>
      </c>
      <c r="S842" s="39" t="str">
        <f>IF(ISERROR(FIND('112'!$M$9,G842,1)),"",IF((AND(LEFT(G842,2)=LEFT('112'!$M$9,2),B842&lt;'112'!$N$8,$L842='112'!$I$6)),"x",""))</f>
        <v/>
      </c>
      <c r="T842" s="39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39" t="str">
        <f>IF(OR(TH!L842=TH!$V$7,M842=TH!$V$7),"x","")</f>
        <v/>
      </c>
      <c r="W842" s="39" t="str">
        <f>IF(AND(B842&gt;='IN-NX'!$P$3,B842&lt;='IN-NX'!$Q$3,'IN-NX'!$D$7=D842,OR(LEFT(L842,2)="15",AND(LEFT(M842,2)&lt;&gt;"15",LEFT(M842,2)&lt;&gt;"33"))),"x","")</f>
        <v/>
      </c>
      <c r="X842" s="39" t="str">
        <f>IF(AND(OR(LEFT(TH!L842,2)="15",LEFT(TH!M842,2)="15"),'152-CT'!$J$8=TH!F842),"x","")</f>
        <v/>
      </c>
      <c r="Y842" s="39" t="str">
        <f>IF(AND(OR(LEFT(TH!L842,2)="15",LEFT(TH!M842,2)="15"),TK!$E$7=TH!F842),"x","")</f>
        <v/>
      </c>
      <c r="Z842" s="39" t="str">
        <f>IF(AND(B842&lt;=NKC!$N$8,B842&gt;=NKC!$M$8),"x","")</f>
        <v/>
      </c>
      <c r="AA842" s="894"/>
    </row>
    <row r="843" spans="1:27" ht="15.75" customHeight="1">
      <c r="A843" s="199" t="str">
        <f>IF(B843&lt;&gt;"",IF(AND(B843&gt;=_TM1,B843&lt;=_TM2,OR(TH!L843="1111",TH!M843="1111")),TH!D843,""),"")</f>
        <v/>
      </c>
      <c r="B843" s="36" t="str">
        <f t="shared" si="38"/>
        <v/>
      </c>
      <c r="C843" s="190"/>
      <c r="D843" s="190"/>
      <c r="E843" s="183"/>
      <c r="F843" s="188"/>
      <c r="G843" s="491"/>
      <c r="H843" s="7"/>
      <c r="I843" s="253"/>
      <c r="J843" s="253"/>
      <c r="K843" s="606"/>
      <c r="L843" s="39"/>
      <c r="M843" s="39"/>
      <c r="N843" s="39" t="str">
        <f>IF(AND('331-CT'!$E$7=TH!H843,OR(L843="331",M843="331")),"331",IF(AND(OR(L843="131",M843="131"),H843='131-CT'!$E$7),"131",""))</f>
        <v/>
      </c>
      <c r="O843" s="39" t="str">
        <f>IF(AND($B843&gt;='111'!$N$11,$B843&lt;='111'!$O$11,OR($L843=$O$7,$M843=$O$7)),"x","")</f>
        <v/>
      </c>
      <c r="P843" s="39" t="str">
        <f>IF(AND($L843=$O$7,$B843&lt;'111'!$N$11),"x","")</f>
        <v/>
      </c>
      <c r="Q843" s="39" t="str">
        <f>IF(AND($M843=$O$7,$B843&lt;'111'!$N$11),"x","")</f>
        <v/>
      </c>
      <c r="R843" s="39" t="str">
        <f>IF(ISERROR(FIND('112'!$M$9,G843,1)),"",IF((AND(FIND('112'!$M$9,G843,1)&gt;=1,$B843&gt;='112'!$N$8,$B843&lt;='112'!$O$8,OR($L843='112'!$I$6,$M843='112'!$I$6))),"x",""))</f>
        <v/>
      </c>
      <c r="S843" s="39" t="str">
        <f>IF(ISERROR(FIND('112'!$M$9,G843,1)),"",IF((AND(LEFT(G843,2)=LEFT('112'!$M$9,2),B843&lt;'112'!$N$8,$L843='112'!$I$6)),"x",""))</f>
        <v/>
      </c>
      <c r="T843" s="39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39" t="str">
        <f>IF(OR(TH!L843=TH!$V$7,M843=TH!$V$7),"x","")</f>
        <v/>
      </c>
      <c r="W843" s="39" t="str">
        <f>IF(AND(B843&gt;='IN-NX'!$P$3,B843&lt;='IN-NX'!$Q$3,'IN-NX'!$D$7=D843,OR(LEFT(L843,2)="15",AND(LEFT(M843,2)&lt;&gt;"15",LEFT(M843,2)&lt;&gt;"33"))),"x","")</f>
        <v/>
      </c>
      <c r="X843" s="39" t="str">
        <f>IF(AND(OR(LEFT(TH!L843,2)="15",LEFT(TH!M843,2)="15"),'152-CT'!$J$8=TH!F843),"x","")</f>
        <v/>
      </c>
      <c r="Y843" s="39" t="str">
        <f>IF(AND(OR(LEFT(TH!L843,2)="15",LEFT(TH!M843,2)="15"),TK!$E$7=TH!F843),"x","")</f>
        <v/>
      </c>
      <c r="Z843" s="39" t="str">
        <f>IF(AND(B843&lt;=NKC!$N$8,B843&gt;=NKC!$M$8),"x","")</f>
        <v/>
      </c>
      <c r="AA843" s="894"/>
    </row>
    <row r="844" spans="1:27" ht="15.75" customHeight="1">
      <c r="A844" s="199" t="str">
        <f>IF(B844&lt;&gt;"",IF(AND(B844&gt;=_TM1,B844&lt;=_TM2,OR(TH!L844="1111",TH!M844="1111")),TH!D844,""),"")</f>
        <v/>
      </c>
      <c r="B844" s="36" t="str">
        <f t="shared" si="38"/>
        <v/>
      </c>
      <c r="C844" s="190"/>
      <c r="D844" s="190"/>
      <c r="E844" s="183"/>
      <c r="F844" s="188"/>
      <c r="G844" s="491"/>
      <c r="H844" s="7"/>
      <c r="I844" s="253"/>
      <c r="J844" s="253"/>
      <c r="K844" s="606"/>
      <c r="L844" s="39"/>
      <c r="M844" s="39"/>
      <c r="N844" s="39" t="str">
        <f>IF(AND('331-CT'!$E$7=TH!H844,OR(L844="331",M844="331")),"331",IF(AND(OR(L844="131",M844="131"),H844='131-CT'!$E$7),"131",""))</f>
        <v/>
      </c>
      <c r="O844" s="39" t="str">
        <f>IF(AND($B844&gt;='111'!$N$11,$B844&lt;='111'!$O$11,OR($L844=$O$7,$M844=$O$7)),"x","")</f>
        <v/>
      </c>
      <c r="P844" s="39" t="str">
        <f>IF(AND($L844=$O$7,$B844&lt;'111'!$N$11),"x","")</f>
        <v/>
      </c>
      <c r="Q844" s="39" t="str">
        <f>IF(AND($M844=$O$7,$B844&lt;'111'!$N$11),"x","")</f>
        <v/>
      </c>
      <c r="R844" s="39" t="str">
        <f>IF(ISERROR(FIND('112'!$M$9,G844,1)),"",IF((AND(FIND('112'!$M$9,G844,1)&gt;=1,$B844&gt;='112'!$N$8,$B844&lt;='112'!$O$8,OR($L844='112'!$I$6,$M844='112'!$I$6))),"x",""))</f>
        <v/>
      </c>
      <c r="S844" s="39" t="str">
        <f>IF(ISERROR(FIND('112'!$M$9,G844,1)),"",IF((AND(LEFT(G844,2)=LEFT('112'!$M$9,2),B844&lt;'112'!$N$8,$L844='112'!$I$6)),"x",""))</f>
        <v/>
      </c>
      <c r="T844" s="39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39" t="str">
        <f>IF(OR(TH!L844=TH!$V$7,M844=TH!$V$7),"x","")</f>
        <v/>
      </c>
      <c r="W844" s="39" t="str">
        <f>IF(AND(B844&gt;='IN-NX'!$P$3,B844&lt;='IN-NX'!$Q$3,'IN-NX'!$D$7=D844,OR(LEFT(L844,2)="15",AND(LEFT(M844,2)&lt;&gt;"15",LEFT(M844,2)&lt;&gt;"33"))),"x","")</f>
        <v/>
      </c>
      <c r="X844" s="39" t="str">
        <f>IF(AND(OR(LEFT(TH!L844,2)="15",LEFT(TH!M844,2)="15"),'152-CT'!$J$8=TH!F844),"x","")</f>
        <v/>
      </c>
      <c r="Y844" s="39" t="str">
        <f>IF(AND(OR(LEFT(TH!L844,2)="15",LEFT(TH!M844,2)="15"),TK!$E$7=TH!F844),"x","")</f>
        <v/>
      </c>
      <c r="Z844" s="39" t="str">
        <f>IF(AND(B844&lt;=NKC!$N$8,B844&gt;=NKC!$M$8),"x","")</f>
        <v/>
      </c>
      <c r="AA844" s="894"/>
    </row>
    <row r="845" spans="1:27" ht="15.75" customHeight="1">
      <c r="A845" s="199" t="str">
        <f>IF(B845&lt;&gt;"",IF(AND(B845&gt;=_TM1,B845&lt;=_TM2,OR(TH!L845="1111",TH!M845="1111")),TH!D845,""),"")</f>
        <v/>
      </c>
      <c r="B845" s="36" t="str">
        <f t="shared" si="38"/>
        <v/>
      </c>
      <c r="C845" s="190"/>
      <c r="D845" s="190"/>
      <c r="E845" s="183"/>
      <c r="F845" s="188"/>
      <c r="G845" s="491"/>
      <c r="H845" s="7"/>
      <c r="I845" s="253"/>
      <c r="J845" s="253"/>
      <c r="K845" s="606"/>
      <c r="L845" s="39"/>
      <c r="M845" s="39"/>
      <c r="N845" s="39" t="str">
        <f>IF(AND('331-CT'!$E$7=TH!H845,OR(L845="331",M845="331")),"331",IF(AND(OR(L845="131",M845="131"),H845='131-CT'!$E$7),"131",""))</f>
        <v/>
      </c>
      <c r="O845" s="39" t="str">
        <f>IF(AND($B845&gt;='111'!$N$11,$B845&lt;='111'!$O$11,OR($L845=$O$7,$M845=$O$7)),"x","")</f>
        <v/>
      </c>
      <c r="P845" s="39" t="str">
        <f>IF(AND($L845=$O$7,$B845&lt;'111'!$N$11),"x","")</f>
        <v/>
      </c>
      <c r="Q845" s="39" t="str">
        <f>IF(AND($M845=$O$7,$B845&lt;'111'!$N$11),"x","")</f>
        <v/>
      </c>
      <c r="R845" s="39" t="str">
        <f>IF(ISERROR(FIND('112'!$M$9,G845,1)),"",IF((AND(FIND('112'!$M$9,G845,1)&gt;=1,$B845&gt;='112'!$N$8,$B845&lt;='112'!$O$8,OR($L845='112'!$I$6,$M845='112'!$I$6))),"x",""))</f>
        <v/>
      </c>
      <c r="S845" s="39" t="str">
        <f>IF(ISERROR(FIND('112'!$M$9,G845,1)),"",IF((AND(LEFT(G845,2)=LEFT('112'!$M$9,2),B845&lt;'112'!$N$8,$L845='112'!$I$6)),"x",""))</f>
        <v/>
      </c>
      <c r="T845" s="39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39" t="str">
        <f>IF(OR(TH!L845=TH!$V$7,M845=TH!$V$7),"x","")</f>
        <v/>
      </c>
      <c r="W845" s="39" t="str">
        <f>IF(AND(B845&gt;='IN-NX'!$P$3,B845&lt;='IN-NX'!$Q$3,'IN-NX'!$D$7=D845,OR(LEFT(L845,2)="15",AND(LEFT(M845,2)&lt;&gt;"15",LEFT(M845,2)&lt;&gt;"33"))),"x","")</f>
        <v/>
      </c>
      <c r="X845" s="39" t="str">
        <f>IF(AND(OR(LEFT(TH!L845,2)="15",LEFT(TH!M845,2)="15"),'152-CT'!$J$8=TH!F845),"x","")</f>
        <v/>
      </c>
      <c r="Y845" s="39" t="str">
        <f>IF(AND(OR(LEFT(TH!L845,2)="15",LEFT(TH!M845,2)="15"),TK!$E$7=TH!F845),"x","")</f>
        <v/>
      </c>
      <c r="Z845" s="39" t="str">
        <f>IF(AND(B845&lt;=NKC!$N$8,B845&gt;=NKC!$M$8),"x","")</f>
        <v/>
      </c>
      <c r="AA845" s="894"/>
    </row>
    <row r="846" spans="1:27" ht="15.75" customHeight="1">
      <c r="A846" s="199" t="str">
        <f>IF(B846&lt;&gt;"",IF(AND(B846&gt;=_TM1,B846&lt;=_TM2,OR(TH!L846="1111",TH!M846="1111")),TH!D846,""),"")</f>
        <v/>
      </c>
      <c r="B846" s="36" t="str">
        <f t="shared" si="38"/>
        <v/>
      </c>
      <c r="C846" s="190"/>
      <c r="D846" s="190"/>
      <c r="E846" s="183"/>
      <c r="F846" s="188"/>
      <c r="G846" s="491"/>
      <c r="H846" s="7"/>
      <c r="I846" s="253"/>
      <c r="J846" s="253"/>
      <c r="K846" s="606"/>
      <c r="L846" s="39"/>
      <c r="M846" s="39"/>
      <c r="N846" s="39" t="str">
        <f>IF(AND('331-CT'!$E$7=TH!H846,OR(L846="331",M846="331")),"331",IF(AND(OR(L846="131",M846="131"),H846='131-CT'!$E$7),"131",""))</f>
        <v/>
      </c>
      <c r="O846" s="39" t="str">
        <f>IF(AND($B846&gt;='111'!$N$11,$B846&lt;='111'!$O$11,OR($L846=$O$7,$M846=$O$7)),"x","")</f>
        <v/>
      </c>
      <c r="P846" s="39" t="str">
        <f>IF(AND($L846=$O$7,$B846&lt;'111'!$N$11),"x","")</f>
        <v/>
      </c>
      <c r="Q846" s="39" t="str">
        <f>IF(AND($M846=$O$7,$B846&lt;'111'!$N$11),"x","")</f>
        <v/>
      </c>
      <c r="R846" s="39" t="str">
        <f>IF(ISERROR(FIND('112'!$M$9,G846,1)),"",IF((AND(FIND('112'!$M$9,G846,1)&gt;=1,$B846&gt;='112'!$N$8,$B846&lt;='112'!$O$8,OR($L846='112'!$I$6,$M846='112'!$I$6))),"x",""))</f>
        <v/>
      </c>
      <c r="S846" s="39" t="str">
        <f>IF(ISERROR(FIND('112'!$M$9,G846,1)),"",IF((AND(LEFT(G846,2)=LEFT('112'!$M$9,2),B846&lt;'112'!$N$8,$L846='112'!$I$6)),"x",""))</f>
        <v/>
      </c>
      <c r="T846" s="39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39" t="str">
        <f>IF(OR(TH!L846=TH!$V$7,M846=TH!$V$7),"x","")</f>
        <v/>
      </c>
      <c r="W846" s="39" t="str">
        <f>IF(AND(B846&gt;='IN-NX'!$P$3,B846&lt;='IN-NX'!$Q$3,'IN-NX'!$D$7=D846,OR(LEFT(L846,2)="15",AND(LEFT(M846,2)&lt;&gt;"15",LEFT(M846,2)&lt;&gt;"33"))),"x","")</f>
        <v/>
      </c>
      <c r="X846" s="39" t="str">
        <f>IF(AND(OR(LEFT(TH!L846,2)="15",LEFT(TH!M846,2)="15"),'152-CT'!$J$8=TH!F846),"x","")</f>
        <v/>
      </c>
      <c r="Y846" s="39" t="str">
        <f>IF(AND(OR(LEFT(TH!L846,2)="15",LEFT(TH!M846,2)="15"),TK!$E$7=TH!F846),"x","")</f>
        <v/>
      </c>
      <c r="Z846" s="39" t="str">
        <f>IF(AND(B846&lt;=NKC!$N$8,B846&gt;=NKC!$M$8),"x","")</f>
        <v/>
      </c>
      <c r="AA846" s="894"/>
    </row>
    <row r="847" spans="1:27" ht="15.75" customHeight="1">
      <c r="A847" s="199" t="str">
        <f>IF(B847&lt;&gt;"",IF(AND(B847&gt;=_TM1,B847&lt;=_TM2,OR(TH!L847="1111",TH!M847="1111")),TH!D847,""),"")</f>
        <v/>
      </c>
      <c r="B847" s="36" t="str">
        <f t="shared" si="38"/>
        <v/>
      </c>
      <c r="C847" s="190"/>
      <c r="D847" s="190"/>
      <c r="E847" s="183"/>
      <c r="F847" s="191"/>
      <c r="G847" s="491"/>
      <c r="H847" s="7"/>
      <c r="I847" s="253"/>
      <c r="J847" s="253"/>
      <c r="K847" s="606"/>
      <c r="L847" s="39"/>
      <c r="M847" s="39"/>
      <c r="N847" s="39" t="str">
        <f>IF(AND('331-CT'!$E$7=TH!H847,OR(L847="331",M847="331")),"331",IF(AND(OR(L847="131",M847="131"),H847='131-CT'!$E$7),"131",""))</f>
        <v/>
      </c>
      <c r="O847" s="39" t="str">
        <f>IF(AND($B847&gt;='111'!$N$11,$B847&lt;='111'!$O$11,OR($L847=$O$7,$M847=$O$7)),"x","")</f>
        <v/>
      </c>
      <c r="P847" s="39" t="str">
        <f>IF(AND($L847=$O$7,$B847&lt;'111'!$N$11),"x","")</f>
        <v/>
      </c>
      <c r="Q847" s="39" t="str">
        <f>IF(AND($M847=$O$7,$B847&lt;'111'!$N$11),"x","")</f>
        <v/>
      </c>
      <c r="R847" s="39" t="str">
        <f>IF(ISERROR(FIND('112'!$M$9,G847,1)),"",IF((AND(FIND('112'!$M$9,G847,1)&gt;=1,$B847&gt;='112'!$N$8,$B847&lt;='112'!$O$8,OR($L847='112'!$I$6,$M847='112'!$I$6))),"x",""))</f>
        <v/>
      </c>
      <c r="S847" s="39" t="str">
        <f>IF(ISERROR(FIND('112'!$M$9,G847,1)),"",IF((AND(LEFT(G847,2)=LEFT('112'!$M$9,2),B847&lt;'112'!$N$8,$L847='112'!$I$6)),"x",""))</f>
        <v/>
      </c>
      <c r="T847" s="39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39" t="str">
        <f>IF(OR(TH!L847=TH!$V$7,M847=TH!$V$7),"x","")</f>
        <v/>
      </c>
      <c r="W847" s="39" t="str">
        <f>IF(AND(B847&gt;='IN-NX'!$P$3,B847&lt;='IN-NX'!$Q$3,'IN-NX'!$D$7=D847,OR(LEFT(L847,2)="15",AND(LEFT(M847,2)&lt;&gt;"15",LEFT(M847,2)&lt;&gt;"33"))),"x","")</f>
        <v/>
      </c>
      <c r="X847" s="39" t="str">
        <f>IF(AND(OR(LEFT(TH!L847,2)="15",LEFT(TH!M847,2)="15"),'152-CT'!$J$8=TH!F847),"x","")</f>
        <v/>
      </c>
      <c r="Y847" s="39" t="str">
        <f>IF(AND(OR(LEFT(TH!L847,2)="15",LEFT(TH!M847,2)="15"),TK!$E$7=TH!F847),"x","")</f>
        <v/>
      </c>
      <c r="Z847" s="39" t="str">
        <f>IF(AND(B847&lt;=NKC!$N$8,B847&gt;=NKC!$M$8),"x","")</f>
        <v/>
      </c>
      <c r="AA847" s="894"/>
    </row>
    <row r="848" spans="1:27" ht="15.75" customHeight="1">
      <c r="A848" s="199" t="str">
        <f>IF(B848&lt;&gt;"",IF(AND(B848&gt;=_TM1,B848&lt;=_TM2,OR(TH!L848="1111",TH!M848="1111")),TH!D848,""),"")</f>
        <v/>
      </c>
      <c r="B848" s="36" t="str">
        <f t="shared" si="38"/>
        <v/>
      </c>
      <c r="C848" s="190"/>
      <c r="D848" s="190"/>
      <c r="E848" s="183"/>
      <c r="F848" s="188"/>
      <c r="G848" s="491"/>
      <c r="H848" s="7"/>
      <c r="I848" s="253"/>
      <c r="J848" s="253"/>
      <c r="K848" s="606"/>
      <c r="L848" s="39"/>
      <c r="M848" s="39"/>
      <c r="N848" s="39" t="str">
        <f>IF(AND('331-CT'!$E$7=TH!H848,OR(L848="331",M848="331")),"331",IF(AND(OR(L848="131",M848="131"),H848='131-CT'!$E$7),"131",""))</f>
        <v/>
      </c>
      <c r="O848" s="39" t="str">
        <f>IF(AND($B848&gt;='111'!$N$11,$B848&lt;='111'!$O$11,OR($L848=$O$7,$M848=$O$7)),"x","")</f>
        <v/>
      </c>
      <c r="P848" s="39" t="str">
        <f>IF(AND($L848=$O$7,$B848&lt;'111'!$N$11),"x","")</f>
        <v/>
      </c>
      <c r="Q848" s="39" t="str">
        <f>IF(AND($M848=$O$7,$B848&lt;'111'!$N$11),"x","")</f>
        <v/>
      </c>
      <c r="R848" s="39" t="str">
        <f>IF(ISERROR(FIND('112'!$M$9,G848,1)),"",IF((AND(FIND('112'!$M$9,G848,1)&gt;=1,$B848&gt;='112'!$N$8,$B848&lt;='112'!$O$8,OR($L848='112'!$I$6,$M848='112'!$I$6))),"x",""))</f>
        <v/>
      </c>
      <c r="S848" s="39" t="str">
        <f>IF(ISERROR(FIND('112'!$M$9,G848,1)),"",IF((AND(LEFT(G848,2)=LEFT('112'!$M$9,2),B848&lt;'112'!$N$8,$L848='112'!$I$6)),"x",""))</f>
        <v/>
      </c>
      <c r="T848" s="39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39" t="str">
        <f>IF(OR(TH!L848=TH!$V$7,M848=TH!$V$7),"x","")</f>
        <v/>
      </c>
      <c r="W848" s="39" t="str">
        <f>IF(AND(B848&gt;='IN-NX'!$P$3,B848&lt;='IN-NX'!$Q$3,'IN-NX'!$D$7=D848,OR(LEFT(L848,2)="15",AND(LEFT(M848,2)&lt;&gt;"15",LEFT(M848,2)&lt;&gt;"33"))),"x","")</f>
        <v/>
      </c>
      <c r="X848" s="39" t="str">
        <f>IF(AND(OR(LEFT(TH!L848,2)="15",LEFT(TH!M848,2)="15"),'152-CT'!$J$8=TH!F848),"x","")</f>
        <v/>
      </c>
      <c r="Y848" s="39" t="str">
        <f>IF(AND(OR(LEFT(TH!L848,2)="15",LEFT(TH!M848,2)="15"),TK!$E$7=TH!F848),"x","")</f>
        <v/>
      </c>
      <c r="Z848" s="39" t="str">
        <f>IF(AND(B848&lt;=NKC!$N$8,B848&gt;=NKC!$M$8),"x","")</f>
        <v/>
      </c>
      <c r="AA848" s="894"/>
    </row>
    <row r="849" spans="1:27" ht="15.75" customHeight="1">
      <c r="A849" s="199" t="str">
        <f>IF(B849&lt;&gt;"",IF(AND(B849&gt;=_TM1,B849&lt;=_TM2,OR(TH!L849="1111",TH!M849="1111")),TH!D849,""),"")</f>
        <v/>
      </c>
      <c r="B849" s="36" t="str">
        <f t="shared" si="38"/>
        <v/>
      </c>
      <c r="C849" s="190"/>
      <c r="D849" s="190"/>
      <c r="E849" s="183"/>
      <c r="F849" s="188"/>
      <c r="G849" s="491"/>
      <c r="H849" s="7"/>
      <c r="I849" s="253"/>
      <c r="J849" s="253"/>
      <c r="K849" s="606"/>
      <c r="L849" s="39"/>
      <c r="M849" s="39"/>
      <c r="N849" s="39" t="str">
        <f>IF(AND('331-CT'!$E$7=TH!H849,OR(L849="331",M849="331")),"331",IF(AND(OR(L849="131",M849="131"),H849='131-CT'!$E$7),"131",""))</f>
        <v/>
      </c>
      <c r="O849" s="39" t="str">
        <f>IF(AND($B849&gt;='111'!$N$11,$B849&lt;='111'!$O$11,OR($L849=$O$7,$M849=$O$7)),"x","")</f>
        <v/>
      </c>
      <c r="P849" s="39" t="str">
        <f>IF(AND($L849=$O$7,$B849&lt;'111'!$N$11),"x","")</f>
        <v/>
      </c>
      <c r="Q849" s="39" t="str">
        <f>IF(AND($M849=$O$7,$B849&lt;'111'!$N$11),"x","")</f>
        <v/>
      </c>
      <c r="R849" s="39" t="str">
        <f>IF(ISERROR(FIND('112'!$M$9,G849,1)),"",IF((AND(FIND('112'!$M$9,G849,1)&gt;=1,$B849&gt;='112'!$N$8,$B849&lt;='112'!$O$8,OR($L849='112'!$I$6,$M849='112'!$I$6))),"x",""))</f>
        <v/>
      </c>
      <c r="S849" s="39" t="str">
        <f>IF(ISERROR(FIND('112'!$M$9,G849,1)),"",IF((AND(LEFT(G849,2)=LEFT('112'!$M$9,2),B849&lt;'112'!$N$8,$L849='112'!$I$6)),"x",""))</f>
        <v/>
      </c>
      <c r="T849" s="39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39" t="str">
        <f>IF(OR(TH!L849=TH!$V$7,M849=TH!$V$7),"x","")</f>
        <v/>
      </c>
      <c r="W849" s="39" t="str">
        <f>IF(AND(B849&gt;='IN-NX'!$P$3,B849&lt;='IN-NX'!$Q$3,'IN-NX'!$D$7=D849,OR(LEFT(L849,2)="15",AND(LEFT(M849,2)&lt;&gt;"15",LEFT(M849,2)&lt;&gt;"33"))),"x","")</f>
        <v/>
      </c>
      <c r="X849" s="39" t="str">
        <f>IF(AND(OR(LEFT(TH!L849,2)="15",LEFT(TH!M849,2)="15"),'152-CT'!$J$8=TH!F849),"x","")</f>
        <v/>
      </c>
      <c r="Y849" s="39" t="str">
        <f>IF(AND(OR(LEFT(TH!L849,2)="15",LEFT(TH!M849,2)="15"),TK!$E$7=TH!F849),"x","")</f>
        <v/>
      </c>
      <c r="Z849" s="39" t="str">
        <f>IF(AND(B849&lt;=NKC!$N$8,B849&gt;=NKC!$M$8),"x","")</f>
        <v/>
      </c>
      <c r="AA849" s="894"/>
    </row>
    <row r="850" spans="1:27" ht="15.75" customHeight="1">
      <c r="A850" s="199" t="str">
        <f>IF(B850&lt;&gt;"",IF(AND(B850&gt;=_TM1,B850&lt;=_TM2,OR(TH!L850="1111",TH!M850="1111")),TH!D850,""),"")</f>
        <v/>
      </c>
      <c r="B850" s="36" t="str">
        <f t="shared" si="38"/>
        <v/>
      </c>
      <c r="C850" s="190"/>
      <c r="D850" s="190"/>
      <c r="E850" s="183"/>
      <c r="F850" s="188"/>
      <c r="G850" s="491"/>
      <c r="H850" s="7"/>
      <c r="I850" s="253"/>
      <c r="J850" s="253"/>
      <c r="K850" s="606"/>
      <c r="L850" s="39"/>
      <c r="M850" s="39"/>
      <c r="N850" s="39" t="str">
        <f>IF(AND('331-CT'!$E$7=TH!H850,OR(L850="331",M850="331")),"331",IF(AND(OR(L850="131",M850="131"),H850='131-CT'!$E$7),"131",""))</f>
        <v/>
      </c>
      <c r="O850" s="39" t="str">
        <f>IF(AND($B850&gt;='111'!$N$11,$B850&lt;='111'!$O$11,OR($L850=$O$7,$M850=$O$7)),"x","")</f>
        <v/>
      </c>
      <c r="P850" s="39" t="str">
        <f>IF(AND($L850=$O$7,$B850&lt;'111'!$N$11),"x","")</f>
        <v/>
      </c>
      <c r="Q850" s="39" t="str">
        <f>IF(AND($M850=$O$7,$B850&lt;'111'!$N$11),"x","")</f>
        <v/>
      </c>
      <c r="R850" s="39" t="str">
        <f>IF(ISERROR(FIND('112'!$M$9,G850,1)),"",IF((AND(FIND('112'!$M$9,G850,1)&gt;=1,$B850&gt;='112'!$N$8,$B850&lt;='112'!$O$8,OR($L850='112'!$I$6,$M850='112'!$I$6))),"x",""))</f>
        <v/>
      </c>
      <c r="S850" s="39" t="str">
        <f>IF(ISERROR(FIND('112'!$M$9,G850,1)),"",IF((AND(LEFT(G850,2)=LEFT('112'!$M$9,2),B850&lt;'112'!$N$8,$L850='112'!$I$6)),"x",""))</f>
        <v/>
      </c>
      <c r="T850" s="39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39" t="str">
        <f>IF(OR(TH!L850=TH!$V$7,M850=TH!$V$7),"x","")</f>
        <v/>
      </c>
      <c r="W850" s="39" t="str">
        <f>IF(AND(B850&gt;='IN-NX'!$P$3,B850&lt;='IN-NX'!$Q$3,'IN-NX'!$D$7=D850,OR(LEFT(L850,2)="15",AND(LEFT(M850,2)&lt;&gt;"15",LEFT(M850,2)&lt;&gt;"33"))),"x","")</f>
        <v/>
      </c>
      <c r="X850" s="39" t="str">
        <f>IF(AND(OR(LEFT(TH!L850,2)="15",LEFT(TH!M850,2)="15"),'152-CT'!$J$8=TH!F850),"x","")</f>
        <v/>
      </c>
      <c r="Y850" s="39" t="str">
        <f>IF(AND(OR(LEFT(TH!L850,2)="15",LEFT(TH!M850,2)="15"),TK!$E$7=TH!F850),"x","")</f>
        <v/>
      </c>
      <c r="Z850" s="39" t="str">
        <f>IF(AND(B850&lt;=NKC!$N$8,B850&gt;=NKC!$M$8),"x","")</f>
        <v/>
      </c>
      <c r="AA850" s="894"/>
    </row>
    <row r="851" spans="1:27" ht="15.75" customHeight="1">
      <c r="A851" s="199" t="str">
        <f>IF(B851&lt;&gt;"",IF(AND(B851&gt;=_TM1,B851&lt;=_TM2,OR(TH!L851="1111",TH!M851="1111")),TH!D851,""),"")</f>
        <v/>
      </c>
      <c r="B851" s="36" t="str">
        <f t="shared" si="38"/>
        <v/>
      </c>
      <c r="C851" s="190"/>
      <c r="D851" s="190"/>
      <c r="E851" s="183"/>
      <c r="F851" s="188"/>
      <c r="G851" s="491"/>
      <c r="H851" s="7"/>
      <c r="I851" s="253"/>
      <c r="J851" s="253"/>
      <c r="K851" s="606"/>
      <c r="L851" s="39"/>
      <c r="M851" s="39"/>
      <c r="N851" s="39" t="str">
        <f>IF(AND('331-CT'!$E$7=TH!H851,OR(L851="331",M851="331")),"331",IF(AND(OR(L851="131",M851="131"),H851='131-CT'!$E$7),"131",""))</f>
        <v/>
      </c>
      <c r="O851" s="39" t="str">
        <f>IF(AND($B851&gt;='111'!$N$11,$B851&lt;='111'!$O$11,OR($L851=$O$7,$M851=$O$7)),"x","")</f>
        <v/>
      </c>
      <c r="P851" s="39" t="str">
        <f>IF(AND($L851=$O$7,$B851&lt;'111'!$N$11),"x","")</f>
        <v/>
      </c>
      <c r="Q851" s="39" t="str">
        <f>IF(AND($M851=$O$7,$B851&lt;'111'!$N$11),"x","")</f>
        <v/>
      </c>
      <c r="R851" s="39" t="str">
        <f>IF(ISERROR(FIND('112'!$M$9,G851,1)),"",IF((AND(FIND('112'!$M$9,G851,1)&gt;=1,$B851&gt;='112'!$N$8,$B851&lt;='112'!$O$8,OR($L851='112'!$I$6,$M851='112'!$I$6))),"x",""))</f>
        <v/>
      </c>
      <c r="S851" s="39" t="str">
        <f>IF(ISERROR(FIND('112'!$M$9,G851,1)),"",IF((AND(LEFT(G851,2)=LEFT('112'!$M$9,2),B851&lt;'112'!$N$8,$L851='112'!$I$6)),"x",""))</f>
        <v/>
      </c>
      <c r="T851" s="39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39" t="str">
        <f>IF(OR(TH!L851=TH!$V$7,M851=TH!$V$7),"x","")</f>
        <v/>
      </c>
      <c r="W851" s="39" t="str">
        <f>IF(AND(B851&gt;='IN-NX'!$P$3,B851&lt;='IN-NX'!$Q$3,'IN-NX'!$D$7=D851,OR(LEFT(L851,2)="15",AND(LEFT(M851,2)&lt;&gt;"15",LEFT(M851,2)&lt;&gt;"33"))),"x","")</f>
        <v/>
      </c>
      <c r="X851" s="39" t="str">
        <f>IF(AND(OR(LEFT(TH!L851,2)="15",LEFT(TH!M851,2)="15"),'152-CT'!$J$8=TH!F851),"x","")</f>
        <v/>
      </c>
      <c r="Y851" s="39" t="str">
        <f>IF(AND(OR(LEFT(TH!L851,2)="15",LEFT(TH!M851,2)="15"),TK!$E$7=TH!F851),"x","")</f>
        <v/>
      </c>
      <c r="Z851" s="39" t="str">
        <f>IF(AND(B851&lt;=NKC!$N$8,B851&gt;=NKC!$M$8),"x","")</f>
        <v/>
      </c>
      <c r="AA851" s="894"/>
    </row>
    <row r="852" spans="1:27" ht="15.75" customHeight="1">
      <c r="A852" s="199" t="str">
        <f>IF(B852&lt;&gt;"",IF(AND(B852&gt;=_TM1,B852&lt;=_TM2,OR(TH!L852="1111",TH!M852="1111")),TH!D852,""),"")</f>
        <v/>
      </c>
      <c r="B852" s="36" t="str">
        <f t="shared" si="38"/>
        <v/>
      </c>
      <c r="C852" s="190"/>
      <c r="D852" s="190"/>
      <c r="E852" s="183"/>
      <c r="F852" s="188"/>
      <c r="G852" s="491"/>
      <c r="H852" s="7"/>
      <c r="I852" s="253"/>
      <c r="J852" s="253"/>
      <c r="K852" s="606"/>
      <c r="L852" s="39"/>
      <c r="M852" s="39"/>
      <c r="N852" s="39" t="str">
        <f>IF(AND('331-CT'!$E$7=TH!H852,OR(L852="331",M852="331")),"331",IF(AND(OR(L852="131",M852="131"),H852='131-CT'!$E$7),"131",""))</f>
        <v/>
      </c>
      <c r="O852" s="39" t="str">
        <f>IF(AND($B852&gt;='111'!$N$11,$B852&lt;='111'!$O$11,OR($L852=$O$7,$M852=$O$7)),"x","")</f>
        <v/>
      </c>
      <c r="P852" s="39" t="str">
        <f>IF(AND($L852=$O$7,$B852&lt;'111'!$N$11),"x","")</f>
        <v/>
      </c>
      <c r="Q852" s="39" t="str">
        <f>IF(AND($M852=$O$7,$B852&lt;'111'!$N$11),"x","")</f>
        <v/>
      </c>
      <c r="R852" s="39" t="str">
        <f>IF(ISERROR(FIND('112'!$M$9,G852,1)),"",IF((AND(FIND('112'!$M$9,G852,1)&gt;=1,$B852&gt;='112'!$N$8,$B852&lt;='112'!$O$8,OR($L852='112'!$I$6,$M852='112'!$I$6))),"x",""))</f>
        <v/>
      </c>
      <c r="S852" s="39" t="str">
        <f>IF(ISERROR(FIND('112'!$M$9,G852,1)),"",IF((AND(LEFT(G852,2)=LEFT('112'!$M$9,2),B852&lt;'112'!$N$8,$L852='112'!$I$6)),"x",""))</f>
        <v/>
      </c>
      <c r="T852" s="39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39" t="str">
        <f>IF(OR(TH!L852=TH!$V$7,M852=TH!$V$7),"x","")</f>
        <v/>
      </c>
      <c r="W852" s="39" t="str">
        <f>IF(AND(B852&gt;='IN-NX'!$P$3,B852&lt;='IN-NX'!$Q$3,'IN-NX'!$D$7=D852,OR(LEFT(L852,2)="15",AND(LEFT(M852,2)&lt;&gt;"15",LEFT(M852,2)&lt;&gt;"33"))),"x","")</f>
        <v/>
      </c>
      <c r="X852" s="39" t="str">
        <f>IF(AND(OR(LEFT(TH!L852,2)="15",LEFT(TH!M852,2)="15"),'152-CT'!$J$8=TH!F852),"x","")</f>
        <v/>
      </c>
      <c r="Y852" s="39" t="str">
        <f>IF(AND(OR(LEFT(TH!L852,2)="15",LEFT(TH!M852,2)="15"),TK!$E$7=TH!F852),"x","")</f>
        <v/>
      </c>
      <c r="Z852" s="39" t="str">
        <f>IF(AND(B852&lt;=NKC!$N$8,B852&gt;=NKC!$M$8),"x","")</f>
        <v/>
      </c>
      <c r="AA852" s="894"/>
    </row>
    <row r="853" spans="1:27" ht="15.75" customHeight="1">
      <c r="A853" s="199" t="str">
        <f>IF(B853&lt;&gt;"",IF(AND(B853&gt;=_TM1,B853&lt;=_TM2,OR(TH!L853="1111",TH!M853="1111")),TH!D853,""),"")</f>
        <v/>
      </c>
      <c r="B853" s="36" t="str">
        <f t="shared" si="38"/>
        <v/>
      </c>
      <c r="C853" s="190"/>
      <c r="D853" s="190"/>
      <c r="E853" s="183"/>
      <c r="F853" s="191"/>
      <c r="G853" s="491"/>
      <c r="H853" s="7"/>
      <c r="I853" s="253"/>
      <c r="J853" s="253"/>
      <c r="K853" s="606"/>
      <c r="L853" s="39"/>
      <c r="M853" s="39"/>
      <c r="N853" s="39" t="str">
        <f>IF(AND('331-CT'!$E$7=TH!H853,OR(L853="331",M853="331")),"331",IF(AND(OR(L853="131",M853="131"),H853='131-CT'!$E$7),"131",""))</f>
        <v/>
      </c>
      <c r="O853" s="39" t="str">
        <f>IF(AND($B853&gt;='111'!$N$11,$B853&lt;='111'!$O$11,OR($L853=$O$7,$M853=$O$7)),"x","")</f>
        <v/>
      </c>
      <c r="P853" s="39" t="str">
        <f>IF(AND($L853=$O$7,$B853&lt;'111'!$N$11),"x","")</f>
        <v/>
      </c>
      <c r="Q853" s="39" t="str">
        <f>IF(AND($M853=$O$7,$B853&lt;'111'!$N$11),"x","")</f>
        <v/>
      </c>
      <c r="R853" s="39" t="str">
        <f>IF(ISERROR(FIND('112'!$M$9,G853,1)),"",IF((AND(FIND('112'!$M$9,G853,1)&gt;=1,$B853&gt;='112'!$N$8,$B853&lt;='112'!$O$8,OR($L853='112'!$I$6,$M853='112'!$I$6))),"x",""))</f>
        <v/>
      </c>
      <c r="S853" s="39" t="str">
        <f>IF(ISERROR(FIND('112'!$M$9,G853,1)),"",IF((AND(LEFT(G853,2)=LEFT('112'!$M$9,2),B853&lt;'112'!$N$8,$L853='112'!$I$6)),"x",""))</f>
        <v/>
      </c>
      <c r="T853" s="39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39" t="str">
        <f>IF(OR(TH!L853=TH!$V$7,M853=TH!$V$7),"x","")</f>
        <v/>
      </c>
      <c r="W853" s="39" t="str">
        <f>IF(AND(B853&gt;='IN-NX'!$P$3,B853&lt;='IN-NX'!$Q$3,'IN-NX'!$D$7=D853,OR(LEFT(L853,2)="15",AND(LEFT(M853,2)&lt;&gt;"15",LEFT(M853,2)&lt;&gt;"33"))),"x","")</f>
        <v/>
      </c>
      <c r="X853" s="39" t="str">
        <f>IF(AND(OR(LEFT(TH!L853,2)="15",LEFT(TH!M853,2)="15"),'152-CT'!$J$8=TH!F853),"x","")</f>
        <v/>
      </c>
      <c r="Y853" s="39" t="str">
        <f>IF(AND(OR(LEFT(TH!L853,2)="15",LEFT(TH!M853,2)="15"),TK!$E$7=TH!F853),"x","")</f>
        <v/>
      </c>
      <c r="Z853" s="39" t="str">
        <f>IF(AND(B853&lt;=NKC!$N$8,B853&gt;=NKC!$M$8),"x","")</f>
        <v/>
      </c>
      <c r="AA853" s="894"/>
    </row>
    <row r="854" spans="1:27" ht="15.75" customHeight="1">
      <c r="A854" s="199" t="str">
        <f>IF(B854&lt;&gt;"",IF(AND(B854&gt;=_TM1,B854&lt;=_TM2,OR(TH!L854="1111",TH!M854="1111")),TH!D854,""),"")</f>
        <v/>
      </c>
      <c r="B854" s="36" t="str">
        <f t="shared" si="38"/>
        <v/>
      </c>
      <c r="C854" s="190"/>
      <c r="D854" s="190"/>
      <c r="E854" s="183"/>
      <c r="F854" s="188"/>
      <c r="G854" s="491"/>
      <c r="H854" s="7"/>
      <c r="I854" s="253"/>
      <c r="J854" s="253"/>
      <c r="K854" s="606"/>
      <c r="L854" s="39"/>
      <c r="M854" s="39"/>
      <c r="N854" s="39" t="str">
        <f>IF(AND('331-CT'!$E$7=TH!H854,OR(L854="331",M854="331")),"331",IF(AND(OR(L854="131",M854="131"),H854='131-CT'!$E$7),"131",""))</f>
        <v/>
      </c>
      <c r="O854" s="39" t="str">
        <f>IF(AND($B854&gt;='111'!$N$11,$B854&lt;='111'!$O$11,OR($L854=$O$7,$M854=$O$7)),"x","")</f>
        <v/>
      </c>
      <c r="P854" s="39" t="str">
        <f>IF(AND($L854=$O$7,$B854&lt;'111'!$N$11),"x","")</f>
        <v/>
      </c>
      <c r="Q854" s="39" t="str">
        <f>IF(AND($M854=$O$7,$B854&lt;'111'!$N$11),"x","")</f>
        <v/>
      </c>
      <c r="R854" s="39" t="str">
        <f>IF(ISERROR(FIND('112'!$M$9,G854,1)),"",IF((AND(FIND('112'!$M$9,G854,1)&gt;=1,$B854&gt;='112'!$N$8,$B854&lt;='112'!$O$8,OR($L854='112'!$I$6,$M854='112'!$I$6))),"x",""))</f>
        <v/>
      </c>
      <c r="S854" s="39" t="str">
        <f>IF(ISERROR(FIND('112'!$M$9,G854,1)),"",IF((AND(LEFT(G854,2)=LEFT('112'!$M$9,2),B854&lt;'112'!$N$8,$L854='112'!$I$6)),"x",""))</f>
        <v/>
      </c>
      <c r="T854" s="39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39" t="str">
        <f>IF(OR(TH!L854=TH!$V$7,M854=TH!$V$7),"x","")</f>
        <v/>
      </c>
      <c r="W854" s="39" t="str">
        <f>IF(AND(B854&gt;='IN-NX'!$P$3,B854&lt;='IN-NX'!$Q$3,'IN-NX'!$D$7=D854,OR(LEFT(L854,2)="15",AND(LEFT(M854,2)&lt;&gt;"15",LEFT(M854,2)&lt;&gt;"33"))),"x","")</f>
        <v/>
      </c>
      <c r="X854" s="39" t="str">
        <f>IF(AND(OR(LEFT(TH!L854,2)="15",LEFT(TH!M854,2)="15"),'152-CT'!$J$8=TH!F854),"x","")</f>
        <v/>
      </c>
      <c r="Y854" s="39" t="str">
        <f>IF(AND(OR(LEFT(TH!L854,2)="15",LEFT(TH!M854,2)="15"),TK!$E$7=TH!F854),"x","")</f>
        <v/>
      </c>
      <c r="Z854" s="39" t="str">
        <f>IF(AND(B854&lt;=NKC!$N$8,B854&gt;=NKC!$M$8),"x","")</f>
        <v/>
      </c>
      <c r="AA854" s="894"/>
    </row>
    <row r="855" spans="1:27" ht="15.75" customHeight="1">
      <c r="A855" s="199" t="str">
        <f>IF(B855&lt;&gt;"",IF(AND(B855&gt;=_TM1,B855&lt;=_TM2,OR(TH!L855="1111",TH!M855="1111")),TH!D855,""),"")</f>
        <v/>
      </c>
      <c r="B855" s="36" t="str">
        <f t="shared" si="38"/>
        <v/>
      </c>
      <c r="C855" s="190"/>
      <c r="D855" s="190"/>
      <c r="E855" s="183"/>
      <c r="F855" s="188"/>
      <c r="G855" s="491"/>
      <c r="H855" s="7"/>
      <c r="I855" s="253"/>
      <c r="J855" s="253"/>
      <c r="K855" s="606"/>
      <c r="L855" s="39"/>
      <c r="M855" s="39"/>
      <c r="N855" s="39" t="str">
        <f>IF(AND('331-CT'!$E$7=TH!H855,OR(L855="331",M855="331")),"331",IF(AND(OR(L855="131",M855="131"),H855='131-CT'!$E$7),"131",""))</f>
        <v/>
      </c>
      <c r="O855" s="39" t="str">
        <f>IF(AND($B855&gt;='111'!$N$11,$B855&lt;='111'!$O$11,OR($L855=$O$7,$M855=$O$7)),"x","")</f>
        <v/>
      </c>
      <c r="P855" s="39" t="str">
        <f>IF(AND($L855=$O$7,$B855&lt;'111'!$N$11),"x","")</f>
        <v/>
      </c>
      <c r="Q855" s="39" t="str">
        <f>IF(AND($M855=$O$7,$B855&lt;'111'!$N$11),"x","")</f>
        <v/>
      </c>
      <c r="R855" s="39" t="str">
        <f>IF(ISERROR(FIND('112'!$M$9,G855,1)),"",IF((AND(FIND('112'!$M$9,G855,1)&gt;=1,$B855&gt;='112'!$N$8,$B855&lt;='112'!$O$8,OR($L855='112'!$I$6,$M855='112'!$I$6))),"x",""))</f>
        <v/>
      </c>
      <c r="S855" s="39" t="str">
        <f>IF(ISERROR(FIND('112'!$M$9,G855,1)),"",IF((AND(LEFT(G855,2)=LEFT('112'!$M$9,2),B855&lt;'112'!$N$8,$L855='112'!$I$6)),"x",""))</f>
        <v/>
      </c>
      <c r="T855" s="39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39" t="str">
        <f>IF(OR(TH!L855=TH!$V$7,M855=TH!$V$7),"x","")</f>
        <v/>
      </c>
      <c r="W855" s="39" t="str">
        <f>IF(AND(B855&gt;='IN-NX'!$P$3,B855&lt;='IN-NX'!$Q$3,'IN-NX'!$D$7=D855,OR(LEFT(L855,2)="15",AND(LEFT(M855,2)&lt;&gt;"15",LEFT(M855,2)&lt;&gt;"33"))),"x","")</f>
        <v/>
      </c>
      <c r="X855" s="39" t="str">
        <f>IF(AND(OR(LEFT(TH!L855,2)="15",LEFT(TH!M855,2)="15"),'152-CT'!$J$8=TH!F855),"x","")</f>
        <v/>
      </c>
      <c r="Y855" s="39" t="str">
        <f>IF(AND(OR(LEFT(TH!L855,2)="15",LEFT(TH!M855,2)="15"),TK!$E$7=TH!F855),"x","")</f>
        <v/>
      </c>
      <c r="Z855" s="39" t="str">
        <f>IF(AND(B855&lt;=NKC!$N$8,B855&gt;=NKC!$M$8),"x","")</f>
        <v/>
      </c>
      <c r="AA855" s="894"/>
    </row>
    <row r="856" spans="1:27" ht="15.75" customHeight="1">
      <c r="A856" s="199" t="str">
        <f>IF(B856&lt;&gt;"",IF(AND(B856&gt;=_TM1,B856&lt;=_TM2,OR(TH!L856="1111",TH!M856="1111")),TH!D856,""),"")</f>
        <v/>
      </c>
      <c r="B856" s="36" t="str">
        <f t="shared" si="38"/>
        <v/>
      </c>
      <c r="C856" s="190"/>
      <c r="D856" s="190"/>
      <c r="E856" s="183"/>
      <c r="F856" s="188"/>
      <c r="G856" s="491"/>
      <c r="H856" s="7"/>
      <c r="I856" s="253"/>
      <c r="J856" s="253"/>
      <c r="K856" s="606"/>
      <c r="L856" s="39"/>
      <c r="M856" s="39"/>
      <c r="N856" s="39" t="str">
        <f>IF(AND('331-CT'!$E$7=TH!H856,OR(L856="331",M856="331")),"331",IF(AND(OR(L856="131",M856="131"),H856='131-CT'!$E$7),"131",""))</f>
        <v/>
      </c>
      <c r="O856" s="39" t="str">
        <f>IF(AND($B856&gt;='111'!$N$11,$B856&lt;='111'!$O$11,OR($L856=$O$7,$M856=$O$7)),"x","")</f>
        <v/>
      </c>
      <c r="P856" s="39" t="str">
        <f>IF(AND($L856=$O$7,$B856&lt;'111'!$N$11),"x","")</f>
        <v/>
      </c>
      <c r="Q856" s="39" t="str">
        <f>IF(AND($M856=$O$7,$B856&lt;'111'!$N$11),"x","")</f>
        <v/>
      </c>
      <c r="R856" s="39" t="str">
        <f>IF(ISERROR(FIND('112'!$M$9,G856,1)),"",IF((AND(FIND('112'!$M$9,G856,1)&gt;=1,$B856&gt;='112'!$N$8,$B856&lt;='112'!$O$8,OR($L856='112'!$I$6,$M856='112'!$I$6))),"x",""))</f>
        <v/>
      </c>
      <c r="S856" s="39" t="str">
        <f>IF(ISERROR(FIND('112'!$M$9,G856,1)),"",IF((AND(LEFT(G856,2)=LEFT('112'!$M$9,2),B856&lt;'112'!$N$8,$L856='112'!$I$6)),"x",""))</f>
        <v/>
      </c>
      <c r="T856" s="39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39" t="str">
        <f>IF(OR(TH!L856=TH!$V$7,M856=TH!$V$7),"x","")</f>
        <v/>
      </c>
      <c r="W856" s="39" t="str">
        <f>IF(AND(B856&gt;='IN-NX'!$P$3,B856&lt;='IN-NX'!$Q$3,'IN-NX'!$D$7=D856,OR(LEFT(L856,2)="15",AND(LEFT(M856,2)&lt;&gt;"15",LEFT(M856,2)&lt;&gt;"33"))),"x","")</f>
        <v/>
      </c>
      <c r="X856" s="39" t="str">
        <f>IF(AND(OR(LEFT(TH!L856,2)="15",LEFT(TH!M856,2)="15"),'152-CT'!$J$8=TH!F856),"x","")</f>
        <v/>
      </c>
      <c r="Y856" s="39" t="str">
        <f>IF(AND(OR(LEFT(TH!L856,2)="15",LEFT(TH!M856,2)="15"),TK!$E$7=TH!F856),"x","")</f>
        <v/>
      </c>
      <c r="Z856" s="39" t="str">
        <f>IF(AND(B856&lt;=NKC!$N$8,B856&gt;=NKC!$M$8),"x","")</f>
        <v/>
      </c>
      <c r="AA856" s="894"/>
    </row>
    <row r="857" spans="1:27" ht="15.75" customHeight="1">
      <c r="A857" s="199" t="str">
        <f>IF(B857&lt;&gt;"",IF(AND(B857&gt;=_TM1,B857&lt;=_TM2,OR(TH!L857="1111",TH!M857="1111")),TH!D857,""),"")</f>
        <v/>
      </c>
      <c r="B857" s="36" t="str">
        <f t="shared" ref="B857:B920" si="39">IF(C857&lt;&gt;"",MONTH(C857),"")</f>
        <v/>
      </c>
      <c r="C857" s="190"/>
      <c r="D857" s="190"/>
      <c r="E857" s="183"/>
      <c r="F857" s="188"/>
      <c r="G857" s="491"/>
      <c r="H857" s="7"/>
      <c r="I857" s="253"/>
      <c r="J857" s="253"/>
      <c r="K857" s="606"/>
      <c r="L857" s="39"/>
      <c r="M857" s="39"/>
      <c r="N857" s="39" t="str">
        <f>IF(AND('331-CT'!$E$7=TH!H857,OR(L857="331",M857="331")),"331",IF(AND(OR(L857="131",M857="131"),H857='131-CT'!$E$7),"131",""))</f>
        <v/>
      </c>
      <c r="O857" s="39" t="str">
        <f>IF(AND($B857&gt;='111'!$N$11,$B857&lt;='111'!$O$11,OR($L857=$O$7,$M857=$O$7)),"x","")</f>
        <v/>
      </c>
      <c r="P857" s="39" t="str">
        <f>IF(AND($L857=$O$7,$B857&lt;'111'!$N$11),"x","")</f>
        <v/>
      </c>
      <c r="Q857" s="39" t="str">
        <f>IF(AND($M857=$O$7,$B857&lt;'111'!$N$11),"x","")</f>
        <v/>
      </c>
      <c r="R857" s="39" t="str">
        <f>IF(ISERROR(FIND('112'!$M$9,G857,1)),"",IF((AND(FIND('112'!$M$9,G857,1)&gt;=1,$B857&gt;='112'!$N$8,$B857&lt;='112'!$O$8,OR($L857='112'!$I$6,$M857='112'!$I$6))),"x",""))</f>
        <v/>
      </c>
      <c r="S857" s="39" t="str">
        <f>IF(ISERROR(FIND('112'!$M$9,G857,1)),"",IF((AND(LEFT(G857,2)=LEFT('112'!$M$9,2),B857&lt;'112'!$N$8,$L857='112'!$I$6)),"x",""))</f>
        <v/>
      </c>
      <c r="T857" s="39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39" t="str">
        <f>IF(OR(TH!L857=TH!$V$7,M857=TH!$V$7),"x","")</f>
        <v/>
      </c>
      <c r="W857" s="39" t="str">
        <f>IF(AND(B857&gt;='IN-NX'!$P$3,B857&lt;='IN-NX'!$Q$3,'IN-NX'!$D$7=D857,OR(LEFT(L857,2)="15",AND(LEFT(M857,2)&lt;&gt;"15",LEFT(M857,2)&lt;&gt;"33"))),"x","")</f>
        <v/>
      </c>
      <c r="X857" s="39" t="str">
        <f>IF(AND(OR(LEFT(TH!L857,2)="15",LEFT(TH!M857,2)="15"),'152-CT'!$J$8=TH!F857),"x","")</f>
        <v/>
      </c>
      <c r="Y857" s="39" t="str">
        <f>IF(AND(OR(LEFT(TH!L857,2)="15",LEFT(TH!M857,2)="15"),TK!$E$7=TH!F857),"x","")</f>
        <v/>
      </c>
      <c r="Z857" s="39" t="str">
        <f>IF(AND(B857&lt;=NKC!$N$8,B857&gt;=NKC!$M$8),"x","")</f>
        <v/>
      </c>
      <c r="AA857" s="894"/>
    </row>
    <row r="858" spans="1:27" ht="15.75" customHeight="1">
      <c r="A858" s="199" t="str">
        <f>IF(B858&lt;&gt;"",IF(AND(B858&gt;=_TM1,B858&lt;=_TM2,OR(TH!L858="1111",TH!M858="1111")),TH!D858,""),"")</f>
        <v/>
      </c>
      <c r="B858" s="36" t="str">
        <f t="shared" si="39"/>
        <v/>
      </c>
      <c r="C858" s="190"/>
      <c r="D858" s="190"/>
      <c r="E858" s="183"/>
      <c r="F858" s="188"/>
      <c r="G858" s="491"/>
      <c r="H858" s="7"/>
      <c r="I858" s="253"/>
      <c r="J858" s="253"/>
      <c r="K858" s="606"/>
      <c r="L858" s="39"/>
      <c r="M858" s="39"/>
      <c r="N858" s="39" t="str">
        <f>IF(AND('331-CT'!$E$7=TH!H858,OR(L858="331",M858="331")),"331",IF(AND(OR(L858="131",M858="131"),H858='131-CT'!$E$7),"131",""))</f>
        <v/>
      </c>
      <c r="O858" s="39" t="str">
        <f>IF(AND($B858&gt;='111'!$N$11,$B858&lt;='111'!$O$11,OR($L858=$O$7,$M858=$O$7)),"x","")</f>
        <v/>
      </c>
      <c r="P858" s="39" t="str">
        <f>IF(AND($L858=$O$7,$B858&lt;'111'!$N$11),"x","")</f>
        <v/>
      </c>
      <c r="Q858" s="39" t="str">
        <f>IF(AND($M858=$O$7,$B858&lt;'111'!$N$11),"x","")</f>
        <v/>
      </c>
      <c r="R858" s="39" t="str">
        <f>IF(ISERROR(FIND('112'!$M$9,G858,1)),"",IF((AND(FIND('112'!$M$9,G858,1)&gt;=1,$B858&gt;='112'!$N$8,$B858&lt;='112'!$O$8,OR($L858='112'!$I$6,$M858='112'!$I$6))),"x",""))</f>
        <v/>
      </c>
      <c r="S858" s="39" t="str">
        <f>IF(ISERROR(FIND('112'!$M$9,G858,1)),"",IF((AND(LEFT(G858,2)=LEFT('112'!$M$9,2),B858&lt;'112'!$N$8,$L858='112'!$I$6)),"x",""))</f>
        <v/>
      </c>
      <c r="T858" s="39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39" t="str">
        <f>IF(OR(TH!L858=TH!$V$7,M858=TH!$V$7),"x","")</f>
        <v/>
      </c>
      <c r="W858" s="39" t="str">
        <f>IF(AND(B858&gt;='IN-NX'!$P$3,B858&lt;='IN-NX'!$Q$3,'IN-NX'!$D$7=D858,OR(LEFT(L858,2)="15",AND(LEFT(M858,2)&lt;&gt;"15",LEFT(M858,2)&lt;&gt;"33"))),"x","")</f>
        <v/>
      </c>
      <c r="X858" s="39" t="str">
        <f>IF(AND(OR(LEFT(TH!L858,2)="15",LEFT(TH!M858,2)="15"),'152-CT'!$J$8=TH!F858),"x","")</f>
        <v/>
      </c>
      <c r="Y858" s="39" t="str">
        <f>IF(AND(OR(LEFT(TH!L858,2)="15",LEFT(TH!M858,2)="15"),TK!$E$7=TH!F858),"x","")</f>
        <v/>
      </c>
      <c r="Z858" s="39" t="str">
        <f>IF(AND(B858&lt;=NKC!$N$8,B858&gt;=NKC!$M$8),"x","")</f>
        <v/>
      </c>
      <c r="AA858" s="894"/>
    </row>
    <row r="859" spans="1:27" ht="15.75" customHeight="1">
      <c r="A859" s="199" t="str">
        <f>IF(B859&lt;&gt;"",IF(AND(B859&gt;=_TM1,B859&lt;=_TM2,OR(TH!L859="1111",TH!M859="1111")),TH!D859,""),"")</f>
        <v/>
      </c>
      <c r="B859" s="36" t="str">
        <f t="shared" si="39"/>
        <v/>
      </c>
      <c r="C859" s="190"/>
      <c r="D859" s="190"/>
      <c r="E859" s="183"/>
      <c r="F859" s="188"/>
      <c r="G859" s="491"/>
      <c r="H859" s="7"/>
      <c r="I859" s="253"/>
      <c r="J859" s="253"/>
      <c r="K859" s="606"/>
      <c r="L859" s="39"/>
      <c r="M859" s="39"/>
      <c r="N859" s="39" t="str">
        <f>IF(AND('331-CT'!$E$7=TH!H859,OR(L859="331",M859="331")),"331",IF(AND(OR(L859="131",M859="131"),H859='131-CT'!$E$7),"131",""))</f>
        <v/>
      </c>
      <c r="O859" s="39" t="str">
        <f>IF(AND($B859&gt;='111'!$N$11,$B859&lt;='111'!$O$11,OR($L859=$O$7,$M859=$O$7)),"x","")</f>
        <v/>
      </c>
      <c r="P859" s="39" t="str">
        <f>IF(AND($L859=$O$7,$B859&lt;'111'!$N$11),"x","")</f>
        <v/>
      </c>
      <c r="Q859" s="39" t="str">
        <f>IF(AND($M859=$O$7,$B859&lt;'111'!$N$11),"x","")</f>
        <v/>
      </c>
      <c r="R859" s="39" t="str">
        <f>IF(ISERROR(FIND('112'!$M$9,G859,1)),"",IF((AND(FIND('112'!$M$9,G859,1)&gt;=1,$B859&gt;='112'!$N$8,$B859&lt;='112'!$O$8,OR($L859='112'!$I$6,$M859='112'!$I$6))),"x",""))</f>
        <v/>
      </c>
      <c r="S859" s="39" t="str">
        <f>IF(ISERROR(FIND('112'!$M$9,G859,1)),"",IF((AND(LEFT(G859,2)=LEFT('112'!$M$9,2),B859&lt;'112'!$N$8,$L859='112'!$I$6)),"x",""))</f>
        <v/>
      </c>
      <c r="T859" s="39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39" t="str">
        <f>IF(OR(TH!L859=TH!$V$7,M859=TH!$V$7),"x","")</f>
        <v/>
      </c>
      <c r="W859" s="39" t="str">
        <f>IF(AND(B859&gt;='IN-NX'!$P$3,B859&lt;='IN-NX'!$Q$3,'IN-NX'!$D$7=D859,OR(LEFT(L859,2)="15",AND(LEFT(M859,2)&lt;&gt;"15",LEFT(M859,2)&lt;&gt;"33"))),"x","")</f>
        <v/>
      </c>
      <c r="X859" s="39" t="str">
        <f>IF(AND(OR(LEFT(TH!L859,2)="15",LEFT(TH!M859,2)="15"),'152-CT'!$J$8=TH!F859),"x","")</f>
        <v/>
      </c>
      <c r="Y859" s="39" t="str">
        <f>IF(AND(OR(LEFT(TH!L859,2)="15",LEFT(TH!M859,2)="15"),TK!$E$7=TH!F859),"x","")</f>
        <v/>
      </c>
      <c r="Z859" s="39" t="str">
        <f>IF(AND(B859&lt;=NKC!$N$8,B859&gt;=NKC!$M$8),"x","")</f>
        <v/>
      </c>
      <c r="AA859" s="894"/>
    </row>
    <row r="860" spans="1:27" ht="15.75" customHeight="1">
      <c r="A860" s="199" t="str">
        <f>IF(B860&lt;&gt;"",IF(AND(B860&gt;=_TM1,B860&lt;=_TM2,OR(TH!L860="1111",TH!M860="1111")),TH!D860,""),"")</f>
        <v/>
      </c>
      <c r="B860" s="36" t="str">
        <f t="shared" si="39"/>
        <v/>
      </c>
      <c r="C860" s="190"/>
      <c r="D860" s="190"/>
      <c r="E860" s="183"/>
      <c r="F860" s="188"/>
      <c r="G860" s="491"/>
      <c r="H860" s="7"/>
      <c r="I860" s="253"/>
      <c r="J860" s="253"/>
      <c r="K860" s="606"/>
      <c r="L860" s="39"/>
      <c r="M860" s="39"/>
      <c r="N860" s="39" t="str">
        <f>IF(AND('331-CT'!$E$7=TH!H860,OR(L860="331",M860="331")),"331",IF(AND(OR(L860="131",M860="131"),H860='131-CT'!$E$7),"131",""))</f>
        <v/>
      </c>
      <c r="O860" s="39" t="str">
        <f>IF(AND($B860&gt;='111'!$N$11,$B860&lt;='111'!$O$11,OR($L860=$O$7,$M860=$O$7)),"x","")</f>
        <v/>
      </c>
      <c r="P860" s="39" t="str">
        <f>IF(AND($L860=$O$7,$B860&lt;'111'!$N$11),"x","")</f>
        <v/>
      </c>
      <c r="Q860" s="39" t="str">
        <f>IF(AND($M860=$O$7,$B860&lt;'111'!$N$11),"x","")</f>
        <v/>
      </c>
      <c r="R860" s="39" t="str">
        <f>IF(ISERROR(FIND('112'!$M$9,G860,1)),"",IF((AND(FIND('112'!$M$9,G860,1)&gt;=1,$B860&gt;='112'!$N$8,$B860&lt;='112'!$O$8,OR($L860='112'!$I$6,$M860='112'!$I$6))),"x",""))</f>
        <v/>
      </c>
      <c r="S860" s="39" t="str">
        <f>IF(ISERROR(FIND('112'!$M$9,G860,1)),"",IF((AND(LEFT(G860,2)=LEFT('112'!$M$9,2),B860&lt;'112'!$N$8,$L860='112'!$I$6)),"x",""))</f>
        <v/>
      </c>
      <c r="T860" s="39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39" t="str">
        <f>IF(OR(TH!L860=TH!$V$7,M860=TH!$V$7),"x","")</f>
        <v/>
      </c>
      <c r="W860" s="39" t="str">
        <f>IF(AND(B860&gt;='IN-NX'!$P$3,B860&lt;='IN-NX'!$Q$3,'IN-NX'!$D$7=D860,OR(LEFT(L860,2)="15",AND(LEFT(M860,2)&lt;&gt;"15",LEFT(M860,2)&lt;&gt;"33"))),"x","")</f>
        <v/>
      </c>
      <c r="X860" s="39" t="str">
        <f>IF(AND(OR(LEFT(TH!L860,2)="15",LEFT(TH!M860,2)="15"),'152-CT'!$J$8=TH!F860),"x","")</f>
        <v/>
      </c>
      <c r="Y860" s="39" t="str">
        <f>IF(AND(OR(LEFT(TH!L860,2)="15",LEFT(TH!M860,2)="15"),TK!$E$7=TH!F860),"x","")</f>
        <v/>
      </c>
      <c r="Z860" s="39" t="str">
        <f>IF(AND(B860&lt;=NKC!$N$8,B860&gt;=NKC!$M$8),"x","")</f>
        <v/>
      </c>
      <c r="AA860" s="894"/>
    </row>
    <row r="861" spans="1:27" ht="15.75" customHeight="1">
      <c r="A861" s="199" t="str">
        <f>IF(B861&lt;&gt;"",IF(AND(B861&gt;=_TM1,B861&lt;=_TM2,OR(TH!L861="1111",TH!M861="1111")),TH!D861,""),"")</f>
        <v/>
      </c>
      <c r="B861" s="36" t="str">
        <f t="shared" si="39"/>
        <v/>
      </c>
      <c r="C861" s="190"/>
      <c r="D861" s="190"/>
      <c r="E861" s="183"/>
      <c r="F861" s="188"/>
      <c r="G861" s="491"/>
      <c r="H861" s="7"/>
      <c r="I861" s="253"/>
      <c r="J861" s="253"/>
      <c r="K861" s="606"/>
      <c r="L861" s="39"/>
      <c r="M861" s="39"/>
      <c r="N861" s="39" t="str">
        <f>IF(AND('331-CT'!$E$7=TH!H861,OR(L861="331",M861="331")),"331",IF(AND(OR(L861="131",M861="131"),H861='131-CT'!$E$7),"131",""))</f>
        <v/>
      </c>
      <c r="O861" s="39" t="str">
        <f>IF(AND($B861&gt;='111'!$N$11,$B861&lt;='111'!$O$11,OR($L861=$O$7,$M861=$O$7)),"x","")</f>
        <v/>
      </c>
      <c r="P861" s="39" t="str">
        <f>IF(AND($L861=$O$7,$B861&lt;'111'!$N$11),"x","")</f>
        <v/>
      </c>
      <c r="Q861" s="39" t="str">
        <f>IF(AND($M861=$O$7,$B861&lt;'111'!$N$11),"x","")</f>
        <v/>
      </c>
      <c r="R861" s="39" t="str">
        <f>IF(ISERROR(FIND('112'!$M$9,G861,1)),"",IF((AND(FIND('112'!$M$9,G861,1)&gt;=1,$B861&gt;='112'!$N$8,$B861&lt;='112'!$O$8,OR($L861='112'!$I$6,$M861='112'!$I$6))),"x",""))</f>
        <v/>
      </c>
      <c r="S861" s="39" t="str">
        <f>IF(ISERROR(FIND('112'!$M$9,G861,1)),"",IF((AND(LEFT(G861,2)=LEFT('112'!$M$9,2),B861&lt;'112'!$N$8,$L861='112'!$I$6)),"x",""))</f>
        <v/>
      </c>
      <c r="T861" s="39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39" t="str">
        <f>IF(OR(TH!L861=TH!$V$7,M861=TH!$V$7),"x","")</f>
        <v/>
      </c>
      <c r="W861" s="39" t="str">
        <f>IF(AND(B861&gt;='IN-NX'!$P$3,B861&lt;='IN-NX'!$Q$3,'IN-NX'!$D$7=D861,OR(LEFT(L861,2)="15",AND(LEFT(M861,2)&lt;&gt;"15",LEFT(M861,2)&lt;&gt;"33"))),"x","")</f>
        <v/>
      </c>
      <c r="X861" s="39" t="str">
        <f>IF(AND(OR(LEFT(TH!L861,2)="15",LEFT(TH!M861,2)="15"),'152-CT'!$J$8=TH!F861),"x","")</f>
        <v/>
      </c>
      <c r="Y861" s="39" t="str">
        <f>IF(AND(OR(LEFT(TH!L861,2)="15",LEFT(TH!M861,2)="15"),TK!$E$7=TH!F861),"x","")</f>
        <v/>
      </c>
      <c r="Z861" s="39" t="str">
        <f>IF(AND(B861&lt;=NKC!$N$8,B861&gt;=NKC!$M$8),"x","")</f>
        <v/>
      </c>
      <c r="AA861" s="894"/>
    </row>
    <row r="862" spans="1:27" ht="15.75" customHeight="1">
      <c r="A862" s="199" t="str">
        <f>IF(B862&lt;&gt;"",IF(AND(B862&gt;=_TM1,B862&lt;=_TM2,OR(TH!L862="1111",TH!M862="1111")),TH!D862,""),"")</f>
        <v/>
      </c>
      <c r="B862" s="36" t="str">
        <f t="shared" si="39"/>
        <v/>
      </c>
      <c r="C862" s="190"/>
      <c r="D862" s="190"/>
      <c r="E862" s="183"/>
      <c r="F862" s="188"/>
      <c r="G862" s="491"/>
      <c r="H862" s="7"/>
      <c r="I862" s="253"/>
      <c r="J862" s="253"/>
      <c r="K862" s="606"/>
      <c r="L862" s="39"/>
      <c r="M862" s="39"/>
      <c r="N862" s="39" t="str">
        <f>IF(AND('331-CT'!$E$7=TH!H862,OR(L862="331",M862="331")),"331",IF(AND(OR(L862="131",M862="131"),H862='131-CT'!$E$7),"131",""))</f>
        <v/>
      </c>
      <c r="O862" s="39" t="str">
        <f>IF(AND($B862&gt;='111'!$N$11,$B862&lt;='111'!$O$11,OR($L862=$O$7,$M862=$O$7)),"x","")</f>
        <v/>
      </c>
      <c r="P862" s="39" t="str">
        <f>IF(AND($L862=$O$7,$B862&lt;'111'!$N$11),"x","")</f>
        <v/>
      </c>
      <c r="Q862" s="39" t="str">
        <f>IF(AND($M862=$O$7,$B862&lt;'111'!$N$11),"x","")</f>
        <v/>
      </c>
      <c r="R862" s="39" t="str">
        <f>IF(ISERROR(FIND('112'!$M$9,G862,1)),"",IF((AND(FIND('112'!$M$9,G862,1)&gt;=1,$B862&gt;='112'!$N$8,$B862&lt;='112'!$O$8,OR($L862='112'!$I$6,$M862='112'!$I$6))),"x",""))</f>
        <v/>
      </c>
      <c r="S862" s="39" t="str">
        <f>IF(ISERROR(FIND('112'!$M$9,G862,1)),"",IF((AND(LEFT(G862,2)=LEFT('112'!$M$9,2),B862&lt;'112'!$N$8,$L862='112'!$I$6)),"x",""))</f>
        <v/>
      </c>
      <c r="T862" s="39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39" t="str">
        <f>IF(OR(TH!L862=TH!$V$7,M862=TH!$V$7),"x","")</f>
        <v/>
      </c>
      <c r="W862" s="39" t="str">
        <f>IF(AND(B862&gt;='IN-NX'!$P$3,B862&lt;='IN-NX'!$Q$3,'IN-NX'!$D$7=D862,OR(LEFT(L862,2)="15",AND(LEFT(M862,2)&lt;&gt;"15",LEFT(M862,2)&lt;&gt;"33"))),"x","")</f>
        <v/>
      </c>
      <c r="X862" s="39" t="str">
        <f>IF(AND(OR(LEFT(TH!L862,2)="15",LEFT(TH!M862,2)="15"),'152-CT'!$J$8=TH!F862),"x","")</f>
        <v/>
      </c>
      <c r="Y862" s="39" t="str">
        <f>IF(AND(OR(LEFT(TH!L862,2)="15",LEFT(TH!M862,2)="15"),TK!$E$7=TH!F862),"x","")</f>
        <v/>
      </c>
      <c r="Z862" s="39" t="str">
        <f>IF(AND(B862&lt;=NKC!$N$8,B862&gt;=NKC!$M$8),"x","")</f>
        <v/>
      </c>
      <c r="AA862" s="894"/>
    </row>
    <row r="863" spans="1:27" ht="15.75" customHeight="1">
      <c r="A863" s="199" t="str">
        <f>IF(B863&lt;&gt;"",IF(AND(B863&gt;=_TM1,B863&lt;=_TM2,OR(TH!L863="1111",TH!M863="1111")),TH!D863,""),"")</f>
        <v/>
      </c>
      <c r="B863" s="36" t="str">
        <f t="shared" si="39"/>
        <v/>
      </c>
      <c r="C863" s="190"/>
      <c r="D863" s="190"/>
      <c r="E863" s="183"/>
      <c r="F863" s="188"/>
      <c r="G863" s="491"/>
      <c r="H863" s="7"/>
      <c r="I863" s="253"/>
      <c r="J863" s="253"/>
      <c r="K863" s="606"/>
      <c r="L863" s="39"/>
      <c r="M863" s="39"/>
      <c r="N863" s="39" t="str">
        <f>IF(AND('331-CT'!$E$7=TH!H863,OR(L863="331",M863="331")),"331",IF(AND(OR(L863="131",M863="131"),H863='131-CT'!$E$7),"131",""))</f>
        <v/>
      </c>
      <c r="O863" s="39" t="str">
        <f>IF(AND($B863&gt;='111'!$N$11,$B863&lt;='111'!$O$11,OR($L863=$O$7,$M863=$O$7)),"x","")</f>
        <v/>
      </c>
      <c r="P863" s="39" t="str">
        <f>IF(AND($L863=$O$7,$B863&lt;'111'!$N$11),"x","")</f>
        <v/>
      </c>
      <c r="Q863" s="39" t="str">
        <f>IF(AND($M863=$O$7,$B863&lt;'111'!$N$11),"x","")</f>
        <v/>
      </c>
      <c r="R863" s="39" t="str">
        <f>IF(ISERROR(FIND('112'!$M$9,G863,1)),"",IF((AND(FIND('112'!$M$9,G863,1)&gt;=1,$B863&gt;='112'!$N$8,$B863&lt;='112'!$O$8,OR($L863='112'!$I$6,$M863='112'!$I$6))),"x",""))</f>
        <v/>
      </c>
      <c r="S863" s="39" t="str">
        <f>IF(ISERROR(FIND('112'!$M$9,G863,1)),"",IF((AND(LEFT(G863,2)=LEFT('112'!$M$9,2),B863&lt;'112'!$N$8,$L863='112'!$I$6)),"x",""))</f>
        <v/>
      </c>
      <c r="T863" s="39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39" t="str">
        <f>IF(OR(TH!L863=TH!$V$7,M863=TH!$V$7),"x","")</f>
        <v/>
      </c>
      <c r="W863" s="39" t="str">
        <f>IF(AND(B863&gt;='IN-NX'!$P$3,B863&lt;='IN-NX'!$Q$3,'IN-NX'!$D$7=D863,OR(LEFT(L863,2)="15",AND(LEFT(M863,2)&lt;&gt;"15",LEFT(M863,2)&lt;&gt;"33"))),"x","")</f>
        <v/>
      </c>
      <c r="X863" s="39" t="str">
        <f>IF(AND(OR(LEFT(TH!L863,2)="15",LEFT(TH!M863,2)="15"),'152-CT'!$J$8=TH!F863),"x","")</f>
        <v/>
      </c>
      <c r="Y863" s="39" t="str">
        <f>IF(AND(OR(LEFT(TH!L863,2)="15",LEFT(TH!M863,2)="15"),TK!$E$7=TH!F863),"x","")</f>
        <v/>
      </c>
      <c r="Z863" s="39" t="str">
        <f>IF(AND(B863&lt;=NKC!$N$8,B863&gt;=NKC!$M$8),"x","")</f>
        <v/>
      </c>
      <c r="AA863" s="894"/>
    </row>
    <row r="864" spans="1:27" ht="15.75" customHeight="1">
      <c r="A864" s="199" t="str">
        <f>IF(B864&lt;&gt;"",IF(AND(B864&gt;=_TM1,B864&lt;=_TM2,OR(TH!L864="1111",TH!M864="1111")),TH!D864,""),"")</f>
        <v/>
      </c>
      <c r="B864" s="36" t="str">
        <f t="shared" si="39"/>
        <v/>
      </c>
      <c r="C864" s="190"/>
      <c r="D864" s="190"/>
      <c r="E864" s="183"/>
      <c r="F864" s="191"/>
      <c r="G864" s="491"/>
      <c r="H864" s="7"/>
      <c r="I864" s="253"/>
      <c r="J864" s="253"/>
      <c r="K864" s="606"/>
      <c r="L864" s="39"/>
      <c r="M864" s="39"/>
      <c r="N864" s="39" t="str">
        <f>IF(AND('331-CT'!$E$7=TH!H864,OR(L864="331",M864="331")),"331",IF(AND(OR(L864="131",M864="131"),H864='131-CT'!$E$7),"131",""))</f>
        <v/>
      </c>
      <c r="O864" s="39" t="str">
        <f>IF(AND($B864&gt;='111'!$N$11,$B864&lt;='111'!$O$11,OR($L864=$O$7,$M864=$O$7)),"x","")</f>
        <v/>
      </c>
      <c r="P864" s="39" t="str">
        <f>IF(AND($L864=$O$7,$B864&lt;'111'!$N$11),"x","")</f>
        <v/>
      </c>
      <c r="Q864" s="39" t="str">
        <f>IF(AND($M864=$O$7,$B864&lt;'111'!$N$11),"x","")</f>
        <v/>
      </c>
      <c r="R864" s="39" t="str">
        <f>IF(ISERROR(FIND('112'!$M$9,G864,1)),"",IF((AND(FIND('112'!$M$9,G864,1)&gt;=1,$B864&gt;='112'!$N$8,$B864&lt;='112'!$O$8,OR($L864='112'!$I$6,$M864='112'!$I$6))),"x",""))</f>
        <v/>
      </c>
      <c r="S864" s="39" t="str">
        <f>IF(ISERROR(FIND('112'!$M$9,G864,1)),"",IF((AND(LEFT(G864,2)=LEFT('112'!$M$9,2),B864&lt;'112'!$N$8,$L864='112'!$I$6)),"x",""))</f>
        <v/>
      </c>
      <c r="T864" s="39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39" t="str">
        <f>IF(OR(TH!L864=TH!$V$7,M864=TH!$V$7),"x","")</f>
        <v/>
      </c>
      <c r="W864" s="39" t="str">
        <f>IF(AND(B864&gt;='IN-NX'!$P$3,B864&lt;='IN-NX'!$Q$3,'IN-NX'!$D$7=D864,OR(LEFT(L864,2)="15",AND(LEFT(M864,2)&lt;&gt;"15",LEFT(M864,2)&lt;&gt;"33"))),"x","")</f>
        <v/>
      </c>
      <c r="X864" s="39" t="str">
        <f>IF(AND(OR(LEFT(TH!L864,2)="15",LEFT(TH!M864,2)="15"),'152-CT'!$J$8=TH!F864),"x","")</f>
        <v/>
      </c>
      <c r="Y864" s="39" t="str">
        <f>IF(AND(OR(LEFT(TH!L864,2)="15",LEFT(TH!M864,2)="15"),TK!$E$7=TH!F864),"x","")</f>
        <v/>
      </c>
      <c r="Z864" s="39" t="str">
        <f>IF(AND(B864&lt;=NKC!$N$8,B864&gt;=NKC!$M$8),"x","")</f>
        <v/>
      </c>
      <c r="AA864" s="894"/>
    </row>
    <row r="865" spans="1:27" ht="15.75" customHeight="1">
      <c r="A865" s="199" t="str">
        <f>IF(B865&lt;&gt;"",IF(AND(B865&gt;=_TM1,B865&lt;=_TM2,OR(TH!L865="1111",TH!M865="1111")),TH!D865,""),"")</f>
        <v/>
      </c>
      <c r="B865" s="36" t="str">
        <f t="shared" si="39"/>
        <v/>
      </c>
      <c r="C865" s="190"/>
      <c r="D865" s="190"/>
      <c r="E865" s="183"/>
      <c r="F865" s="188"/>
      <c r="G865" s="491"/>
      <c r="H865" s="7"/>
      <c r="I865" s="253"/>
      <c r="J865" s="253"/>
      <c r="K865" s="606"/>
      <c r="L865" s="39"/>
      <c r="M865" s="39"/>
      <c r="N865" s="39" t="str">
        <f>IF(AND('331-CT'!$E$7=TH!H865,OR(L865="331",M865="331")),"331",IF(AND(OR(L865="131",M865="131"),H865='131-CT'!$E$7),"131",""))</f>
        <v/>
      </c>
      <c r="O865" s="39" t="str">
        <f>IF(AND($B865&gt;='111'!$N$11,$B865&lt;='111'!$O$11,OR($L865=$O$7,$M865=$O$7)),"x","")</f>
        <v/>
      </c>
      <c r="P865" s="39" t="str">
        <f>IF(AND($L865=$O$7,$B865&lt;'111'!$N$11),"x","")</f>
        <v/>
      </c>
      <c r="Q865" s="39" t="str">
        <f>IF(AND($M865=$O$7,$B865&lt;'111'!$N$11),"x","")</f>
        <v/>
      </c>
      <c r="R865" s="39" t="str">
        <f>IF(ISERROR(FIND('112'!$M$9,G865,1)),"",IF((AND(FIND('112'!$M$9,G865,1)&gt;=1,$B865&gt;='112'!$N$8,$B865&lt;='112'!$O$8,OR($L865='112'!$I$6,$M865='112'!$I$6))),"x",""))</f>
        <v/>
      </c>
      <c r="S865" s="39" t="str">
        <f>IF(ISERROR(FIND('112'!$M$9,G865,1)),"",IF((AND(LEFT(G865,2)=LEFT('112'!$M$9,2),B865&lt;'112'!$N$8,$L865='112'!$I$6)),"x",""))</f>
        <v/>
      </c>
      <c r="T865" s="39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39" t="str">
        <f>IF(OR(TH!L865=TH!$V$7,M865=TH!$V$7),"x","")</f>
        <v/>
      </c>
      <c r="W865" s="39" t="str">
        <f>IF(AND(B865&gt;='IN-NX'!$P$3,B865&lt;='IN-NX'!$Q$3,'IN-NX'!$D$7=D865,OR(LEFT(L865,2)="15",AND(LEFT(M865,2)&lt;&gt;"15",LEFT(M865,2)&lt;&gt;"33"))),"x","")</f>
        <v/>
      </c>
      <c r="X865" s="39" t="str">
        <f>IF(AND(OR(LEFT(TH!L865,2)="15",LEFT(TH!M865,2)="15"),'152-CT'!$J$8=TH!F865),"x","")</f>
        <v/>
      </c>
      <c r="Y865" s="39" t="str">
        <f>IF(AND(OR(LEFT(TH!L865,2)="15",LEFT(TH!M865,2)="15"),TK!$E$7=TH!F865),"x","")</f>
        <v/>
      </c>
      <c r="Z865" s="39" t="str">
        <f>IF(AND(B865&lt;=NKC!$N$8,B865&gt;=NKC!$M$8),"x","")</f>
        <v/>
      </c>
      <c r="AA865" s="894"/>
    </row>
    <row r="866" spans="1:27" ht="15.75" customHeight="1">
      <c r="A866" s="199" t="str">
        <f>IF(B866&lt;&gt;"",IF(AND(B866&gt;=_TM1,B866&lt;=_TM2,OR(TH!L866="1111",TH!M866="1111")),TH!D866,""),"")</f>
        <v/>
      </c>
      <c r="B866" s="36" t="str">
        <f t="shared" si="39"/>
        <v/>
      </c>
      <c r="C866" s="190"/>
      <c r="D866" s="190"/>
      <c r="E866" s="183"/>
      <c r="F866" s="188"/>
      <c r="G866" s="491"/>
      <c r="H866" s="7"/>
      <c r="I866" s="253"/>
      <c r="J866" s="253"/>
      <c r="K866" s="606"/>
      <c r="L866" s="39"/>
      <c r="M866" s="39"/>
      <c r="N866" s="39" t="str">
        <f>IF(AND('331-CT'!$E$7=TH!H866,OR(L866="331",M866="331")),"331",IF(AND(OR(L866="131",M866="131"),H866='131-CT'!$E$7),"131",""))</f>
        <v/>
      </c>
      <c r="O866" s="39" t="str">
        <f>IF(AND($B866&gt;='111'!$N$11,$B866&lt;='111'!$O$11,OR($L866=$O$7,$M866=$O$7)),"x","")</f>
        <v/>
      </c>
      <c r="P866" s="39" t="str">
        <f>IF(AND($L866=$O$7,$B866&lt;'111'!$N$11),"x","")</f>
        <v/>
      </c>
      <c r="Q866" s="39" t="str">
        <f>IF(AND($M866=$O$7,$B866&lt;'111'!$N$11),"x","")</f>
        <v/>
      </c>
      <c r="R866" s="39" t="str">
        <f>IF(ISERROR(FIND('112'!$M$9,G866,1)),"",IF((AND(FIND('112'!$M$9,G866,1)&gt;=1,$B866&gt;='112'!$N$8,$B866&lt;='112'!$O$8,OR($L866='112'!$I$6,$M866='112'!$I$6))),"x",""))</f>
        <v/>
      </c>
      <c r="S866" s="39" t="str">
        <f>IF(ISERROR(FIND('112'!$M$9,G866,1)),"",IF((AND(LEFT(G866,2)=LEFT('112'!$M$9,2),B866&lt;'112'!$N$8,$L866='112'!$I$6)),"x",""))</f>
        <v/>
      </c>
      <c r="T866" s="39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39" t="str">
        <f>IF(OR(TH!L866=TH!$V$7,M866=TH!$V$7),"x","")</f>
        <v/>
      </c>
      <c r="W866" s="39" t="str">
        <f>IF(AND(B866&gt;='IN-NX'!$P$3,B866&lt;='IN-NX'!$Q$3,'IN-NX'!$D$7=D866,OR(LEFT(L866,2)="15",AND(LEFT(M866,2)&lt;&gt;"15",LEFT(M866,2)&lt;&gt;"33"))),"x","")</f>
        <v/>
      </c>
      <c r="X866" s="39" t="str">
        <f>IF(AND(OR(LEFT(TH!L866,2)="15",LEFT(TH!M866,2)="15"),'152-CT'!$J$8=TH!F866),"x","")</f>
        <v/>
      </c>
      <c r="Y866" s="39" t="str">
        <f>IF(AND(OR(LEFT(TH!L866,2)="15",LEFT(TH!M866,2)="15"),TK!$E$7=TH!F866),"x","")</f>
        <v/>
      </c>
      <c r="Z866" s="39" t="str">
        <f>IF(AND(B866&lt;=NKC!$N$8,B866&gt;=NKC!$M$8),"x","")</f>
        <v/>
      </c>
      <c r="AA866" s="894"/>
    </row>
    <row r="867" spans="1:27" ht="15.75" customHeight="1">
      <c r="A867" s="199" t="str">
        <f>IF(B867&lt;&gt;"",IF(AND(B867&gt;=_TM1,B867&lt;=_TM2,OR(TH!L867="1111",TH!M867="1111")),TH!D867,""),"")</f>
        <v/>
      </c>
      <c r="B867" s="36" t="str">
        <f t="shared" si="39"/>
        <v/>
      </c>
      <c r="C867" s="190"/>
      <c r="D867" s="190"/>
      <c r="E867" s="183"/>
      <c r="F867" s="188"/>
      <c r="G867" s="491"/>
      <c r="H867" s="7"/>
      <c r="I867" s="253"/>
      <c r="J867" s="253"/>
      <c r="K867" s="606"/>
      <c r="L867" s="39"/>
      <c r="M867" s="39"/>
      <c r="N867" s="39" t="str">
        <f>IF(AND('331-CT'!$E$7=TH!H867,OR(L867="331",M867="331")),"331",IF(AND(OR(L867="131",M867="131"),H867='131-CT'!$E$7),"131",""))</f>
        <v/>
      </c>
      <c r="O867" s="39" t="str">
        <f>IF(AND($B867&gt;='111'!$N$11,$B867&lt;='111'!$O$11,OR($L867=$O$7,$M867=$O$7)),"x","")</f>
        <v/>
      </c>
      <c r="P867" s="39" t="str">
        <f>IF(AND($L867=$O$7,$B867&lt;'111'!$N$11),"x","")</f>
        <v/>
      </c>
      <c r="Q867" s="39" t="str">
        <f>IF(AND($M867=$O$7,$B867&lt;'111'!$N$11),"x","")</f>
        <v/>
      </c>
      <c r="R867" s="39" t="str">
        <f>IF(ISERROR(FIND('112'!$M$9,G867,1)),"",IF((AND(FIND('112'!$M$9,G867,1)&gt;=1,$B867&gt;='112'!$N$8,$B867&lt;='112'!$O$8,OR($L867='112'!$I$6,$M867='112'!$I$6))),"x",""))</f>
        <v/>
      </c>
      <c r="S867" s="39" t="str">
        <f>IF(ISERROR(FIND('112'!$M$9,G867,1)),"",IF((AND(LEFT(G867,2)=LEFT('112'!$M$9,2),B867&lt;'112'!$N$8,$L867='112'!$I$6)),"x",""))</f>
        <v/>
      </c>
      <c r="T867" s="39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39" t="str">
        <f>IF(OR(TH!L867=TH!$V$7,M867=TH!$V$7),"x","")</f>
        <v/>
      </c>
      <c r="W867" s="39" t="str">
        <f>IF(AND(B867&gt;='IN-NX'!$P$3,B867&lt;='IN-NX'!$Q$3,'IN-NX'!$D$7=D867,OR(LEFT(L867,2)="15",AND(LEFT(M867,2)&lt;&gt;"15",LEFT(M867,2)&lt;&gt;"33"))),"x","")</f>
        <v/>
      </c>
      <c r="X867" s="39" t="str">
        <f>IF(AND(OR(LEFT(TH!L867,2)="15",LEFT(TH!M867,2)="15"),'152-CT'!$J$8=TH!F867),"x","")</f>
        <v/>
      </c>
      <c r="Y867" s="39" t="str">
        <f>IF(AND(OR(LEFT(TH!L867,2)="15",LEFT(TH!M867,2)="15"),TK!$E$7=TH!F867),"x","")</f>
        <v/>
      </c>
      <c r="Z867" s="39" t="str">
        <f>IF(AND(B867&lt;=NKC!$N$8,B867&gt;=NKC!$M$8),"x","")</f>
        <v/>
      </c>
      <c r="AA867" s="894"/>
    </row>
    <row r="868" spans="1:27" ht="15.75" customHeight="1">
      <c r="A868" s="199" t="str">
        <f>IF(B868&lt;&gt;"",IF(AND(B868&gt;=_TM1,B868&lt;=_TM2,OR(TH!L868="1111",TH!M868="1111")),TH!D868,""),"")</f>
        <v/>
      </c>
      <c r="B868" s="36" t="str">
        <f t="shared" si="39"/>
        <v/>
      </c>
      <c r="C868" s="190"/>
      <c r="D868" s="190"/>
      <c r="E868" s="183"/>
      <c r="F868" s="188"/>
      <c r="G868" s="491"/>
      <c r="H868" s="7"/>
      <c r="I868" s="253"/>
      <c r="J868" s="253"/>
      <c r="K868" s="606"/>
      <c r="L868" s="39"/>
      <c r="M868" s="39"/>
      <c r="N868" s="39" t="str">
        <f>IF(AND('331-CT'!$E$7=TH!H868,OR(L868="331",M868="331")),"331",IF(AND(OR(L868="131",M868="131"),H868='131-CT'!$E$7),"131",""))</f>
        <v/>
      </c>
      <c r="O868" s="39" t="str">
        <f>IF(AND($B868&gt;='111'!$N$11,$B868&lt;='111'!$O$11,OR($L868=$O$7,$M868=$O$7)),"x","")</f>
        <v/>
      </c>
      <c r="P868" s="39" t="str">
        <f>IF(AND($L868=$O$7,$B868&lt;'111'!$N$11),"x","")</f>
        <v/>
      </c>
      <c r="Q868" s="39" t="str">
        <f>IF(AND($M868=$O$7,$B868&lt;'111'!$N$11),"x","")</f>
        <v/>
      </c>
      <c r="R868" s="39" t="str">
        <f>IF(ISERROR(FIND('112'!$M$9,G868,1)),"",IF((AND(FIND('112'!$M$9,G868,1)&gt;=1,$B868&gt;='112'!$N$8,$B868&lt;='112'!$O$8,OR($L868='112'!$I$6,$M868='112'!$I$6))),"x",""))</f>
        <v/>
      </c>
      <c r="S868" s="39" t="str">
        <f>IF(ISERROR(FIND('112'!$M$9,G868,1)),"",IF((AND(LEFT(G868,2)=LEFT('112'!$M$9,2),B868&lt;'112'!$N$8,$L868='112'!$I$6)),"x",""))</f>
        <v/>
      </c>
      <c r="T868" s="39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39" t="str">
        <f>IF(OR(TH!L868=TH!$V$7,M868=TH!$V$7),"x","")</f>
        <v/>
      </c>
      <c r="W868" s="39" t="str">
        <f>IF(AND(B868&gt;='IN-NX'!$P$3,B868&lt;='IN-NX'!$Q$3,'IN-NX'!$D$7=D868,OR(LEFT(L868,2)="15",AND(LEFT(M868,2)&lt;&gt;"15",LEFT(M868,2)&lt;&gt;"33"))),"x","")</f>
        <v/>
      </c>
      <c r="X868" s="39" t="str">
        <f>IF(AND(OR(LEFT(TH!L868,2)="15",LEFT(TH!M868,2)="15"),'152-CT'!$J$8=TH!F868),"x","")</f>
        <v/>
      </c>
      <c r="Y868" s="39" t="str">
        <f>IF(AND(OR(LEFT(TH!L868,2)="15",LEFT(TH!M868,2)="15"),TK!$E$7=TH!F868),"x","")</f>
        <v/>
      </c>
      <c r="Z868" s="39" t="str">
        <f>IF(AND(B868&lt;=NKC!$N$8,B868&gt;=NKC!$M$8),"x","")</f>
        <v/>
      </c>
      <c r="AA868" s="894"/>
    </row>
    <row r="869" spans="1:27" ht="15.75" customHeight="1">
      <c r="A869" s="199" t="str">
        <f>IF(B869&lt;&gt;"",IF(AND(B869&gt;=_TM1,B869&lt;=_TM2,OR(TH!L869="1111",TH!M869="1111")),TH!D869,""),"")</f>
        <v/>
      </c>
      <c r="B869" s="36" t="str">
        <f t="shared" si="39"/>
        <v/>
      </c>
      <c r="C869" s="190"/>
      <c r="D869" s="190"/>
      <c r="E869" s="183"/>
      <c r="F869" s="191"/>
      <c r="G869" s="491"/>
      <c r="H869" s="7"/>
      <c r="I869" s="253"/>
      <c r="J869" s="253"/>
      <c r="K869" s="606"/>
      <c r="L869" s="39"/>
      <c r="M869" s="39"/>
      <c r="N869" s="39" t="str">
        <f>IF(AND('331-CT'!$E$7=TH!H869,OR(L869="331",M869="331")),"331",IF(AND(OR(L869="131",M869="131"),H869='131-CT'!$E$7),"131",""))</f>
        <v/>
      </c>
      <c r="O869" s="39" t="str">
        <f>IF(AND($B869&gt;='111'!$N$11,$B869&lt;='111'!$O$11,OR($L869=$O$7,$M869=$O$7)),"x","")</f>
        <v/>
      </c>
      <c r="P869" s="39" t="str">
        <f>IF(AND($L869=$O$7,$B869&lt;'111'!$N$11),"x","")</f>
        <v/>
      </c>
      <c r="Q869" s="39" t="str">
        <f>IF(AND($M869=$O$7,$B869&lt;'111'!$N$11),"x","")</f>
        <v/>
      </c>
      <c r="R869" s="39" t="str">
        <f>IF(ISERROR(FIND('112'!$M$9,G869,1)),"",IF((AND(FIND('112'!$M$9,G869,1)&gt;=1,$B869&gt;='112'!$N$8,$B869&lt;='112'!$O$8,OR($L869='112'!$I$6,$M869='112'!$I$6))),"x",""))</f>
        <v/>
      </c>
      <c r="S869" s="39" t="str">
        <f>IF(ISERROR(FIND('112'!$M$9,G869,1)),"",IF((AND(LEFT(G869,2)=LEFT('112'!$M$9,2),B869&lt;'112'!$N$8,$L869='112'!$I$6)),"x",""))</f>
        <v/>
      </c>
      <c r="T869" s="39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39" t="str">
        <f>IF(OR(TH!L869=TH!$V$7,M869=TH!$V$7),"x","")</f>
        <v/>
      </c>
      <c r="W869" s="39" t="str">
        <f>IF(AND(B869&gt;='IN-NX'!$P$3,B869&lt;='IN-NX'!$Q$3,'IN-NX'!$D$7=D869,OR(LEFT(L869,2)="15",AND(LEFT(M869,2)&lt;&gt;"15",LEFT(M869,2)&lt;&gt;"33"))),"x","")</f>
        <v/>
      </c>
      <c r="X869" s="39" t="str">
        <f>IF(AND(OR(LEFT(TH!L869,2)="15",LEFT(TH!M869,2)="15"),'152-CT'!$J$8=TH!F869),"x","")</f>
        <v/>
      </c>
      <c r="Y869" s="39" t="str">
        <f>IF(AND(OR(LEFT(TH!L869,2)="15",LEFT(TH!M869,2)="15"),TK!$E$7=TH!F869),"x","")</f>
        <v/>
      </c>
      <c r="Z869" s="39" t="str">
        <f>IF(AND(B869&lt;=NKC!$N$8,B869&gt;=NKC!$M$8),"x","")</f>
        <v/>
      </c>
      <c r="AA869" s="894"/>
    </row>
    <row r="870" spans="1:27" ht="15.75" customHeight="1">
      <c r="A870" s="199" t="str">
        <f>IF(B870&lt;&gt;"",IF(AND(B870&gt;=_TM1,B870&lt;=_TM2,OR(TH!L870="1111",TH!M870="1111")),TH!D870,""),"")</f>
        <v/>
      </c>
      <c r="B870" s="36" t="str">
        <f t="shared" si="39"/>
        <v/>
      </c>
      <c r="C870" s="190"/>
      <c r="D870" s="190"/>
      <c r="E870" s="183"/>
      <c r="F870" s="188"/>
      <c r="G870" s="491"/>
      <c r="H870" s="7"/>
      <c r="I870" s="253"/>
      <c r="J870" s="253"/>
      <c r="K870" s="606"/>
      <c r="L870" s="39"/>
      <c r="M870" s="39"/>
      <c r="N870" s="39" t="str">
        <f>IF(AND('331-CT'!$E$7=TH!H870,OR(L870="331",M870="331")),"331",IF(AND(OR(L870="131",M870="131"),H870='131-CT'!$E$7),"131",""))</f>
        <v/>
      </c>
      <c r="O870" s="39" t="str">
        <f>IF(AND($B870&gt;='111'!$N$11,$B870&lt;='111'!$O$11,OR($L870=$O$7,$M870=$O$7)),"x","")</f>
        <v/>
      </c>
      <c r="P870" s="39" t="str">
        <f>IF(AND($L870=$O$7,$B870&lt;'111'!$N$11),"x","")</f>
        <v/>
      </c>
      <c r="Q870" s="39" t="str">
        <f>IF(AND($M870=$O$7,$B870&lt;'111'!$N$11),"x","")</f>
        <v/>
      </c>
      <c r="R870" s="39" t="str">
        <f>IF(ISERROR(FIND('112'!$M$9,G870,1)),"",IF((AND(FIND('112'!$M$9,G870,1)&gt;=1,$B870&gt;='112'!$N$8,$B870&lt;='112'!$O$8,OR($L870='112'!$I$6,$M870='112'!$I$6))),"x",""))</f>
        <v/>
      </c>
      <c r="S870" s="39" t="str">
        <f>IF(ISERROR(FIND('112'!$M$9,G870,1)),"",IF((AND(LEFT(G870,2)=LEFT('112'!$M$9,2),B870&lt;'112'!$N$8,$L870='112'!$I$6)),"x",""))</f>
        <v/>
      </c>
      <c r="T870" s="39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39" t="str">
        <f>IF(OR(TH!L870=TH!$V$7,M870=TH!$V$7),"x","")</f>
        <v/>
      </c>
      <c r="W870" s="39" t="str">
        <f>IF(AND(B870&gt;='IN-NX'!$P$3,B870&lt;='IN-NX'!$Q$3,'IN-NX'!$D$7=D870,OR(LEFT(L870,2)="15",AND(LEFT(M870,2)&lt;&gt;"15",LEFT(M870,2)&lt;&gt;"33"))),"x","")</f>
        <v/>
      </c>
      <c r="X870" s="39" t="str">
        <f>IF(AND(OR(LEFT(TH!L870,2)="15",LEFT(TH!M870,2)="15"),'152-CT'!$J$8=TH!F870),"x","")</f>
        <v/>
      </c>
      <c r="Y870" s="39" t="str">
        <f>IF(AND(OR(LEFT(TH!L870,2)="15",LEFT(TH!M870,2)="15"),TK!$E$7=TH!F870),"x","")</f>
        <v/>
      </c>
      <c r="Z870" s="39" t="str">
        <f>IF(AND(B870&lt;=NKC!$N$8,B870&gt;=NKC!$M$8),"x","")</f>
        <v/>
      </c>
      <c r="AA870" s="894"/>
    </row>
    <row r="871" spans="1:27" ht="15.75" customHeight="1">
      <c r="A871" s="199" t="str">
        <f>IF(B871&lt;&gt;"",IF(AND(B871&gt;=_TM1,B871&lt;=_TM2,OR(TH!L871="1111",TH!M871="1111")),TH!D871,""),"")</f>
        <v/>
      </c>
      <c r="B871" s="36" t="str">
        <f t="shared" si="39"/>
        <v/>
      </c>
      <c r="C871" s="190"/>
      <c r="D871" s="190"/>
      <c r="E871" s="183"/>
      <c r="F871" s="188"/>
      <c r="G871" s="491"/>
      <c r="H871" s="7"/>
      <c r="I871" s="253"/>
      <c r="J871" s="253"/>
      <c r="K871" s="606"/>
      <c r="L871" s="39"/>
      <c r="M871" s="39"/>
      <c r="N871" s="39" t="str">
        <f>IF(AND('331-CT'!$E$7=TH!H871,OR(L871="331",M871="331")),"331",IF(AND(OR(L871="131",M871="131"),H871='131-CT'!$E$7),"131",""))</f>
        <v/>
      </c>
      <c r="O871" s="39" t="str">
        <f>IF(AND($B871&gt;='111'!$N$11,$B871&lt;='111'!$O$11,OR($L871=$O$7,$M871=$O$7)),"x","")</f>
        <v/>
      </c>
      <c r="P871" s="39" t="str">
        <f>IF(AND($L871=$O$7,$B871&lt;'111'!$N$11),"x","")</f>
        <v/>
      </c>
      <c r="Q871" s="39" t="str">
        <f>IF(AND($M871=$O$7,$B871&lt;'111'!$N$11),"x","")</f>
        <v/>
      </c>
      <c r="R871" s="39" t="str">
        <f>IF(ISERROR(FIND('112'!$M$9,G871,1)),"",IF((AND(FIND('112'!$M$9,G871,1)&gt;=1,$B871&gt;='112'!$N$8,$B871&lt;='112'!$O$8,OR($L871='112'!$I$6,$M871='112'!$I$6))),"x",""))</f>
        <v/>
      </c>
      <c r="S871" s="39" t="str">
        <f>IF(ISERROR(FIND('112'!$M$9,G871,1)),"",IF((AND(LEFT(G871,2)=LEFT('112'!$M$9,2),B871&lt;'112'!$N$8,$L871='112'!$I$6)),"x",""))</f>
        <v/>
      </c>
      <c r="T871" s="39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39" t="str">
        <f>IF(OR(TH!L871=TH!$V$7,M871=TH!$V$7),"x","")</f>
        <v/>
      </c>
      <c r="W871" s="39" t="str">
        <f>IF(AND(B871&gt;='IN-NX'!$P$3,B871&lt;='IN-NX'!$Q$3,'IN-NX'!$D$7=D871,OR(LEFT(L871,2)="15",AND(LEFT(M871,2)&lt;&gt;"15",LEFT(M871,2)&lt;&gt;"33"))),"x","")</f>
        <v/>
      </c>
      <c r="X871" s="39" t="str">
        <f>IF(AND(OR(LEFT(TH!L871,2)="15",LEFT(TH!M871,2)="15"),'152-CT'!$J$8=TH!F871),"x","")</f>
        <v/>
      </c>
      <c r="Y871" s="39" t="str">
        <f>IF(AND(OR(LEFT(TH!L871,2)="15",LEFT(TH!M871,2)="15"),TK!$E$7=TH!F871),"x","")</f>
        <v/>
      </c>
      <c r="Z871" s="39" t="str">
        <f>IF(AND(B871&lt;=NKC!$N$8,B871&gt;=NKC!$M$8),"x","")</f>
        <v/>
      </c>
      <c r="AA871" s="894"/>
    </row>
    <row r="872" spans="1:27" ht="15.75" customHeight="1">
      <c r="A872" s="199" t="str">
        <f>IF(B872&lt;&gt;"",IF(AND(B872&gt;=_TM1,B872&lt;=_TM2,OR(TH!L872="1111",TH!M872="1111")),TH!D872,""),"")</f>
        <v/>
      </c>
      <c r="B872" s="36" t="str">
        <f t="shared" si="39"/>
        <v/>
      </c>
      <c r="C872" s="190"/>
      <c r="D872" s="190"/>
      <c r="E872" s="183"/>
      <c r="F872" s="188"/>
      <c r="G872" s="491"/>
      <c r="H872" s="7"/>
      <c r="I872" s="253"/>
      <c r="J872" s="253"/>
      <c r="K872" s="606"/>
      <c r="L872" s="39"/>
      <c r="M872" s="39"/>
      <c r="N872" s="39" t="str">
        <f>IF(AND('331-CT'!$E$7=TH!H872,OR(L872="331",M872="331")),"331",IF(AND(OR(L872="131",M872="131"),H872='131-CT'!$E$7),"131",""))</f>
        <v/>
      </c>
      <c r="O872" s="39" t="str">
        <f>IF(AND($B872&gt;='111'!$N$11,$B872&lt;='111'!$O$11,OR($L872=$O$7,$M872=$O$7)),"x","")</f>
        <v/>
      </c>
      <c r="P872" s="39" t="str">
        <f>IF(AND($L872=$O$7,$B872&lt;'111'!$N$11),"x","")</f>
        <v/>
      </c>
      <c r="Q872" s="39" t="str">
        <f>IF(AND($M872=$O$7,$B872&lt;'111'!$N$11),"x","")</f>
        <v/>
      </c>
      <c r="R872" s="39" t="str">
        <f>IF(ISERROR(FIND('112'!$M$9,G872,1)),"",IF((AND(FIND('112'!$M$9,G872,1)&gt;=1,$B872&gt;='112'!$N$8,$B872&lt;='112'!$O$8,OR($L872='112'!$I$6,$M872='112'!$I$6))),"x",""))</f>
        <v/>
      </c>
      <c r="S872" s="39" t="str">
        <f>IF(ISERROR(FIND('112'!$M$9,G872,1)),"",IF((AND(LEFT(G872,2)=LEFT('112'!$M$9,2),B872&lt;'112'!$N$8,$L872='112'!$I$6)),"x",""))</f>
        <v/>
      </c>
      <c r="T872" s="39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39" t="str">
        <f>IF(OR(TH!L872=TH!$V$7,M872=TH!$V$7),"x","")</f>
        <v/>
      </c>
      <c r="W872" s="39" t="str">
        <f>IF(AND(B872&gt;='IN-NX'!$P$3,B872&lt;='IN-NX'!$Q$3,'IN-NX'!$D$7=D872,OR(LEFT(L872,2)="15",AND(LEFT(M872,2)&lt;&gt;"15",LEFT(M872,2)&lt;&gt;"33"))),"x","")</f>
        <v/>
      </c>
      <c r="X872" s="39" t="str">
        <f>IF(AND(OR(LEFT(TH!L872,2)="15",LEFT(TH!M872,2)="15"),'152-CT'!$J$8=TH!F872),"x","")</f>
        <v/>
      </c>
      <c r="Y872" s="39" t="str">
        <f>IF(AND(OR(LEFT(TH!L872,2)="15",LEFT(TH!M872,2)="15"),TK!$E$7=TH!F872),"x","")</f>
        <v/>
      </c>
      <c r="Z872" s="39" t="str">
        <f>IF(AND(B872&lt;=NKC!$N$8,B872&gt;=NKC!$M$8),"x","")</f>
        <v/>
      </c>
      <c r="AA872" s="894"/>
    </row>
    <row r="873" spans="1:27" ht="15.75" customHeight="1">
      <c r="A873" s="199" t="str">
        <f>IF(B873&lt;&gt;"",IF(AND(B873&gt;=_TM1,B873&lt;=_TM2,OR(TH!L873="1111",TH!M873="1111")),TH!D873,""),"")</f>
        <v/>
      </c>
      <c r="B873" s="36" t="str">
        <f t="shared" si="39"/>
        <v/>
      </c>
      <c r="C873" s="190"/>
      <c r="D873" s="190"/>
      <c r="E873" s="183"/>
      <c r="F873" s="188"/>
      <c r="G873" s="491"/>
      <c r="H873" s="7"/>
      <c r="I873" s="253"/>
      <c r="J873" s="253"/>
      <c r="K873" s="606"/>
      <c r="L873" s="39"/>
      <c r="M873" s="39"/>
      <c r="N873" s="39" t="str">
        <f>IF(AND('331-CT'!$E$7=TH!H873,OR(L873="331",M873="331")),"331",IF(AND(OR(L873="131",M873="131"),H873='131-CT'!$E$7),"131",""))</f>
        <v/>
      </c>
      <c r="O873" s="39" t="str">
        <f>IF(AND($B873&gt;='111'!$N$11,$B873&lt;='111'!$O$11,OR($L873=$O$7,$M873=$O$7)),"x","")</f>
        <v/>
      </c>
      <c r="P873" s="39" t="str">
        <f>IF(AND($L873=$O$7,$B873&lt;'111'!$N$11),"x","")</f>
        <v/>
      </c>
      <c r="Q873" s="39" t="str">
        <f>IF(AND($M873=$O$7,$B873&lt;'111'!$N$11),"x","")</f>
        <v/>
      </c>
      <c r="R873" s="39" t="str">
        <f>IF(ISERROR(FIND('112'!$M$9,G873,1)),"",IF((AND(FIND('112'!$M$9,G873,1)&gt;=1,$B873&gt;='112'!$N$8,$B873&lt;='112'!$O$8,OR($L873='112'!$I$6,$M873='112'!$I$6))),"x",""))</f>
        <v/>
      </c>
      <c r="S873" s="39" t="str">
        <f>IF(ISERROR(FIND('112'!$M$9,G873,1)),"",IF((AND(LEFT(G873,2)=LEFT('112'!$M$9,2),B873&lt;'112'!$N$8,$L873='112'!$I$6)),"x",""))</f>
        <v/>
      </c>
      <c r="T873" s="39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39" t="str">
        <f>IF(OR(TH!L873=TH!$V$7,M873=TH!$V$7),"x","")</f>
        <v/>
      </c>
      <c r="W873" s="39" t="str">
        <f>IF(AND(B873&gt;='IN-NX'!$P$3,B873&lt;='IN-NX'!$Q$3,'IN-NX'!$D$7=D873,OR(LEFT(L873,2)="15",AND(LEFT(M873,2)&lt;&gt;"15",LEFT(M873,2)&lt;&gt;"33"))),"x","")</f>
        <v/>
      </c>
      <c r="X873" s="39" t="str">
        <f>IF(AND(OR(LEFT(TH!L873,2)="15",LEFT(TH!M873,2)="15"),'152-CT'!$J$8=TH!F873),"x","")</f>
        <v/>
      </c>
      <c r="Y873" s="39" t="str">
        <f>IF(AND(OR(LEFT(TH!L873,2)="15",LEFT(TH!M873,2)="15"),TK!$E$7=TH!F873),"x","")</f>
        <v/>
      </c>
      <c r="Z873" s="39" t="str">
        <f>IF(AND(B873&lt;=NKC!$N$8,B873&gt;=NKC!$M$8),"x","")</f>
        <v/>
      </c>
      <c r="AA873" s="894"/>
    </row>
    <row r="874" spans="1:27" ht="15.75" customHeight="1">
      <c r="A874" s="199" t="str">
        <f>IF(B874&lt;&gt;"",IF(AND(B874&gt;=_TM1,B874&lt;=_TM2,OR(TH!L874="1111",TH!M874="1111")),TH!D874,""),"")</f>
        <v/>
      </c>
      <c r="B874" s="36" t="str">
        <f t="shared" si="39"/>
        <v/>
      </c>
      <c r="C874" s="190"/>
      <c r="D874" s="190"/>
      <c r="E874" s="183"/>
      <c r="F874" s="188"/>
      <c r="G874" s="491"/>
      <c r="H874" s="7"/>
      <c r="I874" s="253"/>
      <c r="J874" s="253"/>
      <c r="K874" s="606"/>
      <c r="L874" s="39"/>
      <c r="M874" s="39"/>
      <c r="N874" s="39" t="str">
        <f>IF(AND('331-CT'!$E$7=TH!H874,OR(L874="331",M874="331")),"331",IF(AND(OR(L874="131",M874="131"),H874='131-CT'!$E$7),"131",""))</f>
        <v/>
      </c>
      <c r="O874" s="39" t="str">
        <f>IF(AND($B874&gt;='111'!$N$11,$B874&lt;='111'!$O$11,OR($L874=$O$7,$M874=$O$7)),"x","")</f>
        <v/>
      </c>
      <c r="P874" s="39" t="str">
        <f>IF(AND($L874=$O$7,$B874&lt;'111'!$N$11),"x","")</f>
        <v/>
      </c>
      <c r="Q874" s="39" t="str">
        <f>IF(AND($M874=$O$7,$B874&lt;'111'!$N$11),"x","")</f>
        <v/>
      </c>
      <c r="R874" s="39" t="str">
        <f>IF(ISERROR(FIND('112'!$M$9,G874,1)),"",IF((AND(FIND('112'!$M$9,G874,1)&gt;=1,$B874&gt;='112'!$N$8,$B874&lt;='112'!$O$8,OR($L874='112'!$I$6,$M874='112'!$I$6))),"x",""))</f>
        <v/>
      </c>
      <c r="S874" s="39" t="str">
        <f>IF(ISERROR(FIND('112'!$M$9,G874,1)),"",IF((AND(LEFT(G874,2)=LEFT('112'!$M$9,2),B874&lt;'112'!$N$8,$L874='112'!$I$6)),"x",""))</f>
        <v/>
      </c>
      <c r="T874" s="39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39" t="str">
        <f>IF(OR(TH!L874=TH!$V$7,M874=TH!$V$7),"x","")</f>
        <v/>
      </c>
      <c r="W874" s="39" t="str">
        <f>IF(AND(B874&gt;='IN-NX'!$P$3,B874&lt;='IN-NX'!$Q$3,'IN-NX'!$D$7=D874,OR(LEFT(L874,2)="15",AND(LEFT(M874,2)&lt;&gt;"15",LEFT(M874,2)&lt;&gt;"33"))),"x","")</f>
        <v/>
      </c>
      <c r="X874" s="39" t="str">
        <f>IF(AND(OR(LEFT(TH!L874,2)="15",LEFT(TH!M874,2)="15"),'152-CT'!$J$8=TH!F874),"x","")</f>
        <v/>
      </c>
      <c r="Y874" s="39" t="str">
        <f>IF(AND(OR(LEFT(TH!L874,2)="15",LEFT(TH!M874,2)="15"),TK!$E$7=TH!F874),"x","")</f>
        <v/>
      </c>
      <c r="Z874" s="39" t="str">
        <f>IF(AND(B874&lt;=NKC!$N$8,B874&gt;=NKC!$M$8),"x","")</f>
        <v/>
      </c>
      <c r="AA874" s="894"/>
    </row>
    <row r="875" spans="1:27" ht="15.75" customHeight="1">
      <c r="A875" s="199" t="str">
        <f>IF(B875&lt;&gt;"",IF(AND(B875&gt;=_TM1,B875&lt;=_TM2,OR(TH!L875="1111",TH!M875="1111")),TH!D875,""),"")</f>
        <v/>
      </c>
      <c r="B875" s="36" t="str">
        <f t="shared" si="39"/>
        <v/>
      </c>
      <c r="C875" s="190"/>
      <c r="D875" s="190"/>
      <c r="E875" s="183"/>
      <c r="F875" s="188"/>
      <c r="G875" s="491"/>
      <c r="H875" s="7"/>
      <c r="I875" s="253"/>
      <c r="J875" s="253"/>
      <c r="K875" s="606"/>
      <c r="L875" s="39"/>
      <c r="M875" s="39"/>
      <c r="N875" s="39" t="str">
        <f>IF(AND('331-CT'!$E$7=TH!H875,OR(L875="331",M875="331")),"331",IF(AND(OR(L875="131",M875="131"),H875='131-CT'!$E$7),"131",""))</f>
        <v/>
      </c>
      <c r="O875" s="39" t="str">
        <f>IF(AND($B875&gt;='111'!$N$11,$B875&lt;='111'!$O$11,OR($L875=$O$7,$M875=$O$7)),"x","")</f>
        <v/>
      </c>
      <c r="P875" s="39" t="str">
        <f>IF(AND($L875=$O$7,$B875&lt;'111'!$N$11),"x","")</f>
        <v/>
      </c>
      <c r="Q875" s="39" t="str">
        <f>IF(AND($M875=$O$7,$B875&lt;'111'!$N$11),"x","")</f>
        <v/>
      </c>
      <c r="R875" s="39" t="str">
        <f>IF(ISERROR(FIND('112'!$M$9,G875,1)),"",IF((AND(FIND('112'!$M$9,G875,1)&gt;=1,$B875&gt;='112'!$N$8,$B875&lt;='112'!$O$8,OR($L875='112'!$I$6,$M875='112'!$I$6))),"x",""))</f>
        <v/>
      </c>
      <c r="S875" s="39" t="str">
        <f>IF(ISERROR(FIND('112'!$M$9,G875,1)),"",IF((AND(LEFT(G875,2)=LEFT('112'!$M$9,2),B875&lt;'112'!$N$8,$L875='112'!$I$6)),"x",""))</f>
        <v/>
      </c>
      <c r="T875" s="39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39" t="str">
        <f>IF(OR(TH!L875=TH!$V$7,M875=TH!$V$7),"x","")</f>
        <v/>
      </c>
      <c r="W875" s="39" t="str">
        <f>IF(AND(B875&gt;='IN-NX'!$P$3,B875&lt;='IN-NX'!$Q$3,'IN-NX'!$D$7=D875,OR(LEFT(L875,2)="15",AND(LEFT(M875,2)&lt;&gt;"15",LEFT(M875,2)&lt;&gt;"33"))),"x","")</f>
        <v/>
      </c>
      <c r="X875" s="39" t="str">
        <f>IF(AND(OR(LEFT(TH!L875,2)="15",LEFT(TH!M875,2)="15"),'152-CT'!$J$8=TH!F875),"x","")</f>
        <v/>
      </c>
      <c r="Y875" s="39" t="str">
        <f>IF(AND(OR(LEFT(TH!L875,2)="15",LEFT(TH!M875,2)="15"),TK!$E$7=TH!F875),"x","")</f>
        <v/>
      </c>
      <c r="Z875" s="39" t="str">
        <f>IF(AND(B875&lt;=NKC!$N$8,B875&gt;=NKC!$M$8),"x","")</f>
        <v/>
      </c>
      <c r="AA875" s="894"/>
    </row>
    <row r="876" spans="1:27" ht="15.75" customHeight="1">
      <c r="A876" s="199" t="str">
        <f>IF(B876&lt;&gt;"",IF(AND(B876&gt;=_TM1,B876&lt;=_TM2,OR(TH!L876="1111",TH!M876="1111")),TH!D876,""),"")</f>
        <v/>
      </c>
      <c r="B876" s="36" t="str">
        <f t="shared" si="39"/>
        <v/>
      </c>
      <c r="C876" s="190"/>
      <c r="D876" s="190"/>
      <c r="E876" s="183"/>
      <c r="F876" s="188"/>
      <c r="G876" s="491"/>
      <c r="H876" s="7"/>
      <c r="I876" s="253"/>
      <c r="J876" s="253"/>
      <c r="K876" s="606"/>
      <c r="L876" s="39"/>
      <c r="M876" s="39"/>
      <c r="N876" s="39" t="str">
        <f>IF(AND('331-CT'!$E$7=TH!H876,OR(L876="331",M876="331")),"331",IF(AND(OR(L876="131",M876="131"),H876='131-CT'!$E$7),"131",""))</f>
        <v/>
      </c>
      <c r="O876" s="39" t="str">
        <f>IF(AND($B876&gt;='111'!$N$11,$B876&lt;='111'!$O$11,OR($L876=$O$7,$M876=$O$7)),"x","")</f>
        <v/>
      </c>
      <c r="P876" s="39" t="str">
        <f>IF(AND($L876=$O$7,$B876&lt;'111'!$N$11),"x","")</f>
        <v/>
      </c>
      <c r="Q876" s="39" t="str">
        <f>IF(AND($M876=$O$7,$B876&lt;'111'!$N$11),"x","")</f>
        <v/>
      </c>
      <c r="R876" s="39" t="str">
        <f>IF(ISERROR(FIND('112'!$M$9,G876,1)),"",IF((AND(FIND('112'!$M$9,G876,1)&gt;=1,$B876&gt;='112'!$N$8,$B876&lt;='112'!$O$8,OR($L876='112'!$I$6,$M876='112'!$I$6))),"x",""))</f>
        <v/>
      </c>
      <c r="S876" s="39" t="str">
        <f>IF(ISERROR(FIND('112'!$M$9,G876,1)),"",IF((AND(LEFT(G876,2)=LEFT('112'!$M$9,2),B876&lt;'112'!$N$8,$L876='112'!$I$6)),"x",""))</f>
        <v/>
      </c>
      <c r="T876" s="39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39" t="str">
        <f>IF(OR(TH!L876=TH!$V$7,M876=TH!$V$7),"x","")</f>
        <v/>
      </c>
      <c r="W876" s="39" t="str">
        <f>IF(AND(B876&gt;='IN-NX'!$P$3,B876&lt;='IN-NX'!$Q$3,'IN-NX'!$D$7=D876,OR(LEFT(L876,2)="15",AND(LEFT(M876,2)&lt;&gt;"15",LEFT(M876,2)&lt;&gt;"33"))),"x","")</f>
        <v/>
      </c>
      <c r="X876" s="39" t="str">
        <f>IF(AND(OR(LEFT(TH!L876,2)="15",LEFT(TH!M876,2)="15"),'152-CT'!$J$8=TH!F876),"x","")</f>
        <v/>
      </c>
      <c r="Y876" s="39" t="str">
        <f>IF(AND(OR(LEFT(TH!L876,2)="15",LEFT(TH!M876,2)="15"),TK!$E$7=TH!F876),"x","")</f>
        <v/>
      </c>
      <c r="Z876" s="39" t="str">
        <f>IF(AND(B876&lt;=NKC!$N$8,B876&gt;=NKC!$M$8),"x","")</f>
        <v/>
      </c>
      <c r="AA876" s="894"/>
    </row>
    <row r="877" spans="1:27" ht="15.75" customHeight="1">
      <c r="A877" s="199" t="str">
        <f>IF(B877&lt;&gt;"",IF(AND(B877&gt;=_TM1,B877&lt;=_TM2,OR(TH!L877="1111",TH!M877="1111")),TH!D877,""),"")</f>
        <v/>
      </c>
      <c r="B877" s="36" t="str">
        <f t="shared" si="39"/>
        <v/>
      </c>
      <c r="C877" s="190"/>
      <c r="D877" s="190"/>
      <c r="E877" s="183"/>
      <c r="F877" s="188"/>
      <c r="G877" s="491"/>
      <c r="H877" s="7"/>
      <c r="I877" s="253"/>
      <c r="J877" s="253"/>
      <c r="K877" s="606"/>
      <c r="L877" s="39"/>
      <c r="M877" s="39"/>
      <c r="N877" s="39" t="str">
        <f>IF(AND('331-CT'!$E$7=TH!H877,OR(L877="331",M877="331")),"331",IF(AND(OR(L877="131",M877="131"),H877='131-CT'!$E$7),"131",""))</f>
        <v/>
      </c>
      <c r="O877" s="39" t="str">
        <f>IF(AND($B877&gt;='111'!$N$11,$B877&lt;='111'!$O$11,OR($L877=$O$7,$M877=$O$7)),"x","")</f>
        <v/>
      </c>
      <c r="P877" s="39" t="str">
        <f>IF(AND($L877=$O$7,$B877&lt;'111'!$N$11),"x","")</f>
        <v/>
      </c>
      <c r="Q877" s="39" t="str">
        <f>IF(AND($M877=$O$7,$B877&lt;'111'!$N$11),"x","")</f>
        <v/>
      </c>
      <c r="R877" s="39" t="str">
        <f>IF(ISERROR(FIND('112'!$M$9,G877,1)),"",IF((AND(FIND('112'!$M$9,G877,1)&gt;=1,$B877&gt;='112'!$N$8,$B877&lt;='112'!$O$8,OR($L877='112'!$I$6,$M877='112'!$I$6))),"x",""))</f>
        <v/>
      </c>
      <c r="S877" s="39" t="str">
        <f>IF(ISERROR(FIND('112'!$M$9,G877,1)),"",IF((AND(LEFT(G877,2)=LEFT('112'!$M$9,2),B877&lt;'112'!$N$8,$L877='112'!$I$6)),"x",""))</f>
        <v/>
      </c>
      <c r="T877" s="39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39" t="str">
        <f>IF(OR(TH!L877=TH!$V$7,M877=TH!$V$7),"x","")</f>
        <v/>
      </c>
      <c r="W877" s="39" t="str">
        <f>IF(AND(B877&gt;='IN-NX'!$P$3,B877&lt;='IN-NX'!$Q$3,'IN-NX'!$D$7=D877,OR(LEFT(L877,2)="15",AND(LEFT(M877,2)&lt;&gt;"15",LEFT(M877,2)&lt;&gt;"33"))),"x","")</f>
        <v/>
      </c>
      <c r="X877" s="39" t="str">
        <f>IF(AND(OR(LEFT(TH!L877,2)="15",LEFT(TH!M877,2)="15"),'152-CT'!$J$8=TH!F877),"x","")</f>
        <v/>
      </c>
      <c r="Y877" s="39" t="str">
        <f>IF(AND(OR(LEFT(TH!L877,2)="15",LEFT(TH!M877,2)="15"),TK!$E$7=TH!F877),"x","")</f>
        <v/>
      </c>
      <c r="Z877" s="39" t="str">
        <f>IF(AND(B877&lt;=NKC!$N$8,B877&gt;=NKC!$M$8),"x","")</f>
        <v/>
      </c>
      <c r="AA877" s="894"/>
    </row>
    <row r="878" spans="1:27" ht="15.75" customHeight="1">
      <c r="A878" s="199" t="str">
        <f>IF(B878&lt;&gt;"",IF(AND(B878&gt;=_TM1,B878&lt;=_TM2,OR(TH!L878="1111",TH!M878="1111")),TH!D878,""),"")</f>
        <v/>
      </c>
      <c r="B878" s="36" t="str">
        <f t="shared" si="39"/>
        <v/>
      </c>
      <c r="C878" s="190"/>
      <c r="D878" s="190"/>
      <c r="E878" s="183"/>
      <c r="F878" s="188"/>
      <c r="G878" s="491"/>
      <c r="H878" s="7"/>
      <c r="I878" s="253"/>
      <c r="J878" s="253"/>
      <c r="K878" s="606"/>
      <c r="L878" s="39"/>
      <c r="M878" s="39"/>
      <c r="N878" s="39" t="str">
        <f>IF(AND('331-CT'!$E$7=TH!H878,OR(L878="331",M878="331")),"331",IF(AND(OR(L878="131",M878="131"),H878='131-CT'!$E$7),"131",""))</f>
        <v/>
      </c>
      <c r="O878" s="39" t="str">
        <f>IF(AND($B878&gt;='111'!$N$11,$B878&lt;='111'!$O$11,OR($L878=$O$7,$M878=$O$7)),"x","")</f>
        <v/>
      </c>
      <c r="P878" s="39" t="str">
        <f>IF(AND($L878=$O$7,$B878&lt;'111'!$N$11),"x","")</f>
        <v/>
      </c>
      <c r="Q878" s="39" t="str">
        <f>IF(AND($M878=$O$7,$B878&lt;'111'!$N$11),"x","")</f>
        <v/>
      </c>
      <c r="R878" s="39" t="str">
        <f>IF(ISERROR(FIND('112'!$M$9,G878,1)),"",IF((AND(FIND('112'!$M$9,G878,1)&gt;=1,$B878&gt;='112'!$N$8,$B878&lt;='112'!$O$8,OR($L878='112'!$I$6,$M878='112'!$I$6))),"x",""))</f>
        <v/>
      </c>
      <c r="S878" s="39" t="str">
        <f>IF(ISERROR(FIND('112'!$M$9,G878,1)),"",IF((AND(LEFT(G878,2)=LEFT('112'!$M$9,2),B878&lt;'112'!$N$8,$L878='112'!$I$6)),"x",""))</f>
        <v/>
      </c>
      <c r="T878" s="39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39" t="str">
        <f>IF(OR(TH!L878=TH!$V$7,M878=TH!$V$7),"x","")</f>
        <v/>
      </c>
      <c r="W878" s="39" t="str">
        <f>IF(AND(B878&gt;='IN-NX'!$P$3,B878&lt;='IN-NX'!$Q$3,'IN-NX'!$D$7=D878,OR(LEFT(L878,2)="15",AND(LEFT(M878,2)&lt;&gt;"15",LEFT(M878,2)&lt;&gt;"33"))),"x","")</f>
        <v/>
      </c>
      <c r="X878" s="39" t="str">
        <f>IF(AND(OR(LEFT(TH!L878,2)="15",LEFT(TH!M878,2)="15"),'152-CT'!$J$8=TH!F878),"x","")</f>
        <v/>
      </c>
      <c r="Y878" s="39" t="str">
        <f>IF(AND(OR(LEFT(TH!L878,2)="15",LEFT(TH!M878,2)="15"),TK!$E$7=TH!F878),"x","")</f>
        <v/>
      </c>
      <c r="Z878" s="39" t="str">
        <f>IF(AND(B878&lt;=NKC!$N$8,B878&gt;=NKC!$M$8),"x","")</f>
        <v/>
      </c>
      <c r="AA878" s="894"/>
    </row>
    <row r="879" spans="1:27" ht="15.75" customHeight="1">
      <c r="A879" s="199" t="str">
        <f>IF(B879&lt;&gt;"",IF(AND(B879&gt;=_TM1,B879&lt;=_TM2,OR(TH!L879="1111",TH!M879="1111")),TH!D879,""),"")</f>
        <v/>
      </c>
      <c r="B879" s="36" t="str">
        <f t="shared" si="39"/>
        <v/>
      </c>
      <c r="C879" s="190"/>
      <c r="D879" s="190"/>
      <c r="E879" s="183"/>
      <c r="F879" s="188"/>
      <c r="G879" s="491"/>
      <c r="H879" s="7"/>
      <c r="I879" s="253"/>
      <c r="J879" s="253"/>
      <c r="K879" s="606"/>
      <c r="L879" s="39"/>
      <c r="M879" s="39"/>
      <c r="N879" s="39" t="str">
        <f>IF(AND('331-CT'!$E$7=TH!H879,OR(L879="331",M879="331")),"331",IF(AND(OR(L879="131",M879="131"),H879='131-CT'!$E$7),"131",""))</f>
        <v/>
      </c>
      <c r="O879" s="39" t="str">
        <f>IF(AND($B879&gt;='111'!$N$11,$B879&lt;='111'!$O$11,OR($L879=$O$7,$M879=$O$7)),"x","")</f>
        <v/>
      </c>
      <c r="P879" s="39" t="str">
        <f>IF(AND($L879=$O$7,$B879&lt;'111'!$N$11),"x","")</f>
        <v/>
      </c>
      <c r="Q879" s="39" t="str">
        <f>IF(AND($M879=$O$7,$B879&lt;'111'!$N$11),"x","")</f>
        <v/>
      </c>
      <c r="R879" s="39" t="str">
        <f>IF(ISERROR(FIND('112'!$M$9,G879,1)),"",IF((AND(FIND('112'!$M$9,G879,1)&gt;=1,$B879&gt;='112'!$N$8,$B879&lt;='112'!$O$8,OR($L879='112'!$I$6,$M879='112'!$I$6))),"x",""))</f>
        <v/>
      </c>
      <c r="S879" s="39" t="str">
        <f>IF(ISERROR(FIND('112'!$M$9,G879,1)),"",IF((AND(LEFT(G879,2)=LEFT('112'!$M$9,2),B879&lt;'112'!$N$8,$L879='112'!$I$6)),"x",""))</f>
        <v/>
      </c>
      <c r="T879" s="39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39" t="str">
        <f>IF(OR(TH!L879=TH!$V$7,M879=TH!$V$7),"x","")</f>
        <v/>
      </c>
      <c r="W879" s="39" t="str">
        <f>IF(AND(B879&gt;='IN-NX'!$P$3,B879&lt;='IN-NX'!$Q$3,'IN-NX'!$D$7=D879,OR(LEFT(L879,2)="15",AND(LEFT(M879,2)&lt;&gt;"15",LEFT(M879,2)&lt;&gt;"33"))),"x","")</f>
        <v/>
      </c>
      <c r="X879" s="39" t="str">
        <f>IF(AND(OR(LEFT(TH!L879,2)="15",LEFT(TH!M879,2)="15"),'152-CT'!$J$8=TH!F879),"x","")</f>
        <v/>
      </c>
      <c r="Y879" s="39" t="str">
        <f>IF(AND(OR(LEFT(TH!L879,2)="15",LEFT(TH!M879,2)="15"),TK!$E$7=TH!F879),"x","")</f>
        <v/>
      </c>
      <c r="Z879" s="39" t="str">
        <f>IF(AND(B879&lt;=NKC!$N$8,B879&gt;=NKC!$M$8),"x","")</f>
        <v/>
      </c>
      <c r="AA879" s="894"/>
    </row>
    <row r="880" spans="1:27" ht="15.75" customHeight="1">
      <c r="A880" s="199" t="str">
        <f>IF(B880&lt;&gt;"",IF(AND(B880&gt;=_TM1,B880&lt;=_TM2,OR(TH!L880="1111",TH!M880="1111")),TH!D880,""),"")</f>
        <v/>
      </c>
      <c r="B880" s="36" t="str">
        <f t="shared" si="39"/>
        <v/>
      </c>
      <c r="C880" s="190"/>
      <c r="D880" s="190"/>
      <c r="E880" s="183"/>
      <c r="F880" s="188"/>
      <c r="G880" s="491"/>
      <c r="H880" s="7"/>
      <c r="I880" s="253"/>
      <c r="J880" s="253"/>
      <c r="K880" s="606"/>
      <c r="L880" s="39"/>
      <c r="M880" s="39"/>
      <c r="N880" s="39" t="str">
        <f>IF(AND('331-CT'!$E$7=TH!H880,OR(L880="331",M880="331")),"331",IF(AND(OR(L880="131",M880="131"),H880='131-CT'!$E$7),"131",""))</f>
        <v/>
      </c>
      <c r="O880" s="39" t="str">
        <f>IF(AND($B880&gt;='111'!$N$11,$B880&lt;='111'!$O$11,OR($L880=$O$7,$M880=$O$7)),"x","")</f>
        <v/>
      </c>
      <c r="P880" s="39" t="str">
        <f>IF(AND($L880=$O$7,$B880&lt;'111'!$N$11),"x","")</f>
        <v/>
      </c>
      <c r="Q880" s="39" t="str">
        <f>IF(AND($M880=$O$7,$B880&lt;'111'!$N$11),"x","")</f>
        <v/>
      </c>
      <c r="R880" s="39" t="str">
        <f>IF(ISERROR(FIND('112'!$M$9,G880,1)),"",IF((AND(FIND('112'!$M$9,G880,1)&gt;=1,$B880&gt;='112'!$N$8,$B880&lt;='112'!$O$8,OR($L880='112'!$I$6,$M880='112'!$I$6))),"x",""))</f>
        <v/>
      </c>
      <c r="S880" s="39" t="str">
        <f>IF(ISERROR(FIND('112'!$M$9,G880,1)),"",IF((AND(LEFT(G880,2)=LEFT('112'!$M$9,2),B880&lt;'112'!$N$8,$L880='112'!$I$6)),"x",""))</f>
        <v/>
      </c>
      <c r="T880" s="39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39" t="str">
        <f>IF(OR(TH!L880=TH!$V$7,M880=TH!$V$7),"x","")</f>
        <v/>
      </c>
      <c r="W880" s="39" t="str">
        <f>IF(AND(B880&gt;='IN-NX'!$P$3,B880&lt;='IN-NX'!$Q$3,'IN-NX'!$D$7=D880,OR(LEFT(L880,2)="15",AND(LEFT(M880,2)&lt;&gt;"15",LEFT(M880,2)&lt;&gt;"33"))),"x","")</f>
        <v/>
      </c>
      <c r="X880" s="39" t="str">
        <f>IF(AND(OR(LEFT(TH!L880,2)="15",LEFT(TH!M880,2)="15"),'152-CT'!$J$8=TH!F880),"x","")</f>
        <v/>
      </c>
      <c r="Y880" s="39" t="str">
        <f>IF(AND(OR(LEFT(TH!L880,2)="15",LEFT(TH!M880,2)="15"),TK!$E$7=TH!F880),"x","")</f>
        <v/>
      </c>
      <c r="Z880" s="39" t="str">
        <f>IF(AND(B880&lt;=NKC!$N$8,B880&gt;=NKC!$M$8),"x","")</f>
        <v/>
      </c>
      <c r="AA880" s="894"/>
    </row>
    <row r="881" spans="1:27" ht="15.75" customHeight="1">
      <c r="A881" s="199" t="str">
        <f>IF(B881&lt;&gt;"",IF(AND(B881&gt;=_TM1,B881&lt;=_TM2,OR(TH!L881="1111",TH!M881="1111")),TH!D881,""),"")</f>
        <v/>
      </c>
      <c r="B881" s="36" t="str">
        <f t="shared" si="39"/>
        <v/>
      </c>
      <c r="C881" s="190"/>
      <c r="D881" s="190"/>
      <c r="E881" s="183"/>
      <c r="F881" s="188"/>
      <c r="G881" s="491"/>
      <c r="H881" s="7"/>
      <c r="I881" s="253"/>
      <c r="J881" s="253"/>
      <c r="K881" s="606"/>
      <c r="L881" s="39"/>
      <c r="M881" s="39"/>
      <c r="N881" s="39" t="str">
        <f>IF(AND('331-CT'!$E$7=TH!H881,OR(L881="331",M881="331")),"331",IF(AND(OR(L881="131",M881="131"),H881='131-CT'!$E$7),"131",""))</f>
        <v/>
      </c>
      <c r="O881" s="39" t="str">
        <f>IF(AND($B881&gt;='111'!$N$11,$B881&lt;='111'!$O$11,OR($L881=$O$7,$M881=$O$7)),"x","")</f>
        <v/>
      </c>
      <c r="P881" s="39" t="str">
        <f>IF(AND($L881=$O$7,$B881&lt;'111'!$N$11),"x","")</f>
        <v/>
      </c>
      <c r="Q881" s="39" t="str">
        <f>IF(AND($M881=$O$7,$B881&lt;'111'!$N$11),"x","")</f>
        <v/>
      </c>
      <c r="R881" s="39" t="str">
        <f>IF(ISERROR(FIND('112'!$M$9,G881,1)),"",IF((AND(FIND('112'!$M$9,G881,1)&gt;=1,$B881&gt;='112'!$N$8,$B881&lt;='112'!$O$8,OR($L881='112'!$I$6,$M881='112'!$I$6))),"x",""))</f>
        <v/>
      </c>
      <c r="S881" s="39" t="str">
        <f>IF(ISERROR(FIND('112'!$M$9,G881,1)),"",IF((AND(LEFT(G881,2)=LEFT('112'!$M$9,2),B881&lt;'112'!$N$8,$L881='112'!$I$6)),"x",""))</f>
        <v/>
      </c>
      <c r="T881" s="39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39" t="str">
        <f>IF(OR(TH!L881=TH!$V$7,M881=TH!$V$7),"x","")</f>
        <v/>
      </c>
      <c r="W881" s="39" t="str">
        <f>IF(AND(B881&gt;='IN-NX'!$P$3,B881&lt;='IN-NX'!$Q$3,'IN-NX'!$D$7=D881,OR(LEFT(L881,2)="15",AND(LEFT(M881,2)&lt;&gt;"15",LEFT(M881,2)&lt;&gt;"33"))),"x","")</f>
        <v/>
      </c>
      <c r="X881" s="39" t="str">
        <f>IF(AND(OR(LEFT(TH!L881,2)="15",LEFT(TH!M881,2)="15"),'152-CT'!$J$8=TH!F881),"x","")</f>
        <v/>
      </c>
      <c r="Y881" s="39" t="str">
        <f>IF(AND(OR(LEFT(TH!L881,2)="15",LEFT(TH!M881,2)="15"),TK!$E$7=TH!F881),"x","")</f>
        <v/>
      </c>
      <c r="Z881" s="39" t="str">
        <f>IF(AND(B881&lt;=NKC!$N$8,B881&gt;=NKC!$M$8),"x","")</f>
        <v/>
      </c>
      <c r="AA881" s="894"/>
    </row>
    <row r="882" spans="1:27" ht="15.75" customHeight="1">
      <c r="A882" s="199" t="str">
        <f>IF(B882&lt;&gt;"",IF(AND(B882&gt;=_TM1,B882&lt;=_TM2,OR(TH!L882="1111",TH!M882="1111")),TH!D882,""),"")</f>
        <v/>
      </c>
      <c r="B882" s="36" t="str">
        <f t="shared" si="39"/>
        <v/>
      </c>
      <c r="C882" s="190"/>
      <c r="D882" s="190"/>
      <c r="E882" s="183"/>
      <c r="F882" s="188"/>
      <c r="G882" s="491"/>
      <c r="H882" s="7"/>
      <c r="I882" s="253"/>
      <c r="J882" s="253"/>
      <c r="K882" s="606"/>
      <c r="L882" s="39"/>
      <c r="M882" s="39"/>
      <c r="N882" s="39" t="str">
        <f>IF(AND('331-CT'!$E$7=TH!H882,OR(L882="331",M882="331")),"331",IF(AND(OR(L882="131",M882="131"),H882='131-CT'!$E$7),"131",""))</f>
        <v/>
      </c>
      <c r="O882" s="39" t="str">
        <f>IF(AND($B882&gt;='111'!$N$11,$B882&lt;='111'!$O$11,OR($L882=$O$7,$M882=$O$7)),"x","")</f>
        <v/>
      </c>
      <c r="P882" s="39" t="str">
        <f>IF(AND($L882=$O$7,$B882&lt;'111'!$N$11),"x","")</f>
        <v/>
      </c>
      <c r="Q882" s="39" t="str">
        <f>IF(AND($M882=$O$7,$B882&lt;'111'!$N$11),"x","")</f>
        <v/>
      </c>
      <c r="R882" s="39" t="str">
        <f>IF(ISERROR(FIND('112'!$M$9,G882,1)),"",IF((AND(FIND('112'!$M$9,G882,1)&gt;=1,$B882&gt;='112'!$N$8,$B882&lt;='112'!$O$8,OR($L882='112'!$I$6,$M882='112'!$I$6))),"x",""))</f>
        <v/>
      </c>
      <c r="S882" s="39" t="str">
        <f>IF(ISERROR(FIND('112'!$M$9,G882,1)),"",IF((AND(LEFT(G882,2)=LEFT('112'!$M$9,2),B882&lt;'112'!$N$8,$L882='112'!$I$6)),"x",""))</f>
        <v/>
      </c>
      <c r="T882" s="39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39" t="str">
        <f>IF(OR(TH!L882=TH!$V$7,M882=TH!$V$7),"x","")</f>
        <v/>
      </c>
      <c r="W882" s="39" t="str">
        <f>IF(AND(B882&gt;='IN-NX'!$P$3,B882&lt;='IN-NX'!$Q$3,'IN-NX'!$D$7=D882,OR(LEFT(L882,2)="15",AND(LEFT(M882,2)&lt;&gt;"15",LEFT(M882,2)&lt;&gt;"33"))),"x","")</f>
        <v/>
      </c>
      <c r="X882" s="39" t="str">
        <f>IF(AND(OR(LEFT(TH!L882,2)="15",LEFT(TH!M882,2)="15"),'152-CT'!$J$8=TH!F882),"x","")</f>
        <v/>
      </c>
      <c r="Y882" s="39" t="str">
        <f>IF(AND(OR(LEFT(TH!L882,2)="15",LEFT(TH!M882,2)="15"),TK!$E$7=TH!F882),"x","")</f>
        <v/>
      </c>
      <c r="Z882" s="39" t="str">
        <f>IF(AND(B882&lt;=NKC!$N$8,B882&gt;=NKC!$M$8),"x","")</f>
        <v/>
      </c>
      <c r="AA882" s="894"/>
    </row>
    <row r="883" spans="1:27" ht="15.75" customHeight="1">
      <c r="A883" s="199" t="str">
        <f>IF(B883&lt;&gt;"",IF(AND(B883&gt;=_TM1,B883&lt;=_TM2,OR(TH!L883="1111",TH!M883="1111")),TH!D883,""),"")</f>
        <v/>
      </c>
      <c r="B883" s="36" t="str">
        <f t="shared" si="39"/>
        <v/>
      </c>
      <c r="C883" s="190"/>
      <c r="D883" s="190"/>
      <c r="E883" s="183"/>
      <c r="F883" s="188"/>
      <c r="G883" s="491"/>
      <c r="H883" s="7"/>
      <c r="I883" s="253"/>
      <c r="J883" s="253"/>
      <c r="K883" s="606"/>
      <c r="L883" s="39"/>
      <c r="M883" s="39"/>
      <c r="N883" s="39" t="str">
        <f>IF(AND('331-CT'!$E$7=TH!H883,OR(L883="331",M883="331")),"331",IF(AND(OR(L883="131",M883="131"),H883='131-CT'!$E$7),"131",""))</f>
        <v/>
      </c>
      <c r="O883" s="39" t="str">
        <f>IF(AND($B883&gt;='111'!$N$11,$B883&lt;='111'!$O$11,OR($L883=$O$7,$M883=$O$7)),"x","")</f>
        <v/>
      </c>
      <c r="P883" s="39" t="str">
        <f>IF(AND($L883=$O$7,$B883&lt;'111'!$N$11),"x","")</f>
        <v/>
      </c>
      <c r="Q883" s="39" t="str">
        <f>IF(AND($M883=$O$7,$B883&lt;'111'!$N$11),"x","")</f>
        <v/>
      </c>
      <c r="R883" s="39" t="str">
        <f>IF(ISERROR(FIND('112'!$M$9,G883,1)),"",IF((AND(FIND('112'!$M$9,G883,1)&gt;=1,$B883&gt;='112'!$N$8,$B883&lt;='112'!$O$8,OR($L883='112'!$I$6,$M883='112'!$I$6))),"x",""))</f>
        <v/>
      </c>
      <c r="S883" s="39" t="str">
        <f>IF(ISERROR(FIND('112'!$M$9,G883,1)),"",IF((AND(LEFT(G883,2)=LEFT('112'!$M$9,2),B883&lt;'112'!$N$8,$L883='112'!$I$6)),"x",""))</f>
        <v/>
      </c>
      <c r="T883" s="39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39" t="str">
        <f>IF(OR(TH!L883=TH!$V$7,M883=TH!$V$7),"x","")</f>
        <v/>
      </c>
      <c r="W883" s="39" t="str">
        <f>IF(AND(B883&gt;='IN-NX'!$P$3,B883&lt;='IN-NX'!$Q$3,'IN-NX'!$D$7=D883,OR(LEFT(L883,2)="15",AND(LEFT(M883,2)&lt;&gt;"15",LEFT(M883,2)&lt;&gt;"33"))),"x","")</f>
        <v/>
      </c>
      <c r="X883" s="39" t="str">
        <f>IF(AND(OR(LEFT(TH!L883,2)="15",LEFT(TH!M883,2)="15"),'152-CT'!$J$8=TH!F883),"x","")</f>
        <v/>
      </c>
      <c r="Y883" s="39" t="str">
        <f>IF(AND(OR(LEFT(TH!L883,2)="15",LEFT(TH!M883,2)="15"),TK!$E$7=TH!F883),"x","")</f>
        <v/>
      </c>
      <c r="Z883" s="39" t="str">
        <f>IF(AND(B883&lt;=NKC!$N$8,B883&gt;=NKC!$M$8),"x","")</f>
        <v/>
      </c>
      <c r="AA883" s="894"/>
    </row>
    <row r="884" spans="1:27" ht="15.75" customHeight="1">
      <c r="A884" s="199" t="str">
        <f>IF(B884&lt;&gt;"",IF(AND(B884&gt;=_TM1,B884&lt;=_TM2,OR(TH!L884="1111",TH!M884="1111")),TH!D884,""),"")</f>
        <v/>
      </c>
      <c r="B884" s="36" t="str">
        <f t="shared" si="39"/>
        <v/>
      </c>
      <c r="C884" s="190"/>
      <c r="D884" s="190"/>
      <c r="E884" s="183"/>
      <c r="F884" s="188"/>
      <c r="G884" s="491"/>
      <c r="H884" s="7"/>
      <c r="I884" s="253"/>
      <c r="J884" s="253"/>
      <c r="K884" s="606"/>
      <c r="L884" s="39"/>
      <c r="M884" s="39"/>
      <c r="N884" s="39" t="str">
        <f>IF(AND('331-CT'!$E$7=TH!H884,OR(L884="331",M884="331")),"331",IF(AND(OR(L884="131",M884="131"),H884='131-CT'!$E$7),"131",""))</f>
        <v/>
      </c>
      <c r="O884" s="39" t="str">
        <f>IF(AND($B884&gt;='111'!$N$11,$B884&lt;='111'!$O$11,OR($L884=$O$7,$M884=$O$7)),"x","")</f>
        <v/>
      </c>
      <c r="P884" s="39" t="str">
        <f>IF(AND($L884=$O$7,$B884&lt;'111'!$N$11),"x","")</f>
        <v/>
      </c>
      <c r="Q884" s="39" t="str">
        <f>IF(AND($M884=$O$7,$B884&lt;'111'!$N$11),"x","")</f>
        <v/>
      </c>
      <c r="R884" s="39" t="str">
        <f>IF(ISERROR(FIND('112'!$M$9,G884,1)),"",IF((AND(FIND('112'!$M$9,G884,1)&gt;=1,$B884&gt;='112'!$N$8,$B884&lt;='112'!$O$8,OR($L884='112'!$I$6,$M884='112'!$I$6))),"x",""))</f>
        <v/>
      </c>
      <c r="S884" s="39" t="str">
        <f>IF(ISERROR(FIND('112'!$M$9,G884,1)),"",IF((AND(LEFT(G884,2)=LEFT('112'!$M$9,2),B884&lt;'112'!$N$8,$L884='112'!$I$6)),"x",""))</f>
        <v/>
      </c>
      <c r="T884" s="39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39" t="str">
        <f>IF(OR(TH!L884=TH!$V$7,M884=TH!$V$7),"x","")</f>
        <v/>
      </c>
      <c r="W884" s="39" t="str">
        <f>IF(AND(B884&gt;='IN-NX'!$P$3,B884&lt;='IN-NX'!$Q$3,'IN-NX'!$D$7=D884,OR(LEFT(L884,2)="15",AND(LEFT(M884,2)&lt;&gt;"15",LEFT(M884,2)&lt;&gt;"33"))),"x","")</f>
        <v/>
      </c>
      <c r="X884" s="39" t="str">
        <f>IF(AND(OR(LEFT(TH!L884,2)="15",LEFT(TH!M884,2)="15"),'152-CT'!$J$8=TH!F884),"x","")</f>
        <v/>
      </c>
      <c r="Y884" s="39" t="str">
        <f>IF(AND(OR(LEFT(TH!L884,2)="15",LEFT(TH!M884,2)="15"),TK!$E$7=TH!F884),"x","")</f>
        <v/>
      </c>
      <c r="Z884" s="39" t="str">
        <f>IF(AND(B884&lt;=NKC!$N$8,B884&gt;=NKC!$M$8),"x","")</f>
        <v/>
      </c>
      <c r="AA884" s="894"/>
    </row>
    <row r="885" spans="1:27" ht="15.75" customHeight="1">
      <c r="A885" s="199" t="str">
        <f>IF(B885&lt;&gt;"",IF(AND(B885&gt;=_TM1,B885&lt;=_TM2,OR(TH!L885="1111",TH!M885="1111")),TH!D885,""),"")</f>
        <v/>
      </c>
      <c r="B885" s="36" t="str">
        <f t="shared" si="39"/>
        <v/>
      </c>
      <c r="C885" s="190"/>
      <c r="D885" s="190"/>
      <c r="E885" s="183"/>
      <c r="F885" s="188"/>
      <c r="G885" s="491"/>
      <c r="H885" s="7"/>
      <c r="I885" s="253"/>
      <c r="J885" s="253"/>
      <c r="K885" s="606"/>
      <c r="L885" s="39"/>
      <c r="M885" s="39"/>
      <c r="N885" s="39" t="str">
        <f>IF(AND('331-CT'!$E$7=TH!H885,OR(L885="331",M885="331")),"331",IF(AND(OR(L885="131",M885="131"),H885='131-CT'!$E$7),"131",""))</f>
        <v/>
      </c>
      <c r="O885" s="39" t="str">
        <f>IF(AND($B885&gt;='111'!$N$11,$B885&lt;='111'!$O$11,OR($L885=$O$7,$M885=$O$7)),"x","")</f>
        <v/>
      </c>
      <c r="P885" s="39" t="str">
        <f>IF(AND($L885=$O$7,$B885&lt;'111'!$N$11),"x","")</f>
        <v/>
      </c>
      <c r="Q885" s="39" t="str">
        <f>IF(AND($M885=$O$7,$B885&lt;'111'!$N$11),"x","")</f>
        <v/>
      </c>
      <c r="R885" s="39" t="str">
        <f>IF(ISERROR(FIND('112'!$M$9,G885,1)),"",IF((AND(FIND('112'!$M$9,G885,1)&gt;=1,$B885&gt;='112'!$N$8,$B885&lt;='112'!$O$8,OR($L885='112'!$I$6,$M885='112'!$I$6))),"x",""))</f>
        <v/>
      </c>
      <c r="S885" s="39" t="str">
        <f>IF(ISERROR(FIND('112'!$M$9,G885,1)),"",IF((AND(LEFT(G885,2)=LEFT('112'!$M$9,2),B885&lt;'112'!$N$8,$L885='112'!$I$6)),"x",""))</f>
        <v/>
      </c>
      <c r="T885" s="39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39" t="str">
        <f>IF(OR(TH!L885=TH!$V$7,M885=TH!$V$7),"x","")</f>
        <v/>
      </c>
      <c r="W885" s="39" t="str">
        <f>IF(AND(B885&gt;='IN-NX'!$P$3,B885&lt;='IN-NX'!$Q$3,'IN-NX'!$D$7=D885,OR(LEFT(L885,2)="15",AND(LEFT(M885,2)&lt;&gt;"15",LEFT(M885,2)&lt;&gt;"33"))),"x","")</f>
        <v/>
      </c>
      <c r="X885" s="39" t="str">
        <f>IF(AND(OR(LEFT(TH!L885,2)="15",LEFT(TH!M885,2)="15"),'152-CT'!$J$8=TH!F885),"x","")</f>
        <v/>
      </c>
      <c r="Y885" s="39" t="str">
        <f>IF(AND(OR(LEFT(TH!L885,2)="15",LEFT(TH!M885,2)="15"),TK!$E$7=TH!F885),"x","")</f>
        <v/>
      </c>
      <c r="Z885" s="39" t="str">
        <f>IF(AND(B885&lt;=NKC!$N$8,B885&gt;=NKC!$M$8),"x","")</f>
        <v/>
      </c>
      <c r="AA885" s="894"/>
    </row>
    <row r="886" spans="1:27" ht="15.75" customHeight="1">
      <c r="A886" s="199" t="str">
        <f>IF(B886&lt;&gt;"",IF(AND(B886&gt;=_TM1,B886&lt;=_TM2,OR(TH!L886="1111",TH!M886="1111")),TH!D886,""),"")</f>
        <v/>
      </c>
      <c r="B886" s="36" t="str">
        <f t="shared" si="39"/>
        <v/>
      </c>
      <c r="C886" s="190"/>
      <c r="D886" s="190"/>
      <c r="E886" s="183"/>
      <c r="F886" s="188"/>
      <c r="G886" s="491"/>
      <c r="H886" s="7"/>
      <c r="I886" s="253"/>
      <c r="J886" s="253"/>
      <c r="K886" s="606"/>
      <c r="L886" s="39"/>
      <c r="M886" s="39"/>
      <c r="N886" s="39" t="str">
        <f>IF(AND('331-CT'!$E$7=TH!H886,OR(L886="331",M886="331")),"331",IF(AND(OR(L886="131",M886="131"),H886='131-CT'!$E$7),"131",""))</f>
        <v/>
      </c>
      <c r="O886" s="39" t="str">
        <f>IF(AND($B886&gt;='111'!$N$11,$B886&lt;='111'!$O$11,OR($L886=$O$7,$M886=$O$7)),"x","")</f>
        <v/>
      </c>
      <c r="P886" s="39" t="str">
        <f>IF(AND($L886=$O$7,$B886&lt;'111'!$N$11),"x","")</f>
        <v/>
      </c>
      <c r="Q886" s="39" t="str">
        <f>IF(AND($M886=$O$7,$B886&lt;'111'!$N$11),"x","")</f>
        <v/>
      </c>
      <c r="R886" s="39" t="str">
        <f>IF(ISERROR(FIND('112'!$M$9,G886,1)),"",IF((AND(FIND('112'!$M$9,G886,1)&gt;=1,$B886&gt;='112'!$N$8,$B886&lt;='112'!$O$8,OR($L886='112'!$I$6,$M886='112'!$I$6))),"x",""))</f>
        <v/>
      </c>
      <c r="S886" s="39" t="str">
        <f>IF(ISERROR(FIND('112'!$M$9,G886,1)),"",IF((AND(LEFT(G886,2)=LEFT('112'!$M$9,2),B886&lt;'112'!$N$8,$L886='112'!$I$6)),"x",""))</f>
        <v/>
      </c>
      <c r="T886" s="39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39" t="str">
        <f>IF(OR(TH!L886=TH!$V$7,M886=TH!$V$7),"x","")</f>
        <v/>
      </c>
      <c r="W886" s="39" t="str">
        <f>IF(AND(B886&gt;='IN-NX'!$P$3,B886&lt;='IN-NX'!$Q$3,'IN-NX'!$D$7=D886,OR(LEFT(L886,2)="15",AND(LEFT(M886,2)&lt;&gt;"15",LEFT(M886,2)&lt;&gt;"33"))),"x","")</f>
        <v/>
      </c>
      <c r="X886" s="39" t="str">
        <f>IF(AND(OR(LEFT(TH!L886,2)="15",LEFT(TH!M886,2)="15"),'152-CT'!$J$8=TH!F886),"x","")</f>
        <v/>
      </c>
      <c r="Y886" s="39" t="str">
        <f>IF(AND(OR(LEFT(TH!L886,2)="15",LEFT(TH!M886,2)="15"),TK!$E$7=TH!F886),"x","")</f>
        <v/>
      </c>
      <c r="Z886" s="39" t="str">
        <f>IF(AND(B886&lt;=NKC!$N$8,B886&gt;=NKC!$M$8),"x","")</f>
        <v/>
      </c>
      <c r="AA886" s="894"/>
    </row>
    <row r="887" spans="1:27" ht="15.75" customHeight="1">
      <c r="A887" s="199" t="str">
        <f>IF(B887&lt;&gt;"",IF(AND(B887&gt;=_TM1,B887&lt;=_TM2,OR(TH!L887="1111",TH!M887="1111")),TH!D887,""),"")</f>
        <v/>
      </c>
      <c r="B887" s="36" t="str">
        <f t="shared" si="39"/>
        <v/>
      </c>
      <c r="C887" s="190"/>
      <c r="D887" s="190"/>
      <c r="E887" s="183"/>
      <c r="F887" s="188"/>
      <c r="G887" s="491"/>
      <c r="H887" s="7"/>
      <c r="I887" s="253"/>
      <c r="J887" s="253"/>
      <c r="K887" s="606"/>
      <c r="L887" s="39"/>
      <c r="M887" s="39"/>
      <c r="N887" s="39" t="str">
        <f>IF(AND('331-CT'!$E$7=TH!H887,OR(L887="331",M887="331")),"331",IF(AND(OR(L887="131",M887="131"),H887='131-CT'!$E$7),"131",""))</f>
        <v/>
      </c>
      <c r="O887" s="39" t="str">
        <f>IF(AND($B887&gt;='111'!$N$11,$B887&lt;='111'!$O$11,OR($L887=$O$7,$M887=$O$7)),"x","")</f>
        <v/>
      </c>
      <c r="P887" s="39" t="str">
        <f>IF(AND($L887=$O$7,$B887&lt;'111'!$N$11),"x","")</f>
        <v/>
      </c>
      <c r="Q887" s="39" t="str">
        <f>IF(AND($M887=$O$7,$B887&lt;'111'!$N$11),"x","")</f>
        <v/>
      </c>
      <c r="R887" s="39" t="str">
        <f>IF(ISERROR(FIND('112'!$M$9,G887,1)),"",IF((AND(FIND('112'!$M$9,G887,1)&gt;=1,$B887&gt;='112'!$N$8,$B887&lt;='112'!$O$8,OR($L887='112'!$I$6,$M887='112'!$I$6))),"x",""))</f>
        <v/>
      </c>
      <c r="S887" s="39" t="str">
        <f>IF(ISERROR(FIND('112'!$M$9,G887,1)),"",IF((AND(LEFT(G887,2)=LEFT('112'!$M$9,2),B887&lt;'112'!$N$8,$L887='112'!$I$6)),"x",""))</f>
        <v/>
      </c>
      <c r="T887" s="39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39" t="str">
        <f>IF(OR(TH!L887=TH!$V$7,M887=TH!$V$7),"x","")</f>
        <v/>
      </c>
      <c r="W887" s="39" t="str">
        <f>IF(AND(B887&gt;='IN-NX'!$P$3,B887&lt;='IN-NX'!$Q$3,'IN-NX'!$D$7=D887,OR(LEFT(L887,2)="15",AND(LEFT(M887,2)&lt;&gt;"15",LEFT(M887,2)&lt;&gt;"33"))),"x","")</f>
        <v/>
      </c>
      <c r="X887" s="39" t="str">
        <f>IF(AND(OR(LEFT(TH!L887,2)="15",LEFT(TH!M887,2)="15"),'152-CT'!$J$8=TH!F887),"x","")</f>
        <v/>
      </c>
      <c r="Y887" s="39" t="str">
        <f>IF(AND(OR(LEFT(TH!L887,2)="15",LEFT(TH!M887,2)="15"),TK!$E$7=TH!F887),"x","")</f>
        <v/>
      </c>
      <c r="Z887" s="39" t="str">
        <f>IF(AND(B887&lt;=NKC!$N$8,B887&gt;=NKC!$M$8),"x","")</f>
        <v/>
      </c>
      <c r="AA887" s="894"/>
    </row>
    <row r="888" spans="1:27" ht="15.75" customHeight="1">
      <c r="A888" s="199" t="str">
        <f>IF(B888&lt;&gt;"",IF(AND(B888&gt;=_TM1,B888&lt;=_TM2,OR(TH!L888="1111",TH!M888="1111")),TH!D888,""),"")</f>
        <v/>
      </c>
      <c r="B888" s="36" t="str">
        <f t="shared" si="39"/>
        <v/>
      </c>
      <c r="C888" s="190"/>
      <c r="D888" s="190"/>
      <c r="E888" s="183"/>
      <c r="F888" s="188"/>
      <c r="G888" s="491"/>
      <c r="H888" s="7"/>
      <c r="I888" s="253"/>
      <c r="J888" s="253"/>
      <c r="K888" s="606"/>
      <c r="L888" s="39"/>
      <c r="M888" s="39"/>
      <c r="N888" s="39" t="str">
        <f>IF(AND('331-CT'!$E$7=TH!H888,OR(L888="331",M888="331")),"331",IF(AND(OR(L888="131",M888="131"),H888='131-CT'!$E$7),"131",""))</f>
        <v/>
      </c>
      <c r="O888" s="39" t="str">
        <f>IF(AND($B888&gt;='111'!$N$11,$B888&lt;='111'!$O$11,OR($L888=$O$7,$M888=$O$7)),"x","")</f>
        <v/>
      </c>
      <c r="P888" s="39" t="str">
        <f>IF(AND($L888=$O$7,$B888&lt;'111'!$N$11),"x","")</f>
        <v/>
      </c>
      <c r="Q888" s="39" t="str">
        <f>IF(AND($M888=$O$7,$B888&lt;'111'!$N$11),"x","")</f>
        <v/>
      </c>
      <c r="R888" s="39" t="str">
        <f>IF(ISERROR(FIND('112'!$M$9,G888,1)),"",IF((AND(FIND('112'!$M$9,G888,1)&gt;=1,$B888&gt;='112'!$N$8,$B888&lt;='112'!$O$8,OR($L888='112'!$I$6,$M888='112'!$I$6))),"x",""))</f>
        <v/>
      </c>
      <c r="S888" s="39" t="str">
        <f>IF(ISERROR(FIND('112'!$M$9,G888,1)),"",IF((AND(LEFT(G888,2)=LEFT('112'!$M$9,2),B888&lt;'112'!$N$8,$L888='112'!$I$6)),"x",""))</f>
        <v/>
      </c>
      <c r="T888" s="39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39" t="str">
        <f>IF(OR(TH!L888=TH!$V$7,M888=TH!$V$7),"x","")</f>
        <v/>
      </c>
      <c r="W888" s="39" t="str">
        <f>IF(AND(B888&gt;='IN-NX'!$P$3,B888&lt;='IN-NX'!$Q$3,'IN-NX'!$D$7=D888,OR(LEFT(L888,2)="15",AND(LEFT(M888,2)&lt;&gt;"15",LEFT(M888,2)&lt;&gt;"33"))),"x","")</f>
        <v/>
      </c>
      <c r="X888" s="39" t="str">
        <f>IF(AND(OR(LEFT(TH!L888,2)="15",LEFT(TH!M888,2)="15"),'152-CT'!$J$8=TH!F888),"x","")</f>
        <v/>
      </c>
      <c r="Y888" s="39" t="str">
        <f>IF(AND(OR(LEFT(TH!L888,2)="15",LEFT(TH!M888,2)="15"),TK!$E$7=TH!F888),"x","")</f>
        <v/>
      </c>
      <c r="Z888" s="39" t="str">
        <f>IF(AND(B888&lt;=NKC!$N$8,B888&gt;=NKC!$M$8),"x","")</f>
        <v/>
      </c>
      <c r="AA888" s="894"/>
    </row>
    <row r="889" spans="1:27" ht="15.75" customHeight="1">
      <c r="A889" s="199" t="str">
        <f>IF(B889&lt;&gt;"",IF(AND(B889&gt;=_TM1,B889&lt;=_TM2,OR(TH!L889="1111",TH!M889="1111")),TH!D889,""),"")</f>
        <v/>
      </c>
      <c r="B889" s="36" t="str">
        <f t="shared" si="39"/>
        <v/>
      </c>
      <c r="C889" s="190"/>
      <c r="D889" s="190"/>
      <c r="E889" s="183"/>
      <c r="F889" s="188"/>
      <c r="G889" s="491"/>
      <c r="H889" s="7"/>
      <c r="I889" s="253"/>
      <c r="J889" s="253"/>
      <c r="K889" s="606"/>
      <c r="L889" s="39"/>
      <c r="M889" s="39"/>
      <c r="N889" s="39" t="str">
        <f>IF(AND('331-CT'!$E$7=TH!H889,OR(L889="331",M889="331")),"331",IF(AND(OR(L889="131",M889="131"),H889='131-CT'!$E$7),"131",""))</f>
        <v/>
      </c>
      <c r="O889" s="39" t="str">
        <f>IF(AND($B889&gt;='111'!$N$11,$B889&lt;='111'!$O$11,OR($L889=$O$7,$M889=$O$7)),"x","")</f>
        <v/>
      </c>
      <c r="P889" s="39" t="str">
        <f>IF(AND($L889=$O$7,$B889&lt;'111'!$N$11),"x","")</f>
        <v/>
      </c>
      <c r="Q889" s="39" t="str">
        <f>IF(AND($M889=$O$7,$B889&lt;'111'!$N$11),"x","")</f>
        <v/>
      </c>
      <c r="R889" s="39" t="str">
        <f>IF(ISERROR(FIND('112'!$M$9,G889,1)),"",IF((AND(FIND('112'!$M$9,G889,1)&gt;=1,$B889&gt;='112'!$N$8,$B889&lt;='112'!$O$8,OR($L889='112'!$I$6,$M889='112'!$I$6))),"x",""))</f>
        <v/>
      </c>
      <c r="S889" s="39" t="str">
        <f>IF(ISERROR(FIND('112'!$M$9,G889,1)),"",IF((AND(LEFT(G889,2)=LEFT('112'!$M$9,2),B889&lt;'112'!$N$8,$L889='112'!$I$6)),"x",""))</f>
        <v/>
      </c>
      <c r="T889" s="39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39" t="str">
        <f>IF(OR(TH!L889=TH!$V$7,M889=TH!$V$7),"x","")</f>
        <v/>
      </c>
      <c r="W889" s="39" t="str">
        <f>IF(AND(B889&gt;='IN-NX'!$P$3,B889&lt;='IN-NX'!$Q$3,'IN-NX'!$D$7=D889,OR(LEFT(L889,2)="15",AND(LEFT(M889,2)&lt;&gt;"15",LEFT(M889,2)&lt;&gt;"33"))),"x","")</f>
        <v/>
      </c>
      <c r="X889" s="39" t="str">
        <f>IF(AND(OR(LEFT(TH!L889,2)="15",LEFT(TH!M889,2)="15"),'152-CT'!$J$8=TH!F889),"x","")</f>
        <v/>
      </c>
      <c r="Y889" s="39" t="str">
        <f>IF(AND(OR(LEFT(TH!L889,2)="15",LEFT(TH!M889,2)="15"),TK!$E$7=TH!F889),"x","")</f>
        <v/>
      </c>
      <c r="Z889" s="39" t="str">
        <f>IF(AND(B889&lt;=NKC!$N$8,B889&gt;=NKC!$M$8),"x","")</f>
        <v/>
      </c>
      <c r="AA889" s="894"/>
    </row>
    <row r="890" spans="1:27" ht="15.75" customHeight="1">
      <c r="A890" s="199" t="str">
        <f>IF(B890&lt;&gt;"",IF(AND(B890&gt;=_TM1,B890&lt;=_TM2,OR(TH!L890="1111",TH!M890="1111")),TH!D890,""),"")</f>
        <v/>
      </c>
      <c r="B890" s="36" t="str">
        <f t="shared" si="39"/>
        <v/>
      </c>
      <c r="C890" s="190"/>
      <c r="D890" s="190"/>
      <c r="E890" s="183"/>
      <c r="F890" s="188"/>
      <c r="G890" s="491"/>
      <c r="H890" s="7"/>
      <c r="I890" s="253"/>
      <c r="J890" s="253"/>
      <c r="K890" s="606"/>
      <c r="L890" s="39"/>
      <c r="M890" s="39"/>
      <c r="N890" s="39" t="str">
        <f>IF(AND('331-CT'!$E$7=TH!H890,OR(L890="331",M890="331")),"331",IF(AND(OR(L890="131",M890="131"),H890='131-CT'!$E$7),"131",""))</f>
        <v/>
      </c>
      <c r="O890" s="39" t="str">
        <f>IF(AND($B890&gt;='111'!$N$11,$B890&lt;='111'!$O$11,OR($L890=$O$7,$M890=$O$7)),"x","")</f>
        <v/>
      </c>
      <c r="P890" s="39" t="str">
        <f>IF(AND($L890=$O$7,$B890&lt;'111'!$N$11),"x","")</f>
        <v/>
      </c>
      <c r="Q890" s="39" t="str">
        <f>IF(AND($M890=$O$7,$B890&lt;'111'!$N$11),"x","")</f>
        <v/>
      </c>
      <c r="R890" s="39" t="str">
        <f>IF(ISERROR(FIND('112'!$M$9,G890,1)),"",IF((AND(FIND('112'!$M$9,G890,1)&gt;=1,$B890&gt;='112'!$N$8,$B890&lt;='112'!$O$8,OR($L890='112'!$I$6,$M890='112'!$I$6))),"x",""))</f>
        <v/>
      </c>
      <c r="S890" s="39" t="str">
        <f>IF(ISERROR(FIND('112'!$M$9,G890,1)),"",IF((AND(LEFT(G890,2)=LEFT('112'!$M$9,2),B890&lt;'112'!$N$8,$L890='112'!$I$6)),"x",""))</f>
        <v/>
      </c>
      <c r="T890" s="39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39" t="str">
        <f>IF(OR(TH!L890=TH!$V$7,M890=TH!$V$7),"x","")</f>
        <v/>
      </c>
      <c r="W890" s="39" t="str">
        <f>IF(AND(B890&gt;='IN-NX'!$P$3,B890&lt;='IN-NX'!$Q$3,'IN-NX'!$D$7=D890,OR(LEFT(L890,2)="15",AND(LEFT(M890,2)&lt;&gt;"15",LEFT(M890,2)&lt;&gt;"33"))),"x","")</f>
        <v/>
      </c>
      <c r="X890" s="39" t="str">
        <f>IF(AND(OR(LEFT(TH!L890,2)="15",LEFT(TH!M890,2)="15"),'152-CT'!$J$8=TH!F890),"x","")</f>
        <v/>
      </c>
      <c r="Y890" s="39" t="str">
        <f>IF(AND(OR(LEFT(TH!L890,2)="15",LEFT(TH!M890,2)="15"),TK!$E$7=TH!F890),"x","")</f>
        <v/>
      </c>
      <c r="Z890" s="39" t="str">
        <f>IF(AND(B890&lt;=NKC!$N$8,B890&gt;=NKC!$M$8),"x","")</f>
        <v/>
      </c>
      <c r="AA890" s="894"/>
    </row>
    <row r="891" spans="1:27" ht="15.75" customHeight="1">
      <c r="A891" s="199" t="str">
        <f>IF(B891&lt;&gt;"",IF(AND(B891&gt;=_TM1,B891&lt;=_TM2,OR(TH!L891="1111",TH!M891="1111")),TH!D891,""),"")</f>
        <v/>
      </c>
      <c r="B891" s="36" t="str">
        <f t="shared" si="39"/>
        <v/>
      </c>
      <c r="C891" s="190"/>
      <c r="D891" s="190"/>
      <c r="E891" s="183"/>
      <c r="F891" s="188"/>
      <c r="G891" s="491"/>
      <c r="H891" s="7"/>
      <c r="I891" s="253"/>
      <c r="J891" s="253"/>
      <c r="K891" s="606"/>
      <c r="L891" s="39"/>
      <c r="M891" s="39"/>
      <c r="N891" s="39" t="str">
        <f>IF(AND('331-CT'!$E$7=TH!H891,OR(L891="331",M891="331")),"331",IF(AND(OR(L891="131",M891="131"),H891='131-CT'!$E$7),"131",""))</f>
        <v/>
      </c>
      <c r="O891" s="39" t="str">
        <f>IF(AND($B891&gt;='111'!$N$11,$B891&lt;='111'!$O$11,OR($L891=$O$7,$M891=$O$7)),"x","")</f>
        <v/>
      </c>
      <c r="P891" s="39" t="str">
        <f>IF(AND($L891=$O$7,$B891&lt;'111'!$N$11),"x","")</f>
        <v/>
      </c>
      <c r="Q891" s="39" t="str">
        <f>IF(AND($M891=$O$7,$B891&lt;'111'!$N$11),"x","")</f>
        <v/>
      </c>
      <c r="R891" s="39" t="str">
        <f>IF(ISERROR(FIND('112'!$M$9,G891,1)),"",IF((AND(FIND('112'!$M$9,G891,1)&gt;=1,$B891&gt;='112'!$N$8,$B891&lt;='112'!$O$8,OR($L891='112'!$I$6,$M891='112'!$I$6))),"x",""))</f>
        <v/>
      </c>
      <c r="S891" s="39" t="str">
        <f>IF(ISERROR(FIND('112'!$M$9,G891,1)),"",IF((AND(LEFT(G891,2)=LEFT('112'!$M$9,2),B891&lt;'112'!$N$8,$L891='112'!$I$6)),"x",""))</f>
        <v/>
      </c>
      <c r="T891" s="39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39" t="str">
        <f>IF(OR(TH!L891=TH!$V$7,M891=TH!$V$7),"x","")</f>
        <v/>
      </c>
      <c r="W891" s="39" t="str">
        <f>IF(AND(B891&gt;='IN-NX'!$P$3,B891&lt;='IN-NX'!$Q$3,'IN-NX'!$D$7=D891,OR(LEFT(L891,2)="15",AND(LEFT(M891,2)&lt;&gt;"15",LEFT(M891,2)&lt;&gt;"33"))),"x","")</f>
        <v/>
      </c>
      <c r="X891" s="39" t="str">
        <f>IF(AND(OR(LEFT(TH!L891,2)="15",LEFT(TH!M891,2)="15"),'152-CT'!$J$8=TH!F891),"x","")</f>
        <v/>
      </c>
      <c r="Y891" s="39" t="str">
        <f>IF(AND(OR(LEFT(TH!L891,2)="15",LEFT(TH!M891,2)="15"),TK!$E$7=TH!F891),"x","")</f>
        <v/>
      </c>
      <c r="Z891" s="39" t="str">
        <f>IF(AND(B891&lt;=NKC!$N$8,B891&gt;=NKC!$M$8),"x","")</f>
        <v/>
      </c>
      <c r="AA891" s="894"/>
    </row>
    <row r="892" spans="1:27" ht="15.75" customHeight="1">
      <c r="A892" s="199" t="str">
        <f>IF(B892&lt;&gt;"",IF(AND(B892&gt;=_TM1,B892&lt;=_TM2,OR(TH!L892="1111",TH!M892="1111")),TH!D892,""),"")</f>
        <v/>
      </c>
      <c r="B892" s="36" t="str">
        <f t="shared" si="39"/>
        <v/>
      </c>
      <c r="C892" s="190"/>
      <c r="D892" s="190"/>
      <c r="E892" s="183"/>
      <c r="F892" s="188"/>
      <c r="G892" s="491"/>
      <c r="H892" s="7"/>
      <c r="I892" s="253"/>
      <c r="J892" s="253"/>
      <c r="K892" s="606"/>
      <c r="L892" s="39"/>
      <c r="M892" s="39"/>
      <c r="N892" s="39" t="str">
        <f>IF(AND('331-CT'!$E$7=TH!H892,OR(L892="331",M892="331")),"331",IF(AND(OR(L892="131",M892="131"),H892='131-CT'!$E$7),"131",""))</f>
        <v/>
      </c>
      <c r="O892" s="39" t="str">
        <f>IF(AND($B892&gt;='111'!$N$11,$B892&lt;='111'!$O$11,OR($L892=$O$7,$M892=$O$7)),"x","")</f>
        <v/>
      </c>
      <c r="P892" s="39" t="str">
        <f>IF(AND($L892=$O$7,$B892&lt;'111'!$N$11),"x","")</f>
        <v/>
      </c>
      <c r="Q892" s="39" t="str">
        <f>IF(AND($M892=$O$7,$B892&lt;'111'!$N$11),"x","")</f>
        <v/>
      </c>
      <c r="R892" s="39" t="str">
        <f>IF(ISERROR(FIND('112'!$M$9,G892,1)),"",IF((AND(FIND('112'!$M$9,G892,1)&gt;=1,$B892&gt;='112'!$N$8,$B892&lt;='112'!$O$8,OR($L892='112'!$I$6,$M892='112'!$I$6))),"x",""))</f>
        <v/>
      </c>
      <c r="S892" s="39" t="str">
        <f>IF(ISERROR(FIND('112'!$M$9,G892,1)),"",IF((AND(LEFT(G892,2)=LEFT('112'!$M$9,2),B892&lt;'112'!$N$8,$L892='112'!$I$6)),"x",""))</f>
        <v/>
      </c>
      <c r="T892" s="39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39" t="str">
        <f>IF(OR(TH!L892=TH!$V$7,M892=TH!$V$7),"x","")</f>
        <v/>
      </c>
      <c r="W892" s="39" t="str">
        <f>IF(AND(B892&gt;='IN-NX'!$P$3,B892&lt;='IN-NX'!$Q$3,'IN-NX'!$D$7=D892,OR(LEFT(L892,2)="15",AND(LEFT(M892,2)&lt;&gt;"15",LEFT(M892,2)&lt;&gt;"33"))),"x","")</f>
        <v/>
      </c>
      <c r="X892" s="39" t="str">
        <f>IF(AND(OR(LEFT(TH!L892,2)="15",LEFT(TH!M892,2)="15"),'152-CT'!$J$8=TH!F892),"x","")</f>
        <v/>
      </c>
      <c r="Y892" s="39" t="str">
        <f>IF(AND(OR(LEFT(TH!L892,2)="15",LEFT(TH!M892,2)="15"),TK!$E$7=TH!F892),"x","")</f>
        <v/>
      </c>
      <c r="Z892" s="39" t="str">
        <f>IF(AND(B892&lt;=NKC!$N$8,B892&gt;=NKC!$M$8),"x","")</f>
        <v/>
      </c>
      <c r="AA892" s="894"/>
    </row>
    <row r="893" spans="1:27" ht="15.75" customHeight="1">
      <c r="A893" s="199" t="str">
        <f>IF(B893&lt;&gt;"",IF(AND(B893&gt;=_TM1,B893&lt;=_TM2,OR(TH!L893="1111",TH!M893="1111")),TH!D893,""),"")</f>
        <v/>
      </c>
      <c r="B893" s="36" t="str">
        <f t="shared" si="39"/>
        <v/>
      </c>
      <c r="C893" s="190"/>
      <c r="D893" s="190"/>
      <c r="E893" s="183"/>
      <c r="F893" s="188"/>
      <c r="G893" s="491"/>
      <c r="H893" s="7"/>
      <c r="I893" s="253"/>
      <c r="J893" s="253"/>
      <c r="K893" s="606"/>
      <c r="L893" s="39"/>
      <c r="M893" s="39"/>
      <c r="N893" s="39" t="str">
        <f>IF(AND('331-CT'!$E$7=TH!H893,OR(L893="331",M893="331")),"331",IF(AND(OR(L893="131",M893="131"),H893='131-CT'!$E$7),"131",""))</f>
        <v/>
      </c>
      <c r="O893" s="39" t="str">
        <f>IF(AND($B893&gt;='111'!$N$11,$B893&lt;='111'!$O$11,OR($L893=$O$7,$M893=$O$7)),"x","")</f>
        <v/>
      </c>
      <c r="P893" s="39" t="str">
        <f>IF(AND($L893=$O$7,$B893&lt;'111'!$N$11),"x","")</f>
        <v/>
      </c>
      <c r="Q893" s="39" t="str">
        <f>IF(AND($M893=$O$7,$B893&lt;'111'!$N$11),"x","")</f>
        <v/>
      </c>
      <c r="R893" s="39" t="str">
        <f>IF(ISERROR(FIND('112'!$M$9,G893,1)),"",IF((AND(FIND('112'!$M$9,G893,1)&gt;=1,$B893&gt;='112'!$N$8,$B893&lt;='112'!$O$8,OR($L893='112'!$I$6,$M893='112'!$I$6))),"x",""))</f>
        <v/>
      </c>
      <c r="S893" s="39" t="str">
        <f>IF(ISERROR(FIND('112'!$M$9,G893,1)),"",IF((AND(LEFT(G893,2)=LEFT('112'!$M$9,2),B893&lt;'112'!$N$8,$L893='112'!$I$6)),"x",""))</f>
        <v/>
      </c>
      <c r="T893" s="39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39" t="str">
        <f>IF(OR(TH!L893=TH!$V$7,M893=TH!$V$7),"x","")</f>
        <v/>
      </c>
      <c r="W893" s="39" t="str">
        <f>IF(AND(B893&gt;='IN-NX'!$P$3,B893&lt;='IN-NX'!$Q$3,'IN-NX'!$D$7=D893,OR(LEFT(L893,2)="15",AND(LEFT(M893,2)&lt;&gt;"15",LEFT(M893,2)&lt;&gt;"33"))),"x","")</f>
        <v/>
      </c>
      <c r="X893" s="39" t="str">
        <f>IF(AND(OR(LEFT(TH!L893,2)="15",LEFT(TH!M893,2)="15"),'152-CT'!$J$8=TH!F893),"x","")</f>
        <v/>
      </c>
      <c r="Y893" s="39" t="str">
        <f>IF(AND(OR(LEFT(TH!L893,2)="15",LEFT(TH!M893,2)="15"),TK!$E$7=TH!F893),"x","")</f>
        <v/>
      </c>
      <c r="Z893" s="39" t="str">
        <f>IF(AND(B893&lt;=NKC!$N$8,B893&gt;=NKC!$M$8),"x","")</f>
        <v/>
      </c>
      <c r="AA893" s="894"/>
    </row>
    <row r="894" spans="1:27" ht="15.75" customHeight="1">
      <c r="A894" s="199" t="str">
        <f>IF(B894&lt;&gt;"",IF(AND(B894&gt;=_TM1,B894&lt;=_TM2,OR(TH!L894="1111",TH!M894="1111")),TH!D894,""),"")</f>
        <v/>
      </c>
      <c r="B894" s="36" t="str">
        <f t="shared" si="39"/>
        <v/>
      </c>
      <c r="C894" s="190"/>
      <c r="D894" s="190"/>
      <c r="E894" s="183"/>
      <c r="F894" s="188"/>
      <c r="G894" s="491"/>
      <c r="H894" s="7"/>
      <c r="I894" s="253"/>
      <c r="J894" s="253"/>
      <c r="K894" s="606"/>
      <c r="L894" s="39"/>
      <c r="M894" s="39"/>
      <c r="N894" s="39" t="str">
        <f>IF(AND('331-CT'!$E$7=TH!H894,OR(L894="331",M894="331")),"331",IF(AND(OR(L894="131",M894="131"),H894='131-CT'!$E$7),"131",""))</f>
        <v/>
      </c>
      <c r="O894" s="39" t="str">
        <f>IF(AND($B894&gt;='111'!$N$11,$B894&lt;='111'!$O$11,OR($L894=$O$7,$M894=$O$7)),"x","")</f>
        <v/>
      </c>
      <c r="P894" s="39" t="str">
        <f>IF(AND($L894=$O$7,$B894&lt;'111'!$N$11),"x","")</f>
        <v/>
      </c>
      <c r="Q894" s="39" t="str">
        <f>IF(AND($M894=$O$7,$B894&lt;'111'!$N$11),"x","")</f>
        <v/>
      </c>
      <c r="R894" s="39" t="str">
        <f>IF(ISERROR(FIND('112'!$M$9,G894,1)),"",IF((AND(FIND('112'!$M$9,G894,1)&gt;=1,$B894&gt;='112'!$N$8,$B894&lt;='112'!$O$8,OR($L894='112'!$I$6,$M894='112'!$I$6))),"x",""))</f>
        <v/>
      </c>
      <c r="S894" s="39" t="str">
        <f>IF(ISERROR(FIND('112'!$M$9,G894,1)),"",IF((AND(LEFT(G894,2)=LEFT('112'!$M$9,2),B894&lt;'112'!$N$8,$L894='112'!$I$6)),"x",""))</f>
        <v/>
      </c>
      <c r="T894" s="39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39" t="str">
        <f>IF(OR(TH!L894=TH!$V$7,M894=TH!$V$7),"x","")</f>
        <v/>
      </c>
      <c r="W894" s="39" t="str">
        <f>IF(AND(B894&gt;='IN-NX'!$P$3,B894&lt;='IN-NX'!$Q$3,'IN-NX'!$D$7=D894,OR(LEFT(L894,2)="15",AND(LEFT(M894,2)&lt;&gt;"15",LEFT(M894,2)&lt;&gt;"33"))),"x","")</f>
        <v/>
      </c>
      <c r="X894" s="39" t="str">
        <f>IF(AND(OR(LEFT(TH!L894,2)="15",LEFT(TH!M894,2)="15"),'152-CT'!$J$8=TH!F894),"x","")</f>
        <v/>
      </c>
      <c r="Y894" s="39" t="str">
        <f>IF(AND(OR(LEFT(TH!L894,2)="15",LEFT(TH!M894,2)="15"),TK!$E$7=TH!F894),"x","")</f>
        <v/>
      </c>
      <c r="Z894" s="39" t="str">
        <f>IF(AND(B894&lt;=NKC!$N$8,B894&gt;=NKC!$M$8),"x","")</f>
        <v/>
      </c>
      <c r="AA894" s="894"/>
    </row>
    <row r="895" spans="1:27" ht="15.75" customHeight="1">
      <c r="A895" s="199" t="str">
        <f>IF(B895&lt;&gt;"",IF(AND(B895&gt;=_TM1,B895&lt;=_TM2,OR(TH!L895="1111",TH!M895="1111")),TH!D895,""),"")</f>
        <v/>
      </c>
      <c r="B895" s="36" t="str">
        <f t="shared" si="39"/>
        <v/>
      </c>
      <c r="C895" s="190"/>
      <c r="D895" s="190"/>
      <c r="E895" s="183"/>
      <c r="F895" s="188"/>
      <c r="G895" s="491"/>
      <c r="H895" s="7"/>
      <c r="I895" s="253"/>
      <c r="J895" s="253"/>
      <c r="K895" s="606"/>
      <c r="L895" s="39"/>
      <c r="M895" s="39"/>
      <c r="N895" s="39" t="str">
        <f>IF(AND('331-CT'!$E$7=TH!H895,OR(L895="331",M895="331")),"331",IF(AND(OR(L895="131",M895="131"),H895='131-CT'!$E$7),"131",""))</f>
        <v/>
      </c>
      <c r="O895" s="39" t="str">
        <f>IF(AND($B895&gt;='111'!$N$11,$B895&lt;='111'!$O$11,OR($L895=$O$7,$M895=$O$7)),"x","")</f>
        <v/>
      </c>
      <c r="P895" s="39" t="str">
        <f>IF(AND($L895=$O$7,$B895&lt;'111'!$N$11),"x","")</f>
        <v/>
      </c>
      <c r="Q895" s="39" t="str">
        <f>IF(AND($M895=$O$7,$B895&lt;'111'!$N$11),"x","")</f>
        <v/>
      </c>
      <c r="R895" s="39" t="str">
        <f>IF(ISERROR(FIND('112'!$M$9,G895,1)),"",IF((AND(FIND('112'!$M$9,G895,1)&gt;=1,$B895&gt;='112'!$N$8,$B895&lt;='112'!$O$8,OR($L895='112'!$I$6,$M895='112'!$I$6))),"x",""))</f>
        <v/>
      </c>
      <c r="S895" s="39" t="str">
        <f>IF(ISERROR(FIND('112'!$M$9,G895,1)),"",IF((AND(LEFT(G895,2)=LEFT('112'!$M$9,2),B895&lt;'112'!$N$8,$L895='112'!$I$6)),"x",""))</f>
        <v/>
      </c>
      <c r="T895" s="39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39" t="str">
        <f>IF(OR(TH!L895=TH!$V$7,M895=TH!$V$7),"x","")</f>
        <v/>
      </c>
      <c r="W895" s="39" t="str">
        <f>IF(AND(B895&gt;='IN-NX'!$P$3,B895&lt;='IN-NX'!$Q$3,'IN-NX'!$D$7=D895,OR(LEFT(L895,2)="15",AND(LEFT(M895,2)&lt;&gt;"15",LEFT(M895,2)&lt;&gt;"33"))),"x","")</f>
        <v/>
      </c>
      <c r="X895" s="39" t="str">
        <f>IF(AND(OR(LEFT(TH!L895,2)="15",LEFT(TH!M895,2)="15"),'152-CT'!$J$8=TH!F895),"x","")</f>
        <v/>
      </c>
      <c r="Y895" s="39" t="str">
        <f>IF(AND(OR(LEFT(TH!L895,2)="15",LEFT(TH!M895,2)="15"),TK!$E$7=TH!F895),"x","")</f>
        <v/>
      </c>
      <c r="Z895" s="39" t="str">
        <f>IF(AND(B895&lt;=NKC!$N$8,B895&gt;=NKC!$M$8),"x","")</f>
        <v/>
      </c>
      <c r="AA895" s="894"/>
    </row>
    <row r="896" spans="1:27" ht="15.75" customHeight="1">
      <c r="A896" s="199" t="str">
        <f>IF(B896&lt;&gt;"",IF(AND(B896&gt;=_TM1,B896&lt;=_TM2,OR(TH!L896="1111",TH!M896="1111")),TH!D896,""),"")</f>
        <v/>
      </c>
      <c r="B896" s="36" t="str">
        <f t="shared" si="39"/>
        <v/>
      </c>
      <c r="C896" s="190"/>
      <c r="D896" s="190"/>
      <c r="E896" s="183"/>
      <c r="F896" s="188"/>
      <c r="G896" s="491"/>
      <c r="H896" s="7"/>
      <c r="I896" s="253"/>
      <c r="J896" s="253"/>
      <c r="K896" s="606"/>
      <c r="L896" s="39"/>
      <c r="M896" s="39"/>
      <c r="N896" s="39" t="str">
        <f>IF(AND('331-CT'!$E$7=TH!H896,OR(L896="331",M896="331")),"331",IF(AND(OR(L896="131",M896="131"),H896='131-CT'!$E$7),"131",""))</f>
        <v/>
      </c>
      <c r="O896" s="39" t="str">
        <f>IF(AND($B896&gt;='111'!$N$11,$B896&lt;='111'!$O$11,OR($L896=$O$7,$M896=$O$7)),"x","")</f>
        <v/>
      </c>
      <c r="P896" s="39" t="str">
        <f>IF(AND($L896=$O$7,$B896&lt;'111'!$N$11),"x","")</f>
        <v/>
      </c>
      <c r="Q896" s="39" t="str">
        <f>IF(AND($M896=$O$7,$B896&lt;'111'!$N$11),"x","")</f>
        <v/>
      </c>
      <c r="R896" s="39" t="str">
        <f>IF(ISERROR(FIND('112'!$M$9,G896,1)),"",IF((AND(FIND('112'!$M$9,G896,1)&gt;=1,$B896&gt;='112'!$N$8,$B896&lt;='112'!$O$8,OR($L896='112'!$I$6,$M896='112'!$I$6))),"x",""))</f>
        <v/>
      </c>
      <c r="S896" s="39" t="str">
        <f>IF(ISERROR(FIND('112'!$M$9,G896,1)),"",IF((AND(LEFT(G896,2)=LEFT('112'!$M$9,2),B896&lt;'112'!$N$8,$L896='112'!$I$6)),"x",""))</f>
        <v/>
      </c>
      <c r="T896" s="39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39" t="str">
        <f>IF(OR(TH!L896=TH!$V$7,M896=TH!$V$7),"x","")</f>
        <v/>
      </c>
      <c r="W896" s="39" t="str">
        <f>IF(AND(B896&gt;='IN-NX'!$P$3,B896&lt;='IN-NX'!$Q$3,'IN-NX'!$D$7=D896,OR(LEFT(L896,2)="15",AND(LEFT(M896,2)&lt;&gt;"15",LEFT(M896,2)&lt;&gt;"33"))),"x","")</f>
        <v/>
      </c>
      <c r="X896" s="39" t="str">
        <f>IF(AND(OR(LEFT(TH!L896,2)="15",LEFT(TH!M896,2)="15"),'152-CT'!$J$8=TH!F896),"x","")</f>
        <v/>
      </c>
      <c r="Y896" s="39" t="str">
        <f>IF(AND(OR(LEFT(TH!L896,2)="15",LEFT(TH!M896,2)="15"),TK!$E$7=TH!F896),"x","")</f>
        <v/>
      </c>
      <c r="Z896" s="39" t="str">
        <f>IF(AND(B896&lt;=NKC!$N$8,B896&gt;=NKC!$M$8),"x","")</f>
        <v/>
      </c>
      <c r="AA896" s="894"/>
    </row>
    <row r="897" spans="1:27" ht="15.75" customHeight="1">
      <c r="A897" s="199" t="str">
        <f>IF(B897&lt;&gt;"",IF(AND(B897&gt;=_TM1,B897&lt;=_TM2,OR(TH!L897="1111",TH!M897="1111")),TH!D897,""),"")</f>
        <v/>
      </c>
      <c r="B897" s="36" t="str">
        <f t="shared" si="39"/>
        <v/>
      </c>
      <c r="C897" s="190"/>
      <c r="D897" s="190"/>
      <c r="E897" s="183"/>
      <c r="F897" s="188"/>
      <c r="G897" s="491"/>
      <c r="H897" s="7"/>
      <c r="I897" s="253"/>
      <c r="J897" s="253"/>
      <c r="K897" s="606"/>
      <c r="L897" s="39"/>
      <c r="M897" s="39"/>
      <c r="N897" s="39" t="str">
        <f>IF(AND('331-CT'!$E$7=TH!H897,OR(L897="331",M897="331")),"331",IF(AND(OR(L897="131",M897="131"),H897='131-CT'!$E$7),"131",""))</f>
        <v/>
      </c>
      <c r="O897" s="39" t="str">
        <f>IF(AND($B897&gt;='111'!$N$11,$B897&lt;='111'!$O$11,OR($L897=$O$7,$M897=$O$7)),"x","")</f>
        <v/>
      </c>
      <c r="P897" s="39" t="str">
        <f>IF(AND($L897=$O$7,$B897&lt;'111'!$N$11),"x","")</f>
        <v/>
      </c>
      <c r="Q897" s="39" t="str">
        <f>IF(AND($M897=$O$7,$B897&lt;'111'!$N$11),"x","")</f>
        <v/>
      </c>
      <c r="R897" s="39" t="str">
        <f>IF(ISERROR(FIND('112'!$M$9,G897,1)),"",IF((AND(FIND('112'!$M$9,G897,1)&gt;=1,$B897&gt;='112'!$N$8,$B897&lt;='112'!$O$8,OR($L897='112'!$I$6,$M897='112'!$I$6))),"x",""))</f>
        <v/>
      </c>
      <c r="S897" s="39" t="str">
        <f>IF(ISERROR(FIND('112'!$M$9,G897,1)),"",IF((AND(LEFT(G897,2)=LEFT('112'!$M$9,2),B897&lt;'112'!$N$8,$L897='112'!$I$6)),"x",""))</f>
        <v/>
      </c>
      <c r="T897" s="39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39" t="str">
        <f>IF(OR(TH!L897=TH!$V$7,M897=TH!$V$7),"x","")</f>
        <v/>
      </c>
      <c r="W897" s="39" t="str">
        <f>IF(AND(B897&gt;='IN-NX'!$P$3,B897&lt;='IN-NX'!$Q$3,'IN-NX'!$D$7=D897,OR(LEFT(L897,2)="15",AND(LEFT(M897,2)&lt;&gt;"15",LEFT(M897,2)&lt;&gt;"33"))),"x","")</f>
        <v/>
      </c>
      <c r="X897" s="39" t="str">
        <f>IF(AND(OR(LEFT(TH!L897,2)="15",LEFT(TH!M897,2)="15"),'152-CT'!$J$8=TH!F897),"x","")</f>
        <v/>
      </c>
      <c r="Y897" s="39" t="str">
        <f>IF(AND(OR(LEFT(TH!L897,2)="15",LEFT(TH!M897,2)="15"),TK!$E$7=TH!F897),"x","")</f>
        <v/>
      </c>
      <c r="Z897" s="39" t="str">
        <f>IF(AND(B897&lt;=NKC!$N$8,B897&gt;=NKC!$M$8),"x","")</f>
        <v/>
      </c>
      <c r="AA897" s="894"/>
    </row>
    <row r="898" spans="1:27" ht="15.75" customHeight="1">
      <c r="A898" s="199" t="str">
        <f>IF(B898&lt;&gt;"",IF(AND(B898&gt;=_TM1,B898&lt;=_TM2,OR(TH!L898="1111",TH!M898="1111")),TH!D898,""),"")</f>
        <v/>
      </c>
      <c r="B898" s="36" t="str">
        <f t="shared" si="39"/>
        <v/>
      </c>
      <c r="C898" s="190"/>
      <c r="D898" s="190"/>
      <c r="E898" s="183"/>
      <c r="F898" s="188"/>
      <c r="G898" s="491"/>
      <c r="H898" s="7"/>
      <c r="I898" s="253"/>
      <c r="J898" s="253"/>
      <c r="K898" s="606"/>
      <c r="L898" s="39"/>
      <c r="M898" s="39"/>
      <c r="N898" s="39" t="str">
        <f>IF(AND('331-CT'!$E$7=TH!H898,OR(L898="331",M898="331")),"331",IF(AND(OR(L898="131",M898="131"),H898='131-CT'!$E$7),"131",""))</f>
        <v/>
      </c>
      <c r="O898" s="39" t="str">
        <f>IF(AND($B898&gt;='111'!$N$11,$B898&lt;='111'!$O$11,OR($L898=$O$7,$M898=$O$7)),"x","")</f>
        <v/>
      </c>
      <c r="P898" s="39" t="str">
        <f>IF(AND($L898=$O$7,$B898&lt;'111'!$N$11),"x","")</f>
        <v/>
      </c>
      <c r="Q898" s="39" t="str">
        <f>IF(AND($M898=$O$7,$B898&lt;'111'!$N$11),"x","")</f>
        <v/>
      </c>
      <c r="R898" s="39" t="str">
        <f>IF(ISERROR(FIND('112'!$M$9,G898,1)),"",IF((AND(FIND('112'!$M$9,G898,1)&gt;=1,$B898&gt;='112'!$N$8,$B898&lt;='112'!$O$8,OR($L898='112'!$I$6,$M898='112'!$I$6))),"x",""))</f>
        <v/>
      </c>
      <c r="S898" s="39" t="str">
        <f>IF(ISERROR(FIND('112'!$M$9,G898,1)),"",IF((AND(LEFT(G898,2)=LEFT('112'!$M$9,2),B898&lt;'112'!$N$8,$L898='112'!$I$6)),"x",""))</f>
        <v/>
      </c>
      <c r="T898" s="39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39" t="str">
        <f>IF(OR(TH!L898=TH!$V$7,M898=TH!$V$7),"x","")</f>
        <v/>
      </c>
      <c r="W898" s="39" t="str">
        <f>IF(AND(B898&gt;='IN-NX'!$P$3,B898&lt;='IN-NX'!$Q$3,'IN-NX'!$D$7=D898,OR(LEFT(L898,2)="15",AND(LEFT(M898,2)&lt;&gt;"15",LEFT(M898,2)&lt;&gt;"33"))),"x","")</f>
        <v/>
      </c>
      <c r="X898" s="39" t="str">
        <f>IF(AND(OR(LEFT(TH!L898,2)="15",LEFT(TH!M898,2)="15"),'152-CT'!$J$8=TH!F898),"x","")</f>
        <v/>
      </c>
      <c r="Y898" s="39" t="str">
        <f>IF(AND(OR(LEFT(TH!L898,2)="15",LEFT(TH!M898,2)="15"),TK!$E$7=TH!F898),"x","")</f>
        <v/>
      </c>
      <c r="Z898" s="39" t="str">
        <f>IF(AND(B898&lt;=NKC!$N$8,B898&gt;=NKC!$M$8),"x","")</f>
        <v/>
      </c>
      <c r="AA898" s="894"/>
    </row>
    <row r="899" spans="1:27" ht="15.75" customHeight="1">
      <c r="A899" s="199" t="str">
        <f>IF(B899&lt;&gt;"",IF(AND(B899&gt;=_TM1,B899&lt;=_TM2,OR(TH!L899="1111",TH!M899="1111")),TH!D899,""),"")</f>
        <v/>
      </c>
      <c r="B899" s="36" t="str">
        <f t="shared" si="39"/>
        <v/>
      </c>
      <c r="C899" s="190"/>
      <c r="D899" s="190"/>
      <c r="E899" s="183"/>
      <c r="F899" s="188"/>
      <c r="G899" s="491"/>
      <c r="H899" s="7"/>
      <c r="I899" s="253"/>
      <c r="J899" s="253"/>
      <c r="K899" s="606"/>
      <c r="L899" s="39"/>
      <c r="M899" s="39"/>
      <c r="N899" s="39" t="str">
        <f>IF(AND('331-CT'!$E$7=TH!H899,OR(L899="331",M899="331")),"331",IF(AND(OR(L899="131",M899="131"),H899='131-CT'!$E$7),"131",""))</f>
        <v/>
      </c>
      <c r="O899" s="39" t="str">
        <f>IF(AND($B899&gt;='111'!$N$11,$B899&lt;='111'!$O$11,OR($L899=$O$7,$M899=$O$7)),"x","")</f>
        <v/>
      </c>
      <c r="P899" s="39" t="str">
        <f>IF(AND($L899=$O$7,$B899&lt;'111'!$N$11),"x","")</f>
        <v/>
      </c>
      <c r="Q899" s="39" t="str">
        <f>IF(AND($M899=$O$7,$B899&lt;'111'!$N$11),"x","")</f>
        <v/>
      </c>
      <c r="R899" s="39" t="str">
        <f>IF(ISERROR(FIND('112'!$M$9,G899,1)),"",IF((AND(FIND('112'!$M$9,G899,1)&gt;=1,$B899&gt;='112'!$N$8,$B899&lt;='112'!$O$8,OR($L899='112'!$I$6,$M899='112'!$I$6))),"x",""))</f>
        <v/>
      </c>
      <c r="S899" s="39" t="str">
        <f>IF(ISERROR(FIND('112'!$M$9,G899,1)),"",IF((AND(LEFT(G899,2)=LEFT('112'!$M$9,2),B899&lt;'112'!$N$8,$L899='112'!$I$6)),"x",""))</f>
        <v/>
      </c>
      <c r="T899" s="39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39" t="str">
        <f>IF(OR(TH!L899=TH!$V$7,M899=TH!$V$7),"x","")</f>
        <v/>
      </c>
      <c r="W899" s="39" t="str">
        <f>IF(AND(B899&gt;='IN-NX'!$P$3,B899&lt;='IN-NX'!$Q$3,'IN-NX'!$D$7=D899,OR(LEFT(L899,2)="15",AND(LEFT(M899,2)&lt;&gt;"15",LEFT(M899,2)&lt;&gt;"33"))),"x","")</f>
        <v/>
      </c>
      <c r="X899" s="39" t="str">
        <f>IF(AND(OR(LEFT(TH!L899,2)="15",LEFT(TH!M899,2)="15"),'152-CT'!$J$8=TH!F899),"x","")</f>
        <v/>
      </c>
      <c r="Y899" s="39" t="str">
        <f>IF(AND(OR(LEFT(TH!L899,2)="15",LEFT(TH!M899,2)="15"),TK!$E$7=TH!F899),"x","")</f>
        <v/>
      </c>
      <c r="Z899" s="39" t="str">
        <f>IF(AND(B899&lt;=NKC!$N$8,B899&gt;=NKC!$M$8),"x","")</f>
        <v/>
      </c>
      <c r="AA899" s="894"/>
    </row>
    <row r="900" spans="1:27" ht="15.75" customHeight="1">
      <c r="A900" s="199" t="str">
        <f>IF(B900&lt;&gt;"",IF(AND(B900&gt;=_TM1,B900&lt;=_TM2,OR(TH!L900="1111",TH!M900="1111")),TH!D900,""),"")</f>
        <v/>
      </c>
      <c r="B900" s="36" t="str">
        <f t="shared" si="39"/>
        <v/>
      </c>
      <c r="C900" s="190"/>
      <c r="D900" s="190"/>
      <c r="E900" s="183"/>
      <c r="F900" s="188"/>
      <c r="G900" s="491"/>
      <c r="H900" s="7"/>
      <c r="I900" s="253"/>
      <c r="J900" s="253"/>
      <c r="K900" s="606"/>
      <c r="L900" s="39"/>
      <c r="M900" s="39"/>
      <c r="N900" s="39" t="str">
        <f>IF(AND('331-CT'!$E$7=TH!H900,OR(L900="331",M900="331")),"331",IF(AND(OR(L900="131",M900="131"),H900='131-CT'!$E$7),"131",""))</f>
        <v/>
      </c>
      <c r="O900" s="39" t="str">
        <f>IF(AND($B900&gt;='111'!$N$11,$B900&lt;='111'!$O$11,OR($L900=$O$7,$M900=$O$7)),"x","")</f>
        <v/>
      </c>
      <c r="P900" s="39" t="str">
        <f>IF(AND($L900=$O$7,$B900&lt;'111'!$N$11),"x","")</f>
        <v/>
      </c>
      <c r="Q900" s="39" t="str">
        <f>IF(AND($M900=$O$7,$B900&lt;'111'!$N$11),"x","")</f>
        <v/>
      </c>
      <c r="R900" s="39" t="str">
        <f>IF(ISERROR(FIND('112'!$M$9,G900,1)),"",IF((AND(FIND('112'!$M$9,G900,1)&gt;=1,$B900&gt;='112'!$N$8,$B900&lt;='112'!$O$8,OR($L900='112'!$I$6,$M900='112'!$I$6))),"x",""))</f>
        <v/>
      </c>
      <c r="S900" s="39" t="str">
        <f>IF(ISERROR(FIND('112'!$M$9,G900,1)),"",IF((AND(LEFT(G900,2)=LEFT('112'!$M$9,2),B900&lt;'112'!$N$8,$L900='112'!$I$6)),"x",""))</f>
        <v/>
      </c>
      <c r="T900" s="39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39" t="str">
        <f>IF(OR(TH!L900=TH!$V$7,M900=TH!$V$7),"x","")</f>
        <v/>
      </c>
      <c r="W900" s="39" t="str">
        <f>IF(AND(B900&gt;='IN-NX'!$P$3,B900&lt;='IN-NX'!$Q$3,'IN-NX'!$D$7=D900,OR(LEFT(L900,2)="15",AND(LEFT(M900,2)&lt;&gt;"15",LEFT(M900,2)&lt;&gt;"33"))),"x","")</f>
        <v/>
      </c>
      <c r="X900" s="39" t="str">
        <f>IF(AND(OR(LEFT(TH!L900,2)="15",LEFT(TH!M900,2)="15"),'152-CT'!$J$8=TH!F900),"x","")</f>
        <v/>
      </c>
      <c r="Y900" s="39" t="str">
        <f>IF(AND(OR(LEFT(TH!L900,2)="15",LEFT(TH!M900,2)="15"),TK!$E$7=TH!F900),"x","")</f>
        <v/>
      </c>
      <c r="Z900" s="39" t="str">
        <f>IF(AND(B900&lt;=NKC!$N$8,B900&gt;=NKC!$M$8),"x","")</f>
        <v/>
      </c>
      <c r="AA900" s="894"/>
    </row>
    <row r="901" spans="1:27" ht="15.75" customHeight="1">
      <c r="A901" s="199" t="str">
        <f>IF(B901&lt;&gt;"",IF(AND(B901&gt;=_TM1,B901&lt;=_TM2,OR(TH!L901="1111",TH!M901="1111")),TH!D901,""),"")</f>
        <v/>
      </c>
      <c r="B901" s="36" t="str">
        <f t="shared" si="39"/>
        <v/>
      </c>
      <c r="C901" s="190"/>
      <c r="D901" s="190"/>
      <c r="E901" s="183"/>
      <c r="F901" s="191"/>
      <c r="G901" s="491"/>
      <c r="H901" s="7"/>
      <c r="I901" s="253"/>
      <c r="J901" s="253"/>
      <c r="K901" s="606"/>
      <c r="L901" s="39"/>
      <c r="M901" s="39"/>
      <c r="N901" s="39" t="str">
        <f>IF(AND('331-CT'!$E$7=TH!H901,OR(L901="331",M901="331")),"331",IF(AND(OR(L901="131",M901="131"),H901='131-CT'!$E$7),"131",""))</f>
        <v/>
      </c>
      <c r="O901" s="39" t="str">
        <f>IF(AND($B901&gt;='111'!$N$11,$B901&lt;='111'!$O$11,OR($L901=$O$7,$M901=$O$7)),"x","")</f>
        <v/>
      </c>
      <c r="P901" s="39" t="str">
        <f>IF(AND($L901=$O$7,$B901&lt;'111'!$N$11),"x","")</f>
        <v/>
      </c>
      <c r="Q901" s="39" t="str">
        <f>IF(AND($M901=$O$7,$B901&lt;'111'!$N$11),"x","")</f>
        <v/>
      </c>
      <c r="R901" s="39" t="str">
        <f>IF(ISERROR(FIND('112'!$M$9,G901,1)),"",IF((AND(FIND('112'!$M$9,G901,1)&gt;=1,$B901&gt;='112'!$N$8,$B901&lt;='112'!$O$8,OR($L901='112'!$I$6,$M901='112'!$I$6))),"x",""))</f>
        <v/>
      </c>
      <c r="S901" s="39" t="str">
        <f>IF(ISERROR(FIND('112'!$M$9,G901,1)),"",IF((AND(LEFT(G901,2)=LEFT('112'!$M$9,2),B901&lt;'112'!$N$8,$L901='112'!$I$6)),"x",""))</f>
        <v/>
      </c>
      <c r="T901" s="39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39" t="str">
        <f>IF(OR(TH!L901=TH!$V$7,M901=TH!$V$7),"x","")</f>
        <v/>
      </c>
      <c r="W901" s="39" t="str">
        <f>IF(AND(B901&gt;='IN-NX'!$P$3,B901&lt;='IN-NX'!$Q$3,'IN-NX'!$D$7=D901,OR(LEFT(L901,2)="15",AND(LEFT(M901,2)&lt;&gt;"15",LEFT(M901,2)&lt;&gt;"33"))),"x","")</f>
        <v/>
      </c>
      <c r="X901" s="39" t="str">
        <f>IF(AND(OR(LEFT(TH!L901,2)="15",LEFT(TH!M901,2)="15"),'152-CT'!$J$8=TH!F901),"x","")</f>
        <v/>
      </c>
      <c r="Y901" s="39" t="str">
        <f>IF(AND(OR(LEFT(TH!L901,2)="15",LEFT(TH!M901,2)="15"),TK!$E$7=TH!F901),"x","")</f>
        <v/>
      </c>
      <c r="Z901" s="39" t="str">
        <f>IF(AND(B901&lt;=NKC!$N$8,B901&gt;=NKC!$M$8),"x","")</f>
        <v/>
      </c>
      <c r="AA901" s="894"/>
    </row>
    <row r="902" spans="1:27" ht="15.75" customHeight="1">
      <c r="A902" s="199" t="str">
        <f>IF(B902&lt;&gt;"",IF(AND(B902&gt;=_TM1,B902&lt;=_TM2,OR(TH!L902="1111",TH!M902="1111")),TH!D902,""),"")</f>
        <v/>
      </c>
      <c r="B902" s="36" t="str">
        <f t="shared" si="39"/>
        <v/>
      </c>
      <c r="C902" s="190"/>
      <c r="D902" s="190"/>
      <c r="E902" s="183"/>
      <c r="F902" s="188"/>
      <c r="G902" s="491"/>
      <c r="H902" s="7"/>
      <c r="I902" s="253"/>
      <c r="J902" s="253"/>
      <c r="K902" s="606"/>
      <c r="L902" s="39"/>
      <c r="M902" s="39"/>
      <c r="N902" s="39" t="str">
        <f>IF(AND('331-CT'!$E$7=TH!H902,OR(L902="331",M902="331")),"331",IF(AND(OR(L902="131",M902="131"),H902='131-CT'!$E$7),"131",""))</f>
        <v/>
      </c>
      <c r="O902" s="39" t="str">
        <f>IF(AND($B902&gt;='111'!$N$11,$B902&lt;='111'!$O$11,OR($L902=$O$7,$M902=$O$7)),"x","")</f>
        <v/>
      </c>
      <c r="P902" s="39" t="str">
        <f>IF(AND($L902=$O$7,$B902&lt;'111'!$N$11),"x","")</f>
        <v/>
      </c>
      <c r="Q902" s="39" t="str">
        <f>IF(AND($M902=$O$7,$B902&lt;'111'!$N$11),"x","")</f>
        <v/>
      </c>
      <c r="R902" s="39" t="str">
        <f>IF(ISERROR(FIND('112'!$M$9,G902,1)),"",IF((AND(FIND('112'!$M$9,G902,1)&gt;=1,$B902&gt;='112'!$N$8,$B902&lt;='112'!$O$8,OR($L902='112'!$I$6,$M902='112'!$I$6))),"x",""))</f>
        <v/>
      </c>
      <c r="S902" s="39" t="str">
        <f>IF(ISERROR(FIND('112'!$M$9,G902,1)),"",IF((AND(LEFT(G902,2)=LEFT('112'!$M$9,2),B902&lt;'112'!$N$8,$L902='112'!$I$6)),"x",""))</f>
        <v/>
      </c>
      <c r="T902" s="39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39" t="str">
        <f>IF(OR(TH!L902=TH!$V$7,M902=TH!$V$7),"x","")</f>
        <v/>
      </c>
      <c r="W902" s="39" t="str">
        <f>IF(AND(B902&gt;='IN-NX'!$P$3,B902&lt;='IN-NX'!$Q$3,'IN-NX'!$D$7=D902,OR(LEFT(L902,2)="15",AND(LEFT(M902,2)&lt;&gt;"15",LEFT(M902,2)&lt;&gt;"33"))),"x","")</f>
        <v/>
      </c>
      <c r="X902" s="39" t="str">
        <f>IF(AND(OR(LEFT(TH!L902,2)="15",LEFT(TH!M902,2)="15"),'152-CT'!$J$8=TH!F902),"x","")</f>
        <v/>
      </c>
      <c r="Y902" s="39" t="str">
        <f>IF(AND(OR(LEFT(TH!L902,2)="15",LEFT(TH!M902,2)="15"),TK!$E$7=TH!F902),"x","")</f>
        <v/>
      </c>
      <c r="Z902" s="39" t="str">
        <f>IF(AND(B902&lt;=NKC!$N$8,B902&gt;=NKC!$M$8),"x","")</f>
        <v/>
      </c>
      <c r="AA902" s="894"/>
    </row>
    <row r="903" spans="1:27" ht="15.75" customHeight="1">
      <c r="A903" s="199" t="str">
        <f>IF(B903&lt;&gt;"",IF(AND(B903&gt;=_TM1,B903&lt;=_TM2,OR(TH!L903="1111",TH!M903="1111")),TH!D903,""),"")</f>
        <v/>
      </c>
      <c r="B903" s="36" t="str">
        <f t="shared" si="39"/>
        <v/>
      </c>
      <c r="C903" s="190"/>
      <c r="D903" s="190"/>
      <c r="E903" s="183"/>
      <c r="F903" s="188"/>
      <c r="G903" s="491"/>
      <c r="H903" s="7"/>
      <c r="I903" s="253"/>
      <c r="J903" s="253"/>
      <c r="K903" s="606"/>
      <c r="L903" s="39"/>
      <c r="M903" s="39"/>
      <c r="N903" s="39" t="str">
        <f>IF(AND('331-CT'!$E$7=TH!H903,OR(L903="331",M903="331")),"331",IF(AND(OR(L903="131",M903="131"),H903='131-CT'!$E$7),"131",""))</f>
        <v/>
      </c>
      <c r="O903" s="39" t="str">
        <f>IF(AND($B903&gt;='111'!$N$11,$B903&lt;='111'!$O$11,OR($L903=$O$7,$M903=$O$7)),"x","")</f>
        <v/>
      </c>
      <c r="P903" s="39" t="str">
        <f>IF(AND($L903=$O$7,$B903&lt;'111'!$N$11),"x","")</f>
        <v/>
      </c>
      <c r="Q903" s="39" t="str">
        <f>IF(AND($M903=$O$7,$B903&lt;'111'!$N$11),"x","")</f>
        <v/>
      </c>
      <c r="R903" s="39" t="str">
        <f>IF(ISERROR(FIND('112'!$M$9,G903,1)),"",IF((AND(FIND('112'!$M$9,G903,1)&gt;=1,$B903&gt;='112'!$N$8,$B903&lt;='112'!$O$8,OR($L903='112'!$I$6,$M903='112'!$I$6))),"x",""))</f>
        <v/>
      </c>
      <c r="S903" s="39" t="str">
        <f>IF(ISERROR(FIND('112'!$M$9,G903,1)),"",IF((AND(LEFT(G903,2)=LEFT('112'!$M$9,2),B903&lt;'112'!$N$8,$L903='112'!$I$6)),"x",""))</f>
        <v/>
      </c>
      <c r="T903" s="39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39" t="str">
        <f>IF(OR(TH!L903=TH!$V$7,M903=TH!$V$7),"x","")</f>
        <v/>
      </c>
      <c r="W903" s="39" t="str">
        <f>IF(AND(B903&gt;='IN-NX'!$P$3,B903&lt;='IN-NX'!$Q$3,'IN-NX'!$D$7=D903,OR(LEFT(L903,2)="15",AND(LEFT(M903,2)&lt;&gt;"15",LEFT(M903,2)&lt;&gt;"33"))),"x","")</f>
        <v/>
      </c>
      <c r="X903" s="39" t="str">
        <f>IF(AND(OR(LEFT(TH!L903,2)="15",LEFT(TH!M903,2)="15"),'152-CT'!$J$8=TH!F903),"x","")</f>
        <v/>
      </c>
      <c r="Y903" s="39" t="str">
        <f>IF(AND(OR(LEFT(TH!L903,2)="15",LEFT(TH!M903,2)="15"),TK!$E$7=TH!F903),"x","")</f>
        <v/>
      </c>
      <c r="Z903" s="39" t="str">
        <f>IF(AND(B903&lt;=NKC!$N$8,B903&gt;=NKC!$M$8),"x","")</f>
        <v/>
      </c>
      <c r="AA903" s="894"/>
    </row>
    <row r="904" spans="1:27" ht="15.75" customHeight="1">
      <c r="A904" s="199" t="str">
        <f>IF(B904&lt;&gt;"",IF(AND(B904&gt;=_TM1,B904&lt;=_TM2,OR(TH!L904="1111",TH!M904="1111")),TH!D904,""),"")</f>
        <v/>
      </c>
      <c r="B904" s="36" t="str">
        <f t="shared" si="39"/>
        <v/>
      </c>
      <c r="C904" s="190"/>
      <c r="D904" s="190"/>
      <c r="E904" s="183"/>
      <c r="F904" s="191"/>
      <c r="G904" s="491"/>
      <c r="H904" s="204"/>
      <c r="I904" s="253"/>
      <c r="J904" s="253"/>
      <c r="K904" s="606"/>
      <c r="L904" s="39"/>
      <c r="M904" s="39"/>
      <c r="N904" s="39" t="str">
        <f>IF(AND('331-CT'!$E$7=TH!H904,OR(L904="331",M904="331")),"331",IF(AND(OR(L904="131",M904="131"),H904='131-CT'!$E$7),"131",""))</f>
        <v/>
      </c>
      <c r="O904" s="39" t="str">
        <f>IF(AND($B904&gt;='111'!$N$11,$B904&lt;='111'!$O$11,OR($L904=$O$7,$M904=$O$7)),"x","")</f>
        <v/>
      </c>
      <c r="P904" s="39" t="str">
        <f>IF(AND($L904=$O$7,$B904&lt;'111'!$N$11),"x","")</f>
        <v/>
      </c>
      <c r="Q904" s="39" t="str">
        <f>IF(AND($M904=$O$7,$B904&lt;'111'!$N$11),"x","")</f>
        <v/>
      </c>
      <c r="R904" s="39" t="str">
        <f>IF(ISERROR(FIND('112'!$M$9,G904,1)),"",IF((AND(FIND('112'!$M$9,G904,1)&gt;=1,$B904&gt;='112'!$N$8,$B904&lt;='112'!$O$8,OR($L904='112'!$I$6,$M904='112'!$I$6))),"x",""))</f>
        <v/>
      </c>
      <c r="S904" s="39" t="str">
        <f>IF(ISERROR(FIND('112'!$M$9,G904,1)),"",IF((AND(LEFT(G904,2)=LEFT('112'!$M$9,2),B904&lt;'112'!$N$8,$L904='112'!$I$6)),"x",""))</f>
        <v/>
      </c>
      <c r="T904" s="39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39" t="str">
        <f>IF(OR(TH!L904=TH!$V$7,M904=TH!$V$7),"x","")</f>
        <v/>
      </c>
      <c r="W904" s="39" t="str">
        <f>IF(AND(B904&gt;='IN-NX'!$P$3,B904&lt;='IN-NX'!$Q$3,'IN-NX'!$D$7=D904,OR(LEFT(L904,2)="15",AND(LEFT(M904,2)&lt;&gt;"15",LEFT(M904,2)&lt;&gt;"33"))),"x","")</f>
        <v/>
      </c>
      <c r="X904" s="39" t="str">
        <f>IF(AND(OR(LEFT(TH!L904,2)="15",LEFT(TH!M904,2)="15"),'152-CT'!$J$8=TH!F904),"x","")</f>
        <v/>
      </c>
      <c r="Y904" s="39" t="str">
        <f>IF(AND(OR(LEFT(TH!L904,2)="15",LEFT(TH!M904,2)="15"),TK!$E$7=TH!F904),"x","")</f>
        <v/>
      </c>
      <c r="Z904" s="39" t="str">
        <f>IF(AND(B904&lt;=NKC!$N$8,B904&gt;=NKC!$M$8),"x","")</f>
        <v/>
      </c>
      <c r="AA904" s="894"/>
    </row>
    <row r="905" spans="1:27" ht="15.75" customHeight="1">
      <c r="A905" s="199" t="str">
        <f>IF(B905&lt;&gt;"",IF(AND(B905&gt;=_TM1,B905&lt;=_TM2,OR(TH!L905="1111",TH!M905="1111")),TH!D905,""),"")</f>
        <v/>
      </c>
      <c r="B905" s="36" t="str">
        <f t="shared" si="39"/>
        <v/>
      </c>
      <c r="C905" s="190"/>
      <c r="D905" s="190"/>
      <c r="E905" s="183"/>
      <c r="F905" s="191"/>
      <c r="G905" s="491"/>
      <c r="H905" s="7"/>
      <c r="I905" s="253"/>
      <c r="J905" s="253"/>
      <c r="K905" s="606"/>
      <c r="L905" s="39"/>
      <c r="M905" s="39"/>
      <c r="N905" s="39" t="str">
        <f>IF(AND('331-CT'!$E$7=TH!H905,OR(L905="331",M905="331")),"331",IF(AND(OR(L905="131",M905="131"),H905='131-CT'!$E$7),"131",""))</f>
        <v/>
      </c>
      <c r="O905" s="39" t="str">
        <f>IF(AND($B905&gt;='111'!$N$11,$B905&lt;='111'!$O$11,OR($L905=$O$7,$M905=$O$7)),"x","")</f>
        <v/>
      </c>
      <c r="P905" s="39" t="str">
        <f>IF(AND($L905=$O$7,$B905&lt;'111'!$N$11),"x","")</f>
        <v/>
      </c>
      <c r="Q905" s="39" t="str">
        <f>IF(AND($M905=$O$7,$B905&lt;'111'!$N$11),"x","")</f>
        <v/>
      </c>
      <c r="R905" s="39" t="str">
        <f>IF(ISERROR(FIND('112'!$M$9,G905,1)),"",IF((AND(FIND('112'!$M$9,G905,1)&gt;=1,$B905&gt;='112'!$N$8,$B905&lt;='112'!$O$8,OR($L905='112'!$I$6,$M905='112'!$I$6))),"x",""))</f>
        <v/>
      </c>
      <c r="S905" s="39" t="str">
        <f>IF(ISERROR(FIND('112'!$M$9,G905,1)),"",IF((AND(LEFT(G905,2)=LEFT('112'!$M$9,2),B905&lt;'112'!$N$8,$L905='112'!$I$6)),"x",""))</f>
        <v/>
      </c>
      <c r="T905" s="39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39" t="str">
        <f>IF(OR(TH!L905=TH!$V$7,M905=TH!$V$7),"x","")</f>
        <v/>
      </c>
      <c r="W905" s="39" t="str">
        <f>IF(AND(B905&gt;='IN-NX'!$P$3,B905&lt;='IN-NX'!$Q$3,'IN-NX'!$D$7=D905,OR(LEFT(L905,2)="15",AND(LEFT(M905,2)&lt;&gt;"15",LEFT(M905,2)&lt;&gt;"33"))),"x","")</f>
        <v/>
      </c>
      <c r="X905" s="39" t="str">
        <f>IF(AND(OR(LEFT(TH!L905,2)="15",LEFT(TH!M905,2)="15"),'152-CT'!$J$8=TH!F905),"x","")</f>
        <v/>
      </c>
      <c r="Y905" s="39" t="str">
        <f>IF(AND(OR(LEFT(TH!L905,2)="15",LEFT(TH!M905,2)="15"),TK!$E$7=TH!F905),"x","")</f>
        <v/>
      </c>
      <c r="Z905" s="39" t="str">
        <f>IF(AND(B905&lt;=NKC!$N$8,B905&gt;=NKC!$M$8),"x","")</f>
        <v/>
      </c>
      <c r="AA905" s="894"/>
    </row>
    <row r="906" spans="1:27" ht="15.75" customHeight="1">
      <c r="A906" s="199" t="str">
        <f>IF(B906&lt;&gt;"",IF(AND(B906&gt;=_TM1,B906&lt;=_TM2,OR(TH!L906="1111",TH!M906="1111")),TH!D906,""),"")</f>
        <v/>
      </c>
      <c r="B906" s="36" t="str">
        <f t="shared" si="39"/>
        <v/>
      </c>
      <c r="C906" s="190"/>
      <c r="D906" s="190"/>
      <c r="E906" s="183"/>
      <c r="F906" s="191"/>
      <c r="G906" s="491"/>
      <c r="H906" s="7"/>
      <c r="I906" s="253"/>
      <c r="J906" s="253"/>
      <c r="K906" s="606"/>
      <c r="L906" s="39"/>
      <c r="M906" s="39"/>
      <c r="N906" s="39" t="str">
        <f>IF(AND('331-CT'!$E$7=TH!H906,OR(L906="331",M906="331")),"331",IF(AND(OR(L906="131",M906="131"),H906='131-CT'!$E$7),"131",""))</f>
        <v/>
      </c>
      <c r="O906" s="39" t="str">
        <f>IF(AND($B906&gt;='111'!$N$11,$B906&lt;='111'!$O$11,OR($L906=$O$7,$M906=$O$7)),"x","")</f>
        <v/>
      </c>
      <c r="P906" s="39" t="str">
        <f>IF(AND($L906=$O$7,$B906&lt;'111'!$N$11),"x","")</f>
        <v/>
      </c>
      <c r="Q906" s="39" t="str">
        <f>IF(AND($M906=$O$7,$B906&lt;'111'!$N$11),"x","")</f>
        <v/>
      </c>
      <c r="R906" s="39" t="str">
        <f>IF(ISERROR(FIND('112'!$M$9,G906,1)),"",IF((AND(FIND('112'!$M$9,G906,1)&gt;=1,$B906&gt;='112'!$N$8,$B906&lt;='112'!$O$8,OR($L906='112'!$I$6,$M906='112'!$I$6))),"x",""))</f>
        <v/>
      </c>
      <c r="S906" s="39" t="str">
        <f>IF(ISERROR(FIND('112'!$M$9,G906,1)),"",IF((AND(LEFT(G906,2)=LEFT('112'!$M$9,2),B906&lt;'112'!$N$8,$L906='112'!$I$6)),"x",""))</f>
        <v/>
      </c>
      <c r="T906" s="39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39" t="str">
        <f>IF(OR(TH!L906=TH!$V$7,M906=TH!$V$7),"x","")</f>
        <v/>
      </c>
      <c r="W906" s="39" t="str">
        <f>IF(AND(B906&gt;='IN-NX'!$P$3,B906&lt;='IN-NX'!$Q$3,'IN-NX'!$D$7=D906,OR(LEFT(L906,2)="15",AND(LEFT(M906,2)&lt;&gt;"15",LEFT(M906,2)&lt;&gt;"33"))),"x","")</f>
        <v/>
      </c>
      <c r="X906" s="39" t="str">
        <f>IF(AND(OR(LEFT(TH!L906,2)="15",LEFT(TH!M906,2)="15"),'152-CT'!$J$8=TH!F906),"x","")</f>
        <v/>
      </c>
      <c r="Y906" s="39" t="str">
        <f>IF(AND(OR(LEFT(TH!L906,2)="15",LEFT(TH!M906,2)="15"),TK!$E$7=TH!F906),"x","")</f>
        <v/>
      </c>
      <c r="Z906" s="39" t="str">
        <f>IF(AND(B906&lt;=NKC!$N$8,B906&gt;=NKC!$M$8),"x","")</f>
        <v/>
      </c>
      <c r="AA906" s="894"/>
    </row>
    <row r="907" spans="1:27" ht="15.75" customHeight="1">
      <c r="A907" s="199" t="str">
        <f>IF(B907&lt;&gt;"",IF(AND(B907&gt;=_TM1,B907&lt;=_TM2,OR(TH!L907="1111",TH!M907="1111")),TH!D907,""),"")</f>
        <v/>
      </c>
      <c r="B907" s="36" t="str">
        <f t="shared" si="39"/>
        <v/>
      </c>
      <c r="C907" s="190"/>
      <c r="D907" s="190"/>
      <c r="E907" s="183"/>
      <c r="F907" s="191"/>
      <c r="G907" s="491"/>
      <c r="H907" s="7"/>
      <c r="I907" s="253"/>
      <c r="J907" s="253"/>
      <c r="K907" s="606"/>
      <c r="L907" s="39"/>
      <c r="M907" s="39"/>
      <c r="N907" s="39" t="str">
        <f>IF(AND('331-CT'!$E$7=TH!H907,OR(L907="331",M907="331")),"331",IF(AND(OR(L907="131",M907="131"),H907='131-CT'!$E$7),"131",""))</f>
        <v/>
      </c>
      <c r="O907" s="39" t="str">
        <f>IF(AND($B907&gt;='111'!$N$11,$B907&lt;='111'!$O$11,OR($L907=$O$7,$M907=$O$7)),"x","")</f>
        <v/>
      </c>
      <c r="P907" s="39" t="str">
        <f>IF(AND($L907=$O$7,$B907&lt;'111'!$N$11),"x","")</f>
        <v/>
      </c>
      <c r="Q907" s="39" t="str">
        <f>IF(AND($M907=$O$7,$B907&lt;'111'!$N$11),"x","")</f>
        <v/>
      </c>
      <c r="R907" s="39" t="str">
        <f>IF(ISERROR(FIND('112'!$M$9,G907,1)),"",IF((AND(FIND('112'!$M$9,G907,1)&gt;=1,$B907&gt;='112'!$N$8,$B907&lt;='112'!$O$8,OR($L907='112'!$I$6,$M907='112'!$I$6))),"x",""))</f>
        <v/>
      </c>
      <c r="S907" s="39" t="str">
        <f>IF(ISERROR(FIND('112'!$M$9,G907,1)),"",IF((AND(LEFT(G907,2)=LEFT('112'!$M$9,2),B907&lt;'112'!$N$8,$L907='112'!$I$6)),"x",""))</f>
        <v/>
      </c>
      <c r="T907" s="39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39" t="str">
        <f>IF(OR(TH!L907=TH!$V$7,M907=TH!$V$7),"x","")</f>
        <v/>
      </c>
      <c r="W907" s="39" t="str">
        <f>IF(AND(B907&gt;='IN-NX'!$P$3,B907&lt;='IN-NX'!$Q$3,'IN-NX'!$D$7=D907,OR(LEFT(L907,2)="15",AND(LEFT(M907,2)&lt;&gt;"15",LEFT(M907,2)&lt;&gt;"33"))),"x","")</f>
        <v/>
      </c>
      <c r="X907" s="39" t="str">
        <f>IF(AND(OR(LEFT(TH!L907,2)="15",LEFT(TH!M907,2)="15"),'152-CT'!$J$8=TH!F907),"x","")</f>
        <v/>
      </c>
      <c r="Y907" s="39" t="str">
        <f>IF(AND(OR(LEFT(TH!L907,2)="15",LEFT(TH!M907,2)="15"),TK!$E$7=TH!F907),"x","")</f>
        <v/>
      </c>
      <c r="Z907" s="39" t="str">
        <f>IF(AND(B907&lt;=NKC!$N$8,B907&gt;=NKC!$M$8),"x","")</f>
        <v/>
      </c>
      <c r="AA907" s="894"/>
    </row>
    <row r="908" spans="1:27" ht="15.75" customHeight="1">
      <c r="A908" s="199" t="str">
        <f>IF(B908&lt;&gt;"",IF(AND(B908&gt;=_TM1,B908&lt;=_TM2,OR(TH!L908="1111",TH!M908="1111")),TH!D908,""),"")</f>
        <v/>
      </c>
      <c r="B908" s="36" t="str">
        <f t="shared" si="39"/>
        <v/>
      </c>
      <c r="C908" s="190"/>
      <c r="D908" s="190"/>
      <c r="E908" s="183"/>
      <c r="F908" s="191"/>
      <c r="G908" s="491"/>
      <c r="H908" s="7"/>
      <c r="I908" s="253"/>
      <c r="J908" s="253"/>
      <c r="K908" s="606"/>
      <c r="L908" s="39"/>
      <c r="M908" s="39"/>
      <c r="N908" s="39" t="str">
        <f>IF(AND('331-CT'!$E$7=TH!H908,OR(L908="331",M908="331")),"331",IF(AND(OR(L908="131",M908="131"),H908='131-CT'!$E$7),"131",""))</f>
        <v/>
      </c>
      <c r="O908" s="39" t="str">
        <f>IF(AND($B908&gt;='111'!$N$11,$B908&lt;='111'!$O$11,OR($L908=$O$7,$M908=$O$7)),"x","")</f>
        <v/>
      </c>
      <c r="P908" s="39" t="str">
        <f>IF(AND($L908=$O$7,$B908&lt;'111'!$N$11),"x","")</f>
        <v/>
      </c>
      <c r="Q908" s="39" t="str">
        <f>IF(AND($M908=$O$7,$B908&lt;'111'!$N$11),"x","")</f>
        <v/>
      </c>
      <c r="R908" s="39" t="str">
        <f>IF(ISERROR(FIND('112'!$M$9,G908,1)),"",IF((AND(FIND('112'!$M$9,G908,1)&gt;=1,$B908&gt;='112'!$N$8,$B908&lt;='112'!$O$8,OR($L908='112'!$I$6,$M908='112'!$I$6))),"x",""))</f>
        <v/>
      </c>
      <c r="S908" s="39" t="str">
        <f>IF(ISERROR(FIND('112'!$M$9,G908,1)),"",IF((AND(LEFT(G908,2)=LEFT('112'!$M$9,2),B908&lt;'112'!$N$8,$L908='112'!$I$6)),"x",""))</f>
        <v/>
      </c>
      <c r="T908" s="39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39" t="str">
        <f>IF(OR(TH!L908=TH!$V$7,M908=TH!$V$7),"x","")</f>
        <v/>
      </c>
      <c r="W908" s="39" t="str">
        <f>IF(AND(B908&gt;='IN-NX'!$P$3,B908&lt;='IN-NX'!$Q$3,'IN-NX'!$D$7=D908,OR(LEFT(L908,2)="15",AND(LEFT(M908,2)&lt;&gt;"15",LEFT(M908,2)&lt;&gt;"33"))),"x","")</f>
        <v/>
      </c>
      <c r="X908" s="39" t="str">
        <f>IF(AND(OR(LEFT(TH!L908,2)="15",LEFT(TH!M908,2)="15"),'152-CT'!$J$8=TH!F908),"x","")</f>
        <v/>
      </c>
      <c r="Y908" s="39" t="str">
        <f>IF(AND(OR(LEFT(TH!L908,2)="15",LEFT(TH!M908,2)="15"),TK!$E$7=TH!F908),"x","")</f>
        <v/>
      </c>
      <c r="Z908" s="39" t="str">
        <f>IF(AND(B908&lt;=NKC!$N$8,B908&gt;=NKC!$M$8),"x","")</f>
        <v/>
      </c>
      <c r="AA908" s="894"/>
    </row>
    <row r="909" spans="1:27" ht="15.75" customHeight="1">
      <c r="A909" s="199" t="str">
        <f>IF(B909&lt;&gt;"",IF(AND(B909&gt;=_TM1,B909&lt;=_TM2,OR(TH!L909="1111",TH!M909="1111")),TH!D909,""),"")</f>
        <v/>
      </c>
      <c r="B909" s="36" t="str">
        <f t="shared" si="39"/>
        <v/>
      </c>
      <c r="C909" s="190"/>
      <c r="D909" s="190"/>
      <c r="E909" s="183"/>
      <c r="F909" s="191"/>
      <c r="G909" s="491"/>
      <c r="H909" s="7"/>
      <c r="I909" s="253"/>
      <c r="J909" s="253"/>
      <c r="K909" s="606"/>
      <c r="L909" s="39"/>
      <c r="M909" s="39"/>
      <c r="N909" s="39" t="str">
        <f>IF(AND('331-CT'!$E$7=TH!H909,OR(L909="331",M909="331")),"331",IF(AND(OR(L909="131",M909="131"),H909='131-CT'!$E$7),"131",""))</f>
        <v/>
      </c>
      <c r="O909" s="39" t="str">
        <f>IF(AND($B909&gt;='111'!$N$11,$B909&lt;='111'!$O$11,OR($L909=$O$7,$M909=$O$7)),"x","")</f>
        <v/>
      </c>
      <c r="P909" s="39" t="str">
        <f>IF(AND($L909=$O$7,$B909&lt;'111'!$N$11),"x","")</f>
        <v/>
      </c>
      <c r="Q909" s="39" t="str">
        <f>IF(AND($M909=$O$7,$B909&lt;'111'!$N$11),"x","")</f>
        <v/>
      </c>
      <c r="R909" s="39" t="str">
        <f>IF(ISERROR(FIND('112'!$M$9,G909,1)),"",IF((AND(FIND('112'!$M$9,G909,1)&gt;=1,$B909&gt;='112'!$N$8,$B909&lt;='112'!$O$8,OR($L909='112'!$I$6,$M909='112'!$I$6))),"x",""))</f>
        <v/>
      </c>
      <c r="S909" s="39" t="str">
        <f>IF(ISERROR(FIND('112'!$M$9,G909,1)),"",IF((AND(LEFT(G909,2)=LEFT('112'!$M$9,2),B909&lt;'112'!$N$8,$L909='112'!$I$6)),"x",""))</f>
        <v/>
      </c>
      <c r="T909" s="39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39" t="str">
        <f>IF(OR(TH!L909=TH!$V$7,M909=TH!$V$7),"x","")</f>
        <v/>
      </c>
      <c r="W909" s="39" t="str">
        <f>IF(AND(B909&gt;='IN-NX'!$P$3,B909&lt;='IN-NX'!$Q$3,'IN-NX'!$D$7=D909,OR(LEFT(L909,2)="15",AND(LEFT(M909,2)&lt;&gt;"15",LEFT(M909,2)&lt;&gt;"33"))),"x","")</f>
        <v/>
      </c>
      <c r="X909" s="39" t="str">
        <f>IF(AND(OR(LEFT(TH!L909,2)="15",LEFT(TH!M909,2)="15"),'152-CT'!$J$8=TH!F909),"x","")</f>
        <v/>
      </c>
      <c r="Y909" s="39" t="str">
        <f>IF(AND(OR(LEFT(TH!L909,2)="15",LEFT(TH!M909,2)="15"),TK!$E$7=TH!F909),"x","")</f>
        <v/>
      </c>
      <c r="Z909" s="39" t="str">
        <f>IF(AND(B909&lt;=NKC!$N$8,B909&gt;=NKC!$M$8),"x","")</f>
        <v/>
      </c>
      <c r="AA909" s="894"/>
    </row>
    <row r="910" spans="1:27" ht="15.75" customHeight="1">
      <c r="A910" s="199" t="str">
        <f>IF(B910&lt;&gt;"",IF(AND(B910&gt;=_TM1,B910&lt;=_TM2,OR(TH!L910="1111",TH!M910="1111")),TH!D910,""),"")</f>
        <v/>
      </c>
      <c r="B910" s="36" t="str">
        <f t="shared" si="39"/>
        <v/>
      </c>
      <c r="C910" s="190"/>
      <c r="D910" s="190"/>
      <c r="E910" s="183"/>
      <c r="F910" s="191"/>
      <c r="G910" s="491"/>
      <c r="H910" s="7"/>
      <c r="I910" s="253"/>
      <c r="J910" s="253"/>
      <c r="K910" s="606"/>
      <c r="L910" s="39"/>
      <c r="M910" s="39"/>
      <c r="N910" s="39" t="str">
        <f>IF(AND('331-CT'!$E$7=TH!H910,OR(L910="331",M910="331")),"331",IF(AND(OR(L910="131",M910="131"),H910='131-CT'!$E$7),"131",""))</f>
        <v/>
      </c>
      <c r="O910" s="39" t="str">
        <f>IF(AND($B910&gt;='111'!$N$11,$B910&lt;='111'!$O$11,OR($L910=$O$7,$M910=$O$7)),"x","")</f>
        <v/>
      </c>
      <c r="P910" s="39" t="str">
        <f>IF(AND($L910=$O$7,$B910&lt;'111'!$N$11),"x","")</f>
        <v/>
      </c>
      <c r="Q910" s="39" t="str">
        <f>IF(AND($M910=$O$7,$B910&lt;'111'!$N$11),"x","")</f>
        <v/>
      </c>
      <c r="R910" s="39" t="str">
        <f>IF(ISERROR(FIND('112'!$M$9,G910,1)),"",IF((AND(FIND('112'!$M$9,G910,1)&gt;=1,$B910&gt;='112'!$N$8,$B910&lt;='112'!$O$8,OR($L910='112'!$I$6,$M910='112'!$I$6))),"x",""))</f>
        <v/>
      </c>
      <c r="S910" s="39" t="str">
        <f>IF(ISERROR(FIND('112'!$M$9,G910,1)),"",IF((AND(LEFT(G910,2)=LEFT('112'!$M$9,2),B910&lt;'112'!$N$8,$L910='112'!$I$6)),"x",""))</f>
        <v/>
      </c>
      <c r="T910" s="39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39" t="str">
        <f>IF(OR(TH!L910=TH!$V$7,M910=TH!$V$7),"x","")</f>
        <v/>
      </c>
      <c r="W910" s="39" t="str">
        <f>IF(AND(B910&gt;='IN-NX'!$P$3,B910&lt;='IN-NX'!$Q$3,'IN-NX'!$D$7=D910,OR(LEFT(L910,2)="15",AND(LEFT(M910,2)&lt;&gt;"15",LEFT(M910,2)&lt;&gt;"33"))),"x","")</f>
        <v/>
      </c>
      <c r="X910" s="39" t="str">
        <f>IF(AND(OR(LEFT(TH!L910,2)="15",LEFT(TH!M910,2)="15"),'152-CT'!$J$8=TH!F910),"x","")</f>
        <v/>
      </c>
      <c r="Y910" s="39" t="str">
        <f>IF(AND(OR(LEFT(TH!L910,2)="15",LEFT(TH!M910,2)="15"),TK!$E$7=TH!F910),"x","")</f>
        <v/>
      </c>
      <c r="Z910" s="39" t="str">
        <f>IF(AND(B910&lt;=NKC!$N$8,B910&gt;=NKC!$M$8),"x","")</f>
        <v/>
      </c>
      <c r="AA910" s="894"/>
    </row>
    <row r="911" spans="1:27" ht="15.75" customHeight="1">
      <c r="A911" s="199" t="str">
        <f>IF(B911&lt;&gt;"",IF(AND(B911&gt;=_TM1,B911&lt;=_TM2,OR(TH!L911="1111",TH!M911="1111")),TH!D911,""),"")</f>
        <v/>
      </c>
      <c r="B911" s="36" t="str">
        <f t="shared" si="39"/>
        <v/>
      </c>
      <c r="C911" s="190"/>
      <c r="D911" s="190"/>
      <c r="E911" s="183"/>
      <c r="F911" s="191"/>
      <c r="G911" s="491"/>
      <c r="H911" s="7"/>
      <c r="I911" s="253"/>
      <c r="J911" s="253"/>
      <c r="K911" s="606"/>
      <c r="L911" s="39"/>
      <c r="M911" s="39"/>
      <c r="N911" s="39" t="str">
        <f>IF(AND('331-CT'!$E$7=TH!H911,OR(L911="331",M911="331")),"331",IF(AND(OR(L911="131",M911="131"),H911='131-CT'!$E$7),"131",""))</f>
        <v/>
      </c>
      <c r="O911" s="39" t="str">
        <f>IF(AND($B911&gt;='111'!$N$11,$B911&lt;='111'!$O$11,OR($L911=$O$7,$M911=$O$7)),"x","")</f>
        <v/>
      </c>
      <c r="P911" s="39" t="str">
        <f>IF(AND($L911=$O$7,$B911&lt;'111'!$N$11),"x","")</f>
        <v/>
      </c>
      <c r="Q911" s="39" t="str">
        <f>IF(AND($M911=$O$7,$B911&lt;'111'!$N$11),"x","")</f>
        <v/>
      </c>
      <c r="R911" s="39" t="str">
        <f>IF(ISERROR(FIND('112'!$M$9,G911,1)),"",IF((AND(FIND('112'!$M$9,G911,1)&gt;=1,$B911&gt;='112'!$N$8,$B911&lt;='112'!$O$8,OR($L911='112'!$I$6,$M911='112'!$I$6))),"x",""))</f>
        <v/>
      </c>
      <c r="S911" s="39" t="str">
        <f>IF(ISERROR(FIND('112'!$M$9,G911,1)),"",IF((AND(LEFT(G911,2)=LEFT('112'!$M$9,2),B911&lt;'112'!$N$8,$L911='112'!$I$6)),"x",""))</f>
        <v/>
      </c>
      <c r="T911" s="39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39" t="str">
        <f>IF(OR(TH!L911=TH!$V$7,M911=TH!$V$7),"x","")</f>
        <v/>
      </c>
      <c r="W911" s="39" t="str">
        <f>IF(AND(B911&gt;='IN-NX'!$P$3,B911&lt;='IN-NX'!$Q$3,'IN-NX'!$D$7=D911,OR(LEFT(L911,2)="15",AND(LEFT(M911,2)&lt;&gt;"15",LEFT(M911,2)&lt;&gt;"33"))),"x","")</f>
        <v/>
      </c>
      <c r="X911" s="39" t="str">
        <f>IF(AND(OR(LEFT(TH!L911,2)="15",LEFT(TH!M911,2)="15"),'152-CT'!$J$8=TH!F911),"x","")</f>
        <v/>
      </c>
      <c r="Y911" s="39" t="str">
        <f>IF(AND(OR(LEFT(TH!L911,2)="15",LEFT(TH!M911,2)="15"),TK!$E$7=TH!F911),"x","")</f>
        <v/>
      </c>
      <c r="Z911" s="39" t="str">
        <f>IF(AND(B911&lt;=NKC!$N$8,B911&gt;=NKC!$M$8),"x","")</f>
        <v/>
      </c>
      <c r="AA911" s="894"/>
    </row>
    <row r="912" spans="1:27" ht="15.75" customHeight="1">
      <c r="A912" s="199" t="str">
        <f>IF(B912&lt;&gt;"",IF(AND(B912&gt;=_TM1,B912&lt;=_TM2,OR(TH!L912="1111",TH!M912="1111")),TH!D912,""),"")</f>
        <v/>
      </c>
      <c r="B912" s="36" t="str">
        <f t="shared" si="39"/>
        <v/>
      </c>
      <c r="C912" s="190"/>
      <c r="D912" s="190"/>
      <c r="E912" s="190"/>
      <c r="F912" s="191"/>
      <c r="G912" s="491"/>
      <c r="H912" s="7"/>
      <c r="I912" s="253"/>
      <c r="J912" s="253"/>
      <c r="K912" s="606"/>
      <c r="L912" s="39"/>
      <c r="M912" s="607"/>
      <c r="N912" s="39" t="str">
        <f>IF(AND('331-CT'!$E$7=TH!H912,OR(L912="331",M912="331")),"331",IF(AND(OR(L912="131",M912="131"),H912='131-CT'!$E$7),"131",""))</f>
        <v/>
      </c>
      <c r="O912" s="39" t="str">
        <f>IF(AND($B912&gt;='111'!$N$11,$B912&lt;='111'!$O$11,OR($L912=$O$7,$M912=$O$7)),"x","")</f>
        <v/>
      </c>
      <c r="P912" s="39" t="str">
        <f>IF(AND($L912=$O$7,$B912&lt;'111'!$N$11),"x","")</f>
        <v/>
      </c>
      <c r="Q912" s="39" t="str">
        <f>IF(AND($M912=$O$7,$B912&lt;'111'!$N$11),"x","")</f>
        <v/>
      </c>
      <c r="R912" s="39" t="str">
        <f>IF(ISERROR(FIND('112'!$M$9,G912,1)),"",IF((AND(FIND('112'!$M$9,G912,1)&gt;=1,$B912&gt;='112'!$N$8,$B912&lt;='112'!$O$8,OR($L912='112'!$I$6,$M912='112'!$I$6))),"x",""))</f>
        <v/>
      </c>
      <c r="S912" s="39" t="str">
        <f>IF(ISERROR(FIND('112'!$M$9,G912,1)),"",IF((AND(LEFT(G912,2)=LEFT('112'!$M$9,2),B912&lt;'112'!$N$8,$L912='112'!$I$6)),"x",""))</f>
        <v/>
      </c>
      <c r="T912" s="39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39" t="str">
        <f>IF(OR(TH!L912=TH!$V$7,M912=TH!$V$7),"x","")</f>
        <v/>
      </c>
      <c r="W912" s="39" t="str">
        <f>IF(AND(B912&gt;='IN-NX'!$P$3,B912&lt;='IN-NX'!$Q$3,'IN-NX'!$D$7=D912,OR(LEFT(L912,2)="15",AND(LEFT(M912,2)&lt;&gt;"15",LEFT(M912,2)&lt;&gt;"33"))),"x","")</f>
        <v/>
      </c>
      <c r="X912" s="39" t="str">
        <f>IF(AND(OR(LEFT(TH!L912,2)="15",LEFT(TH!M912,2)="15"),'152-CT'!$J$8=TH!F912),"x","")</f>
        <v/>
      </c>
      <c r="Y912" s="39" t="str">
        <f>IF(AND(OR(LEFT(TH!L912,2)="15",LEFT(TH!M912,2)="15"),TK!$E$7=TH!F912),"x","")</f>
        <v/>
      </c>
      <c r="Z912" s="39" t="str">
        <f>IF(AND(B912&lt;=NKC!$N$8,B912&gt;=NKC!$M$8),"x","")</f>
        <v/>
      </c>
      <c r="AA912" s="894"/>
    </row>
    <row r="913" spans="1:27" ht="15.75" customHeight="1">
      <c r="A913" s="199" t="str">
        <f>IF(B913&lt;&gt;"",IF(AND(B913&gt;=_TM1,B913&lt;=_TM2,OR(TH!L913="1111",TH!M913="1111")),TH!D913,""),"")</f>
        <v/>
      </c>
      <c r="B913" s="36" t="str">
        <f t="shared" si="39"/>
        <v/>
      </c>
      <c r="C913" s="190"/>
      <c r="D913" s="190"/>
      <c r="E913" s="190"/>
      <c r="F913" s="191"/>
      <c r="G913" s="491"/>
      <c r="H913" s="7"/>
      <c r="I913" s="253"/>
      <c r="J913" s="253"/>
      <c r="K913" s="606"/>
      <c r="L913" s="39"/>
      <c r="M913" s="607"/>
      <c r="N913" s="39" t="str">
        <f>IF(AND('331-CT'!$E$7=TH!H913,OR(L913="331",M913="331")),"331",IF(AND(OR(L913="131",M913="131"),H913='131-CT'!$E$7),"131",""))</f>
        <v/>
      </c>
      <c r="O913" s="39" t="str">
        <f>IF(AND($B913&gt;='111'!$N$11,$B913&lt;='111'!$O$11,OR($L913=$O$7,$M913=$O$7)),"x","")</f>
        <v/>
      </c>
      <c r="P913" s="39" t="str">
        <f>IF(AND($L913=$O$7,$B913&lt;'111'!$N$11),"x","")</f>
        <v/>
      </c>
      <c r="Q913" s="39" t="str">
        <f>IF(AND($M913=$O$7,$B913&lt;'111'!$N$11),"x","")</f>
        <v/>
      </c>
      <c r="R913" s="39" t="str">
        <f>IF(ISERROR(FIND('112'!$M$9,G913,1)),"",IF((AND(FIND('112'!$M$9,G913,1)&gt;=1,$B913&gt;='112'!$N$8,$B913&lt;='112'!$O$8,OR($L913='112'!$I$6,$M913='112'!$I$6))),"x",""))</f>
        <v/>
      </c>
      <c r="S913" s="39" t="str">
        <f>IF(ISERROR(FIND('112'!$M$9,G913,1)),"",IF((AND(LEFT(G913,2)=LEFT('112'!$M$9,2),B913&lt;'112'!$N$8,$L913='112'!$I$6)),"x",""))</f>
        <v/>
      </c>
      <c r="T913" s="39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39" t="str">
        <f>IF(OR(TH!L913=TH!$V$7,M913=TH!$V$7),"x","")</f>
        <v/>
      </c>
      <c r="W913" s="39" t="str">
        <f>IF(AND(B913&gt;='IN-NX'!$P$3,B913&lt;='IN-NX'!$Q$3,'IN-NX'!$D$7=D913,OR(LEFT(L913,2)="15",AND(LEFT(M913,2)&lt;&gt;"15",LEFT(M913,2)&lt;&gt;"33"))),"x","")</f>
        <v/>
      </c>
      <c r="X913" s="39" t="str">
        <f>IF(AND(OR(LEFT(TH!L913,2)="15",LEFT(TH!M913,2)="15"),'152-CT'!$J$8=TH!F913),"x","")</f>
        <v/>
      </c>
      <c r="Y913" s="39" t="str">
        <f>IF(AND(OR(LEFT(TH!L913,2)="15",LEFT(TH!M913,2)="15"),TK!$E$7=TH!F913),"x","")</f>
        <v/>
      </c>
      <c r="Z913" s="39" t="str">
        <f>IF(AND(B913&lt;=NKC!$N$8,B913&gt;=NKC!$M$8),"x","")</f>
        <v/>
      </c>
      <c r="AA913" s="894"/>
    </row>
    <row r="914" spans="1:27" ht="15.75" customHeight="1">
      <c r="A914" s="199" t="str">
        <f>IF(B914&lt;&gt;"",IF(AND(B914&gt;=_TM1,B914&lt;=_TM2,OR(TH!L914="1111",TH!M914="1111")),TH!D914,""),"")</f>
        <v/>
      </c>
      <c r="B914" s="36" t="str">
        <f t="shared" si="39"/>
        <v/>
      </c>
      <c r="C914" s="190"/>
      <c r="D914" s="190"/>
      <c r="E914" s="190"/>
      <c r="F914" s="191"/>
      <c r="G914" s="491"/>
      <c r="H914" s="7"/>
      <c r="I914" s="253"/>
      <c r="J914" s="253"/>
      <c r="K914" s="606"/>
      <c r="L914" s="39"/>
      <c r="M914" s="607"/>
      <c r="N914" s="39" t="str">
        <f>IF(AND('331-CT'!$E$7=TH!H914,OR(L914="331",M914="331")),"331",IF(AND(OR(L914="131",M914="131"),H914='131-CT'!$E$7),"131",""))</f>
        <v/>
      </c>
      <c r="O914" s="39" t="str">
        <f>IF(AND($B914&gt;='111'!$N$11,$B914&lt;='111'!$O$11,OR($L914=$O$7,$M914=$O$7)),"x","")</f>
        <v/>
      </c>
      <c r="P914" s="39" t="str">
        <f>IF(AND($L914=$O$7,$B914&lt;'111'!$N$11),"x","")</f>
        <v/>
      </c>
      <c r="Q914" s="39" t="str">
        <f>IF(AND($M914=$O$7,$B914&lt;'111'!$N$11),"x","")</f>
        <v/>
      </c>
      <c r="R914" s="39" t="str">
        <f>IF(ISERROR(FIND('112'!$M$9,G914,1)),"",IF((AND(FIND('112'!$M$9,G914,1)&gt;=1,$B914&gt;='112'!$N$8,$B914&lt;='112'!$O$8,OR($L914='112'!$I$6,$M914='112'!$I$6))),"x",""))</f>
        <v/>
      </c>
      <c r="S914" s="39" t="str">
        <f>IF(ISERROR(FIND('112'!$M$9,G914,1)),"",IF((AND(LEFT(G914,2)=LEFT('112'!$M$9,2),B914&lt;'112'!$N$8,$L914='112'!$I$6)),"x",""))</f>
        <v/>
      </c>
      <c r="T914" s="39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39" t="str">
        <f>IF(OR(TH!L914=TH!$V$7,M914=TH!$V$7),"x","")</f>
        <v/>
      </c>
      <c r="W914" s="39" t="str">
        <f>IF(AND(B914&gt;='IN-NX'!$P$3,B914&lt;='IN-NX'!$Q$3,'IN-NX'!$D$7=D914,OR(LEFT(L914,2)="15",AND(LEFT(M914,2)&lt;&gt;"15",LEFT(M914,2)&lt;&gt;"33"))),"x","")</f>
        <v/>
      </c>
      <c r="X914" s="39" t="str">
        <f>IF(AND(OR(LEFT(TH!L914,2)="15",LEFT(TH!M914,2)="15"),'152-CT'!$J$8=TH!F914),"x","")</f>
        <v/>
      </c>
      <c r="Y914" s="39" t="str">
        <f>IF(AND(OR(LEFT(TH!L914,2)="15",LEFT(TH!M914,2)="15"),TK!$E$7=TH!F914),"x","")</f>
        <v/>
      </c>
      <c r="Z914" s="39" t="str">
        <f>IF(AND(B914&lt;=NKC!$N$8,B914&gt;=NKC!$M$8),"x","")</f>
        <v/>
      </c>
      <c r="AA914" s="894"/>
    </row>
    <row r="915" spans="1:27" ht="15.75" customHeight="1">
      <c r="A915" s="199" t="str">
        <f>IF(B915&lt;&gt;"",IF(AND(B915&gt;=_TM1,B915&lt;=_TM2,OR(TH!L915="1111",TH!M915="1111")),TH!D915,""),"")</f>
        <v/>
      </c>
      <c r="B915" s="36" t="str">
        <f t="shared" si="39"/>
        <v/>
      </c>
      <c r="C915" s="190"/>
      <c r="D915" s="190"/>
      <c r="E915" s="190"/>
      <c r="F915" s="191"/>
      <c r="G915" s="491"/>
      <c r="H915" s="7"/>
      <c r="I915" s="253"/>
      <c r="J915" s="253"/>
      <c r="K915" s="606"/>
      <c r="L915" s="39"/>
      <c r="M915" s="607"/>
      <c r="N915" s="39" t="str">
        <f>IF(AND('331-CT'!$E$7=TH!H915,OR(L915="331",M915="331")),"331",IF(AND(OR(L915="131",M915="131"),H915='131-CT'!$E$7),"131",""))</f>
        <v/>
      </c>
      <c r="O915" s="39" t="str">
        <f>IF(AND($B915&gt;='111'!$N$11,$B915&lt;='111'!$O$11,OR($L915=$O$7,$M915=$O$7)),"x","")</f>
        <v/>
      </c>
      <c r="P915" s="39" t="str">
        <f>IF(AND($L915=$O$7,$B915&lt;'111'!$N$11),"x","")</f>
        <v/>
      </c>
      <c r="Q915" s="39" t="str">
        <f>IF(AND($M915=$O$7,$B915&lt;'111'!$N$11),"x","")</f>
        <v/>
      </c>
      <c r="R915" s="39" t="str">
        <f>IF(ISERROR(FIND('112'!$M$9,G915,1)),"",IF((AND(FIND('112'!$M$9,G915,1)&gt;=1,$B915&gt;='112'!$N$8,$B915&lt;='112'!$O$8,OR($L915='112'!$I$6,$M915='112'!$I$6))),"x",""))</f>
        <v/>
      </c>
      <c r="S915" s="39" t="str">
        <f>IF(ISERROR(FIND('112'!$M$9,G915,1)),"",IF((AND(LEFT(G915,2)=LEFT('112'!$M$9,2),B915&lt;'112'!$N$8,$L915='112'!$I$6)),"x",""))</f>
        <v/>
      </c>
      <c r="T915" s="39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39" t="str">
        <f>IF(OR(TH!L915=TH!$V$7,M915=TH!$V$7),"x","")</f>
        <v/>
      </c>
      <c r="W915" s="39" t="str">
        <f>IF(AND(B915&gt;='IN-NX'!$P$3,B915&lt;='IN-NX'!$Q$3,'IN-NX'!$D$7=D915,OR(LEFT(L915,2)="15",AND(LEFT(M915,2)&lt;&gt;"15",LEFT(M915,2)&lt;&gt;"33"))),"x","")</f>
        <v/>
      </c>
      <c r="X915" s="39" t="str">
        <f>IF(AND(OR(LEFT(TH!L915,2)="15",LEFT(TH!M915,2)="15"),'152-CT'!$J$8=TH!F915),"x","")</f>
        <v/>
      </c>
      <c r="Y915" s="39" t="str">
        <f>IF(AND(OR(LEFT(TH!L915,2)="15",LEFT(TH!M915,2)="15"),TK!$E$7=TH!F915),"x","")</f>
        <v/>
      </c>
      <c r="Z915" s="39" t="str">
        <f>IF(AND(B915&lt;=NKC!$N$8,B915&gt;=NKC!$M$8),"x","")</f>
        <v/>
      </c>
      <c r="AA915" s="894"/>
    </row>
    <row r="916" spans="1:27" ht="15.75" customHeight="1">
      <c r="A916" s="199" t="str">
        <f>IF(B916&lt;&gt;"",IF(AND(B916&gt;=_TM1,B916&lt;=_TM2,OR(TH!L916="1111",TH!M916="1111")),TH!D916,""),"")</f>
        <v/>
      </c>
      <c r="B916" s="36" t="str">
        <f t="shared" si="39"/>
        <v/>
      </c>
      <c r="C916" s="190"/>
      <c r="D916" s="190"/>
      <c r="E916" s="190"/>
      <c r="F916" s="191"/>
      <c r="G916" s="491"/>
      <c r="H916" s="7"/>
      <c r="I916" s="253"/>
      <c r="J916" s="253"/>
      <c r="K916" s="606"/>
      <c r="L916" s="39"/>
      <c r="M916" s="607"/>
      <c r="N916" s="39" t="str">
        <f>IF(AND('331-CT'!$E$7=TH!H916,OR(L916="331",M916="331")),"331",IF(AND(OR(L916="131",M916="131"),H916='131-CT'!$E$7),"131",""))</f>
        <v/>
      </c>
      <c r="O916" s="39" t="str">
        <f>IF(AND($B916&gt;='111'!$N$11,$B916&lt;='111'!$O$11,OR($L916=$O$7,$M916=$O$7)),"x","")</f>
        <v/>
      </c>
      <c r="P916" s="39" t="str">
        <f>IF(AND($L916=$O$7,$B916&lt;'111'!$N$11),"x","")</f>
        <v/>
      </c>
      <c r="Q916" s="39" t="str">
        <f>IF(AND($M916=$O$7,$B916&lt;'111'!$N$11),"x","")</f>
        <v/>
      </c>
      <c r="R916" s="39" t="str">
        <f>IF(ISERROR(FIND('112'!$M$9,G916,1)),"",IF((AND(FIND('112'!$M$9,G916,1)&gt;=1,$B916&gt;='112'!$N$8,$B916&lt;='112'!$O$8,OR($L916='112'!$I$6,$M916='112'!$I$6))),"x",""))</f>
        <v/>
      </c>
      <c r="S916" s="39" t="str">
        <f>IF(ISERROR(FIND('112'!$M$9,G916,1)),"",IF((AND(LEFT(G916,2)=LEFT('112'!$M$9,2),B916&lt;'112'!$N$8,$L916='112'!$I$6)),"x",""))</f>
        <v/>
      </c>
      <c r="T916" s="39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39" t="str">
        <f>IF(OR(TH!L916=TH!$V$7,M916=TH!$V$7),"x","")</f>
        <v/>
      </c>
      <c r="W916" s="39" t="str">
        <f>IF(AND(B916&gt;='IN-NX'!$P$3,B916&lt;='IN-NX'!$Q$3,'IN-NX'!$D$7=D916,OR(LEFT(L916,2)="15",AND(LEFT(M916,2)&lt;&gt;"15",LEFT(M916,2)&lt;&gt;"33"))),"x","")</f>
        <v/>
      </c>
      <c r="X916" s="39" t="str">
        <f>IF(AND(OR(LEFT(TH!L916,2)="15",LEFT(TH!M916,2)="15"),'152-CT'!$J$8=TH!F916),"x","")</f>
        <v/>
      </c>
      <c r="Y916" s="39" t="str">
        <f>IF(AND(OR(LEFT(TH!L916,2)="15",LEFT(TH!M916,2)="15"),TK!$E$7=TH!F916),"x","")</f>
        <v/>
      </c>
      <c r="Z916" s="39" t="str">
        <f>IF(AND(B916&lt;=NKC!$N$8,B916&gt;=NKC!$M$8),"x","")</f>
        <v/>
      </c>
      <c r="AA916" s="894"/>
    </row>
    <row r="917" spans="1:27" ht="15.75" customHeight="1">
      <c r="A917" s="199" t="str">
        <f>IF(B917&lt;&gt;"",IF(AND(B917&gt;=_TM1,B917&lt;=_TM2,OR(TH!L917="1111",TH!M917="1111")),TH!D917,""),"")</f>
        <v/>
      </c>
      <c r="B917" s="36" t="str">
        <f t="shared" si="39"/>
        <v/>
      </c>
      <c r="C917" s="190"/>
      <c r="D917" s="190"/>
      <c r="E917" s="190"/>
      <c r="F917" s="191"/>
      <c r="G917" s="491"/>
      <c r="H917" s="7"/>
      <c r="I917" s="253"/>
      <c r="J917" s="253"/>
      <c r="K917" s="606"/>
      <c r="L917" s="39"/>
      <c r="M917" s="607"/>
      <c r="N917" s="39" t="str">
        <f>IF(AND('331-CT'!$E$7=TH!H917,OR(L917="331",M917="331")),"331",IF(AND(OR(L917="131",M917="131"),H917='131-CT'!$E$7),"131",""))</f>
        <v/>
      </c>
      <c r="O917" s="39" t="str">
        <f>IF(AND($B917&gt;='111'!$N$11,$B917&lt;='111'!$O$11,OR($L917=$O$7,$M917=$O$7)),"x","")</f>
        <v/>
      </c>
      <c r="P917" s="39" t="str">
        <f>IF(AND($L917=$O$7,$B917&lt;'111'!$N$11),"x","")</f>
        <v/>
      </c>
      <c r="Q917" s="39" t="str">
        <f>IF(AND($M917=$O$7,$B917&lt;'111'!$N$11),"x","")</f>
        <v/>
      </c>
      <c r="R917" s="39" t="str">
        <f>IF(ISERROR(FIND('112'!$M$9,G917,1)),"",IF((AND(FIND('112'!$M$9,G917,1)&gt;=1,$B917&gt;='112'!$N$8,$B917&lt;='112'!$O$8,OR($L917='112'!$I$6,$M917='112'!$I$6))),"x",""))</f>
        <v/>
      </c>
      <c r="S917" s="39" t="str">
        <f>IF(ISERROR(FIND('112'!$M$9,G917,1)),"",IF((AND(LEFT(G917,2)=LEFT('112'!$M$9,2),B917&lt;'112'!$N$8,$L917='112'!$I$6)),"x",""))</f>
        <v/>
      </c>
      <c r="T917" s="39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39" t="str">
        <f>IF(OR(TH!L917=TH!$V$7,M917=TH!$V$7),"x","")</f>
        <v/>
      </c>
      <c r="W917" s="39" t="str">
        <f>IF(AND(B917&gt;='IN-NX'!$P$3,B917&lt;='IN-NX'!$Q$3,'IN-NX'!$D$7=D917,OR(LEFT(L917,2)="15",AND(LEFT(M917,2)&lt;&gt;"15",LEFT(M917,2)&lt;&gt;"33"))),"x","")</f>
        <v/>
      </c>
      <c r="X917" s="39" t="str">
        <f>IF(AND(OR(LEFT(TH!L917,2)="15",LEFT(TH!M917,2)="15"),'152-CT'!$J$8=TH!F917),"x","")</f>
        <v/>
      </c>
      <c r="Y917" s="39" t="str">
        <f>IF(AND(OR(LEFT(TH!L917,2)="15",LEFT(TH!M917,2)="15"),TK!$E$7=TH!F917),"x","")</f>
        <v/>
      </c>
      <c r="Z917" s="39" t="str">
        <f>IF(AND(B917&lt;=NKC!$N$8,B917&gt;=NKC!$M$8),"x","")</f>
        <v/>
      </c>
      <c r="AA917" s="894"/>
    </row>
    <row r="918" spans="1:27" ht="15.75" customHeight="1">
      <c r="A918" s="199" t="str">
        <f>IF(B918&lt;&gt;"",IF(AND(B918&gt;=_TM1,B918&lt;=_TM2,OR(TH!L918="1111",TH!M918="1111")),TH!D918,""),"")</f>
        <v/>
      </c>
      <c r="B918" s="36" t="str">
        <f t="shared" si="39"/>
        <v/>
      </c>
      <c r="C918" s="190"/>
      <c r="D918" s="190"/>
      <c r="E918" s="190"/>
      <c r="F918" s="191"/>
      <c r="G918" s="491"/>
      <c r="H918" s="7"/>
      <c r="I918" s="253"/>
      <c r="J918" s="253"/>
      <c r="K918" s="606"/>
      <c r="L918" s="39"/>
      <c r="M918" s="607"/>
      <c r="N918" s="39" t="str">
        <f>IF(AND('331-CT'!$E$7=TH!H918,OR(L918="331",M918="331")),"331",IF(AND(OR(L918="131",M918="131"),H918='131-CT'!$E$7),"131",""))</f>
        <v/>
      </c>
      <c r="O918" s="39" t="str">
        <f>IF(AND($B918&gt;='111'!$N$11,$B918&lt;='111'!$O$11,OR($L918=$O$7,$M918=$O$7)),"x","")</f>
        <v/>
      </c>
      <c r="P918" s="39" t="str">
        <f>IF(AND($L918=$O$7,$B918&lt;'111'!$N$11),"x","")</f>
        <v/>
      </c>
      <c r="Q918" s="39" t="str">
        <f>IF(AND($M918=$O$7,$B918&lt;'111'!$N$11),"x","")</f>
        <v/>
      </c>
      <c r="R918" s="39" t="str">
        <f>IF(ISERROR(FIND('112'!$M$9,G918,1)),"",IF((AND(FIND('112'!$M$9,G918,1)&gt;=1,$B918&gt;='112'!$N$8,$B918&lt;='112'!$O$8,OR($L918='112'!$I$6,$M918='112'!$I$6))),"x",""))</f>
        <v/>
      </c>
      <c r="S918" s="39" t="str">
        <f>IF(ISERROR(FIND('112'!$M$9,G918,1)),"",IF((AND(LEFT(G918,2)=LEFT('112'!$M$9,2),B918&lt;'112'!$N$8,$L918='112'!$I$6)),"x",""))</f>
        <v/>
      </c>
      <c r="T918" s="39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39" t="str">
        <f>IF(OR(TH!L918=TH!$V$7,M918=TH!$V$7),"x","")</f>
        <v/>
      </c>
      <c r="W918" s="39" t="str">
        <f>IF(AND(B918&gt;='IN-NX'!$P$3,B918&lt;='IN-NX'!$Q$3,'IN-NX'!$D$7=D918,OR(LEFT(L918,2)="15",AND(LEFT(M918,2)&lt;&gt;"15",LEFT(M918,2)&lt;&gt;"33"))),"x","")</f>
        <v/>
      </c>
      <c r="X918" s="39" t="str">
        <f>IF(AND(OR(LEFT(TH!L918,2)="15",LEFT(TH!M918,2)="15"),'152-CT'!$J$8=TH!F918),"x","")</f>
        <v/>
      </c>
      <c r="Y918" s="39" t="str">
        <f>IF(AND(OR(LEFT(TH!L918,2)="15",LEFT(TH!M918,2)="15"),TK!$E$7=TH!F918),"x","")</f>
        <v/>
      </c>
      <c r="Z918" s="39" t="str">
        <f>IF(AND(B918&lt;=NKC!$N$8,B918&gt;=NKC!$M$8),"x","")</f>
        <v/>
      </c>
      <c r="AA918" s="894"/>
    </row>
    <row r="919" spans="1:27" ht="15.75" customHeight="1">
      <c r="A919" s="199" t="str">
        <f>IF(B919&lt;&gt;"",IF(AND(B919&gt;=_TM1,B919&lt;=_TM2,OR(TH!L919="1111",TH!M919="1111")),TH!D919,""),"")</f>
        <v/>
      </c>
      <c r="B919" s="36" t="str">
        <f t="shared" si="39"/>
        <v/>
      </c>
      <c r="C919" s="190"/>
      <c r="D919" s="190"/>
      <c r="E919" s="190"/>
      <c r="F919" s="191"/>
      <c r="G919" s="491"/>
      <c r="H919" s="7"/>
      <c r="I919" s="253"/>
      <c r="J919" s="253"/>
      <c r="K919" s="606"/>
      <c r="L919" s="39"/>
      <c r="M919" s="607"/>
      <c r="N919" s="39" t="str">
        <f>IF(AND('331-CT'!$E$7=TH!H919,OR(L919="331",M919="331")),"331",IF(AND(OR(L919="131",M919="131"),H919='131-CT'!$E$7),"131",""))</f>
        <v/>
      </c>
      <c r="O919" s="39" t="str">
        <f>IF(AND($B919&gt;='111'!$N$11,$B919&lt;='111'!$O$11,OR($L919=$O$7,$M919=$O$7)),"x","")</f>
        <v/>
      </c>
      <c r="P919" s="39" t="str">
        <f>IF(AND($L919=$O$7,$B919&lt;'111'!$N$11),"x","")</f>
        <v/>
      </c>
      <c r="Q919" s="39" t="str">
        <f>IF(AND($M919=$O$7,$B919&lt;'111'!$N$11),"x","")</f>
        <v/>
      </c>
      <c r="R919" s="39" t="str">
        <f>IF(ISERROR(FIND('112'!$M$9,G919,1)),"",IF((AND(FIND('112'!$M$9,G919,1)&gt;=1,$B919&gt;='112'!$N$8,$B919&lt;='112'!$O$8,OR($L919='112'!$I$6,$M919='112'!$I$6))),"x",""))</f>
        <v/>
      </c>
      <c r="S919" s="39" t="str">
        <f>IF(ISERROR(FIND('112'!$M$9,G919,1)),"",IF((AND(LEFT(G919,2)=LEFT('112'!$M$9,2),B919&lt;'112'!$N$8,$L919='112'!$I$6)),"x",""))</f>
        <v/>
      </c>
      <c r="T919" s="39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39" t="str">
        <f>IF(OR(TH!L919=TH!$V$7,M919=TH!$V$7),"x","")</f>
        <v/>
      </c>
      <c r="W919" s="39" t="str">
        <f>IF(AND(B919&gt;='IN-NX'!$P$3,B919&lt;='IN-NX'!$Q$3,'IN-NX'!$D$7=D919,OR(LEFT(L919,2)="15",AND(LEFT(M919,2)&lt;&gt;"15",LEFT(M919,2)&lt;&gt;"33"))),"x","")</f>
        <v/>
      </c>
      <c r="X919" s="39" t="str">
        <f>IF(AND(OR(LEFT(TH!L919,2)="15",LEFT(TH!M919,2)="15"),'152-CT'!$J$8=TH!F919),"x","")</f>
        <v/>
      </c>
      <c r="Y919" s="39" t="str">
        <f>IF(AND(OR(LEFT(TH!L919,2)="15",LEFT(TH!M919,2)="15"),TK!$E$7=TH!F919),"x","")</f>
        <v/>
      </c>
      <c r="Z919" s="39" t="str">
        <f>IF(AND(B919&lt;=NKC!$N$8,B919&gt;=NKC!$M$8),"x","")</f>
        <v/>
      </c>
      <c r="AA919" s="894"/>
    </row>
    <row r="920" spans="1:27" ht="15.75" customHeight="1">
      <c r="A920" s="199" t="str">
        <f>IF(B920&lt;&gt;"",IF(AND(B920&gt;=_TM1,B920&lt;=_TM2,OR(TH!L920="1111",TH!M920="1111")),TH!D920,""),"")</f>
        <v/>
      </c>
      <c r="B920" s="36" t="str">
        <f t="shared" si="39"/>
        <v/>
      </c>
      <c r="C920" s="190"/>
      <c r="D920" s="190"/>
      <c r="E920" s="190"/>
      <c r="F920" s="191"/>
      <c r="G920" s="491"/>
      <c r="H920" s="7"/>
      <c r="I920" s="253"/>
      <c r="J920" s="253"/>
      <c r="K920" s="606"/>
      <c r="L920" s="39"/>
      <c r="M920" s="607"/>
      <c r="N920" s="39" t="str">
        <f>IF(AND('331-CT'!$E$7=TH!H920,OR(L920="331",M920="331")),"331",IF(AND(OR(L920="131",M920="131"),H920='131-CT'!$E$7),"131",""))</f>
        <v/>
      </c>
      <c r="O920" s="39" t="str">
        <f>IF(AND($B920&gt;='111'!$N$11,$B920&lt;='111'!$O$11,OR($L920=$O$7,$M920=$O$7)),"x","")</f>
        <v/>
      </c>
      <c r="P920" s="39" t="str">
        <f>IF(AND($L920=$O$7,$B920&lt;'111'!$N$11),"x","")</f>
        <v/>
      </c>
      <c r="Q920" s="39" t="str">
        <f>IF(AND($M920=$O$7,$B920&lt;'111'!$N$11),"x","")</f>
        <v/>
      </c>
      <c r="R920" s="39" t="str">
        <f>IF(ISERROR(FIND('112'!$M$9,G920,1)),"",IF((AND(FIND('112'!$M$9,G920,1)&gt;=1,$B920&gt;='112'!$N$8,$B920&lt;='112'!$O$8,OR($L920='112'!$I$6,$M920='112'!$I$6))),"x",""))</f>
        <v/>
      </c>
      <c r="S920" s="39" t="str">
        <f>IF(ISERROR(FIND('112'!$M$9,G920,1)),"",IF((AND(LEFT(G920,2)=LEFT('112'!$M$9,2),B920&lt;'112'!$N$8,$L920='112'!$I$6)),"x",""))</f>
        <v/>
      </c>
      <c r="T920" s="39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39" t="str">
        <f>IF(OR(TH!L920=TH!$V$7,M920=TH!$V$7),"x","")</f>
        <v/>
      </c>
      <c r="W920" s="39" t="str">
        <f>IF(AND(B920&gt;='IN-NX'!$P$3,B920&lt;='IN-NX'!$Q$3,'IN-NX'!$D$7=D920,OR(LEFT(L920,2)="15",AND(LEFT(M920,2)&lt;&gt;"15",LEFT(M920,2)&lt;&gt;"33"))),"x","")</f>
        <v/>
      </c>
      <c r="X920" s="39" t="str">
        <f>IF(AND(OR(LEFT(TH!L920,2)="15",LEFT(TH!M920,2)="15"),'152-CT'!$J$8=TH!F920),"x","")</f>
        <v/>
      </c>
      <c r="Y920" s="39" t="str">
        <f>IF(AND(OR(LEFT(TH!L920,2)="15",LEFT(TH!M920,2)="15"),TK!$E$7=TH!F920),"x","")</f>
        <v/>
      </c>
      <c r="Z920" s="39" t="str">
        <f>IF(AND(B920&lt;=NKC!$N$8,B920&gt;=NKC!$M$8),"x","")</f>
        <v/>
      </c>
      <c r="AA920" s="894"/>
    </row>
    <row r="921" spans="1:27" ht="15.75" customHeight="1">
      <c r="A921" s="199" t="str">
        <f>IF(B921&lt;&gt;"",IF(AND(B921&gt;=_TM1,B921&lt;=_TM2,OR(TH!L921="1111",TH!M921="1111")),TH!D921,""),"")</f>
        <v/>
      </c>
      <c r="B921" s="36" t="str">
        <f t="shared" ref="B921:B984" si="40">IF(C921&lt;&gt;"",MONTH(C921),"")</f>
        <v/>
      </c>
      <c r="C921" s="190"/>
      <c r="D921" s="190"/>
      <c r="E921" s="190"/>
      <c r="F921" s="191"/>
      <c r="G921" s="491"/>
      <c r="H921" s="7"/>
      <c r="I921" s="253"/>
      <c r="J921" s="253"/>
      <c r="K921" s="606"/>
      <c r="L921" s="39"/>
      <c r="M921" s="607"/>
      <c r="N921" s="39" t="str">
        <f>IF(AND('331-CT'!$E$7=TH!H921,OR(L921="331",M921="331")),"331",IF(AND(OR(L921="131",M921="131"),H921='131-CT'!$E$7),"131",""))</f>
        <v/>
      </c>
      <c r="O921" s="39" t="str">
        <f>IF(AND($B921&gt;='111'!$N$11,$B921&lt;='111'!$O$11,OR($L921=$O$7,$M921=$O$7)),"x","")</f>
        <v/>
      </c>
      <c r="P921" s="39" t="str">
        <f>IF(AND($L921=$O$7,$B921&lt;'111'!$N$11),"x","")</f>
        <v/>
      </c>
      <c r="Q921" s="39" t="str">
        <f>IF(AND($M921=$O$7,$B921&lt;'111'!$N$11),"x","")</f>
        <v/>
      </c>
      <c r="R921" s="39" t="str">
        <f>IF(ISERROR(FIND('112'!$M$9,G921,1)),"",IF((AND(FIND('112'!$M$9,G921,1)&gt;=1,$B921&gt;='112'!$N$8,$B921&lt;='112'!$O$8,OR($L921='112'!$I$6,$M921='112'!$I$6))),"x",""))</f>
        <v/>
      </c>
      <c r="S921" s="39" t="str">
        <f>IF(ISERROR(FIND('112'!$M$9,G921,1)),"",IF((AND(LEFT(G921,2)=LEFT('112'!$M$9,2),B921&lt;'112'!$N$8,$L921='112'!$I$6)),"x",""))</f>
        <v/>
      </c>
      <c r="T921" s="39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39" t="str">
        <f>IF(OR(TH!L921=TH!$V$7,M921=TH!$V$7),"x","")</f>
        <v/>
      </c>
      <c r="W921" s="39" t="str">
        <f>IF(AND(B921&gt;='IN-NX'!$P$3,B921&lt;='IN-NX'!$Q$3,'IN-NX'!$D$7=D921,OR(LEFT(L921,2)="15",AND(LEFT(M921,2)&lt;&gt;"15",LEFT(M921,2)&lt;&gt;"33"))),"x","")</f>
        <v/>
      </c>
      <c r="X921" s="39" t="str">
        <f>IF(AND(OR(LEFT(TH!L921,2)="15",LEFT(TH!M921,2)="15"),'152-CT'!$J$8=TH!F921),"x","")</f>
        <v/>
      </c>
      <c r="Y921" s="39" t="str">
        <f>IF(AND(OR(LEFT(TH!L921,2)="15",LEFT(TH!M921,2)="15"),TK!$E$7=TH!F921),"x","")</f>
        <v/>
      </c>
      <c r="Z921" s="39" t="str">
        <f>IF(AND(B921&lt;=NKC!$N$8,B921&gt;=NKC!$M$8),"x","")</f>
        <v/>
      </c>
      <c r="AA921" s="894"/>
    </row>
    <row r="922" spans="1:27" ht="15.75" customHeight="1">
      <c r="A922" s="199" t="str">
        <f>IF(B922&lt;&gt;"",IF(AND(B922&gt;=_TM1,B922&lt;=_TM2,OR(TH!L922="1111",TH!M922="1111")),TH!D922,""),"")</f>
        <v/>
      </c>
      <c r="B922" s="36" t="str">
        <f t="shared" si="40"/>
        <v/>
      </c>
      <c r="C922" s="190"/>
      <c r="D922" s="190"/>
      <c r="E922" s="190"/>
      <c r="F922" s="191"/>
      <c r="G922" s="491"/>
      <c r="H922" s="7"/>
      <c r="I922" s="253"/>
      <c r="J922" s="253"/>
      <c r="K922" s="606"/>
      <c r="L922" s="39"/>
      <c r="M922" s="607"/>
      <c r="N922" s="39" t="str">
        <f>IF(AND('331-CT'!$E$7=TH!H922,OR(L922="331",M922="331")),"331",IF(AND(OR(L922="131",M922="131"),H922='131-CT'!$E$7),"131",""))</f>
        <v/>
      </c>
      <c r="O922" s="39" t="str">
        <f>IF(AND($B922&gt;='111'!$N$11,$B922&lt;='111'!$O$11,OR($L922=$O$7,$M922=$O$7)),"x","")</f>
        <v/>
      </c>
      <c r="P922" s="39" t="str">
        <f>IF(AND($L922=$O$7,$B922&lt;'111'!$N$11),"x","")</f>
        <v/>
      </c>
      <c r="Q922" s="39" t="str">
        <f>IF(AND($M922=$O$7,$B922&lt;'111'!$N$11),"x","")</f>
        <v/>
      </c>
      <c r="R922" s="39" t="str">
        <f>IF(ISERROR(FIND('112'!$M$9,G922,1)),"",IF((AND(FIND('112'!$M$9,G922,1)&gt;=1,$B922&gt;='112'!$N$8,$B922&lt;='112'!$O$8,OR($L922='112'!$I$6,$M922='112'!$I$6))),"x",""))</f>
        <v/>
      </c>
      <c r="S922" s="39" t="str">
        <f>IF(ISERROR(FIND('112'!$M$9,G922,1)),"",IF((AND(LEFT(G922,2)=LEFT('112'!$M$9,2),B922&lt;'112'!$N$8,$L922='112'!$I$6)),"x",""))</f>
        <v/>
      </c>
      <c r="T922" s="39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39" t="str">
        <f>IF(OR(TH!L922=TH!$V$7,M922=TH!$V$7),"x","")</f>
        <v/>
      </c>
      <c r="W922" s="39" t="str">
        <f>IF(AND(B922&gt;='IN-NX'!$P$3,B922&lt;='IN-NX'!$Q$3,'IN-NX'!$D$7=D922,OR(LEFT(L922,2)="15",AND(LEFT(M922,2)&lt;&gt;"15",LEFT(M922,2)&lt;&gt;"33"))),"x","")</f>
        <v/>
      </c>
      <c r="X922" s="39" t="str">
        <f>IF(AND(OR(LEFT(TH!L922,2)="15",LEFT(TH!M922,2)="15"),'152-CT'!$J$8=TH!F922),"x","")</f>
        <v/>
      </c>
      <c r="Y922" s="39" t="str">
        <f>IF(AND(OR(LEFT(TH!L922,2)="15",LEFT(TH!M922,2)="15"),TK!$E$7=TH!F922),"x","")</f>
        <v/>
      </c>
      <c r="Z922" s="39" t="str">
        <f>IF(AND(B922&lt;=NKC!$N$8,B922&gt;=NKC!$M$8),"x","")</f>
        <v/>
      </c>
      <c r="AA922" s="894"/>
    </row>
    <row r="923" spans="1:27" ht="15.75" customHeight="1">
      <c r="A923" s="199" t="str">
        <f>IF(B923&lt;&gt;"",IF(AND(B923&gt;=_TM1,B923&lt;=_TM2,OR(TH!L923="1111",TH!M923="1111")),TH!D923,""),"")</f>
        <v/>
      </c>
      <c r="B923" s="36" t="str">
        <f t="shared" si="40"/>
        <v/>
      </c>
      <c r="C923" s="190"/>
      <c r="D923" s="190"/>
      <c r="E923" s="190"/>
      <c r="F923" s="191"/>
      <c r="G923" s="491"/>
      <c r="H923" s="7"/>
      <c r="I923" s="253"/>
      <c r="J923" s="253"/>
      <c r="K923" s="606"/>
      <c r="L923" s="39"/>
      <c r="M923" s="607"/>
      <c r="N923" s="39" t="str">
        <f>IF(AND('331-CT'!$E$7=TH!H923,OR(L923="331",M923="331")),"331",IF(AND(OR(L923="131",M923="131"),H923='131-CT'!$E$7),"131",""))</f>
        <v/>
      </c>
      <c r="O923" s="39" t="str">
        <f>IF(AND($B923&gt;='111'!$N$11,$B923&lt;='111'!$O$11,OR($L923=$O$7,$M923=$O$7)),"x","")</f>
        <v/>
      </c>
      <c r="P923" s="39" t="str">
        <f>IF(AND($L923=$O$7,$B923&lt;'111'!$N$11),"x","")</f>
        <v/>
      </c>
      <c r="Q923" s="39" t="str">
        <f>IF(AND($M923=$O$7,$B923&lt;'111'!$N$11),"x","")</f>
        <v/>
      </c>
      <c r="R923" s="39" t="str">
        <f>IF(ISERROR(FIND('112'!$M$9,G923,1)),"",IF((AND(FIND('112'!$M$9,G923,1)&gt;=1,$B923&gt;='112'!$N$8,$B923&lt;='112'!$O$8,OR($L923='112'!$I$6,$M923='112'!$I$6))),"x",""))</f>
        <v/>
      </c>
      <c r="S923" s="39" t="str">
        <f>IF(ISERROR(FIND('112'!$M$9,G923,1)),"",IF((AND(LEFT(G923,2)=LEFT('112'!$M$9,2),B923&lt;'112'!$N$8,$L923='112'!$I$6)),"x",""))</f>
        <v/>
      </c>
      <c r="T923" s="39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39" t="str">
        <f>IF(OR(TH!L923=TH!$V$7,M923=TH!$V$7),"x","")</f>
        <v/>
      </c>
      <c r="W923" s="39" t="str">
        <f>IF(AND(B923&gt;='IN-NX'!$P$3,B923&lt;='IN-NX'!$Q$3,'IN-NX'!$D$7=D923,OR(LEFT(L923,2)="15",AND(LEFT(M923,2)&lt;&gt;"15",LEFT(M923,2)&lt;&gt;"33"))),"x","")</f>
        <v/>
      </c>
      <c r="X923" s="39" t="str">
        <f>IF(AND(OR(LEFT(TH!L923,2)="15",LEFT(TH!M923,2)="15"),'152-CT'!$J$8=TH!F923),"x","")</f>
        <v/>
      </c>
      <c r="Y923" s="39" t="str">
        <f>IF(AND(OR(LEFT(TH!L923,2)="15",LEFT(TH!M923,2)="15"),TK!$E$7=TH!F923),"x","")</f>
        <v/>
      </c>
      <c r="Z923" s="39" t="str">
        <f>IF(AND(B923&lt;=NKC!$N$8,B923&gt;=NKC!$M$8),"x","")</f>
        <v/>
      </c>
      <c r="AA923" s="894"/>
    </row>
    <row r="924" spans="1:27" ht="15.75" customHeight="1">
      <c r="A924" s="199" t="str">
        <f>IF(B924&lt;&gt;"",IF(AND(B924&gt;=_TM1,B924&lt;=_TM2,OR(TH!L924="1111",TH!M924="1111")),TH!D924,""),"")</f>
        <v/>
      </c>
      <c r="B924" s="36" t="str">
        <f t="shared" si="40"/>
        <v/>
      </c>
      <c r="C924" s="190"/>
      <c r="D924" s="190"/>
      <c r="E924" s="190"/>
      <c r="F924" s="191"/>
      <c r="G924" s="491"/>
      <c r="H924" s="7"/>
      <c r="I924" s="253"/>
      <c r="J924" s="253"/>
      <c r="K924" s="606"/>
      <c r="L924" s="39"/>
      <c r="M924" s="607"/>
      <c r="N924" s="39" t="str">
        <f>IF(AND('331-CT'!$E$7=TH!H924,OR(L924="331",M924="331")),"331",IF(AND(OR(L924="131",M924="131"),H924='131-CT'!$E$7),"131",""))</f>
        <v/>
      </c>
      <c r="O924" s="39" t="str">
        <f>IF(AND($B924&gt;='111'!$N$11,$B924&lt;='111'!$O$11,OR($L924=$O$7,$M924=$O$7)),"x","")</f>
        <v/>
      </c>
      <c r="P924" s="39" t="str">
        <f>IF(AND($L924=$O$7,$B924&lt;'111'!$N$11),"x","")</f>
        <v/>
      </c>
      <c r="Q924" s="39" t="str">
        <f>IF(AND($M924=$O$7,$B924&lt;'111'!$N$11),"x","")</f>
        <v/>
      </c>
      <c r="R924" s="39" t="str">
        <f>IF(ISERROR(FIND('112'!$M$9,G924,1)),"",IF((AND(FIND('112'!$M$9,G924,1)&gt;=1,$B924&gt;='112'!$N$8,$B924&lt;='112'!$O$8,OR($L924='112'!$I$6,$M924='112'!$I$6))),"x",""))</f>
        <v/>
      </c>
      <c r="S924" s="39" t="str">
        <f>IF(ISERROR(FIND('112'!$M$9,G924,1)),"",IF((AND(LEFT(G924,2)=LEFT('112'!$M$9,2),B924&lt;'112'!$N$8,$L924='112'!$I$6)),"x",""))</f>
        <v/>
      </c>
      <c r="T924" s="39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39" t="str">
        <f>IF(OR(TH!L924=TH!$V$7,M924=TH!$V$7),"x","")</f>
        <v/>
      </c>
      <c r="W924" s="39" t="str">
        <f>IF(AND(B924&gt;='IN-NX'!$P$3,B924&lt;='IN-NX'!$Q$3,'IN-NX'!$D$7=D924,OR(LEFT(L924,2)="15",AND(LEFT(M924,2)&lt;&gt;"15",LEFT(M924,2)&lt;&gt;"33"))),"x","")</f>
        <v/>
      </c>
      <c r="X924" s="39" t="str">
        <f>IF(AND(OR(LEFT(TH!L924,2)="15",LEFT(TH!M924,2)="15"),'152-CT'!$J$8=TH!F924),"x","")</f>
        <v/>
      </c>
      <c r="Y924" s="39" t="str">
        <f>IF(AND(OR(LEFT(TH!L924,2)="15",LEFT(TH!M924,2)="15"),TK!$E$7=TH!F924),"x","")</f>
        <v/>
      </c>
      <c r="Z924" s="39" t="str">
        <f>IF(AND(B924&lt;=NKC!$N$8,B924&gt;=NKC!$M$8),"x","")</f>
        <v/>
      </c>
      <c r="AA924" s="894"/>
    </row>
    <row r="925" spans="1:27" ht="15.75" customHeight="1">
      <c r="A925" s="199" t="str">
        <f>IF(B925&lt;&gt;"",IF(AND(B925&gt;=_TM1,B925&lt;=_TM2,OR(TH!L925="1111",TH!M925="1111")),TH!D925,""),"")</f>
        <v/>
      </c>
      <c r="B925" s="36" t="str">
        <f t="shared" si="40"/>
        <v/>
      </c>
      <c r="C925" s="190"/>
      <c r="D925" s="190"/>
      <c r="E925" s="190"/>
      <c r="F925" s="191"/>
      <c r="G925" s="491"/>
      <c r="H925" s="7"/>
      <c r="I925" s="253"/>
      <c r="J925" s="253"/>
      <c r="K925" s="606"/>
      <c r="L925" s="39"/>
      <c r="M925" s="607"/>
      <c r="N925" s="39" t="str">
        <f>IF(AND('331-CT'!$E$7=TH!H925,OR(L925="331",M925="331")),"331",IF(AND(OR(L925="131",M925="131"),H925='131-CT'!$E$7),"131",""))</f>
        <v/>
      </c>
      <c r="O925" s="39" t="str">
        <f>IF(AND($B925&gt;='111'!$N$11,$B925&lt;='111'!$O$11,OR($L925=$O$7,$M925=$O$7)),"x","")</f>
        <v/>
      </c>
      <c r="P925" s="39" t="str">
        <f>IF(AND($L925=$O$7,$B925&lt;'111'!$N$11),"x","")</f>
        <v/>
      </c>
      <c r="Q925" s="39" t="str">
        <f>IF(AND($M925=$O$7,$B925&lt;'111'!$N$11),"x","")</f>
        <v/>
      </c>
      <c r="R925" s="39" t="str">
        <f>IF(ISERROR(FIND('112'!$M$9,G925,1)),"",IF((AND(FIND('112'!$M$9,G925,1)&gt;=1,$B925&gt;='112'!$N$8,$B925&lt;='112'!$O$8,OR($L925='112'!$I$6,$M925='112'!$I$6))),"x",""))</f>
        <v/>
      </c>
      <c r="S925" s="39" t="str">
        <f>IF(ISERROR(FIND('112'!$M$9,G925,1)),"",IF((AND(LEFT(G925,2)=LEFT('112'!$M$9,2),B925&lt;'112'!$N$8,$L925='112'!$I$6)),"x",""))</f>
        <v/>
      </c>
      <c r="T925" s="39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39" t="str">
        <f>IF(OR(TH!L925=TH!$V$7,M925=TH!$V$7),"x","")</f>
        <v/>
      </c>
      <c r="W925" s="39" t="str">
        <f>IF(AND(B925&gt;='IN-NX'!$P$3,B925&lt;='IN-NX'!$Q$3,'IN-NX'!$D$7=D925,OR(LEFT(L925,2)="15",AND(LEFT(M925,2)&lt;&gt;"15",LEFT(M925,2)&lt;&gt;"33"))),"x","")</f>
        <v/>
      </c>
      <c r="X925" s="39" t="str">
        <f>IF(AND(OR(LEFT(TH!L925,2)="15",LEFT(TH!M925,2)="15"),'152-CT'!$J$8=TH!F925),"x","")</f>
        <v/>
      </c>
      <c r="Y925" s="39" t="str">
        <f>IF(AND(OR(LEFT(TH!L925,2)="15",LEFT(TH!M925,2)="15"),TK!$E$7=TH!F925),"x","")</f>
        <v/>
      </c>
      <c r="Z925" s="39" t="str">
        <f>IF(AND(B925&lt;=NKC!$N$8,B925&gt;=NKC!$M$8),"x","")</f>
        <v/>
      </c>
      <c r="AA925" s="894"/>
    </row>
    <row r="926" spans="1:27" ht="15.75" customHeight="1">
      <c r="A926" s="199" t="str">
        <f>IF(B926&lt;&gt;"",IF(AND(B926&gt;=_TM1,B926&lt;=_TM2,OR(TH!L926="1111",TH!M926="1111")),TH!D926,""),"")</f>
        <v/>
      </c>
      <c r="B926" s="36" t="str">
        <f t="shared" si="40"/>
        <v/>
      </c>
      <c r="C926" s="190"/>
      <c r="D926" s="190"/>
      <c r="E926" s="190"/>
      <c r="F926" s="191"/>
      <c r="G926" s="491"/>
      <c r="H926" s="7"/>
      <c r="I926" s="253"/>
      <c r="J926" s="253"/>
      <c r="K926" s="606"/>
      <c r="L926" s="39"/>
      <c r="M926" s="607"/>
      <c r="N926" s="39" t="str">
        <f>IF(AND('331-CT'!$E$7=TH!H926,OR(L926="331",M926="331")),"331",IF(AND(OR(L926="131",M926="131"),H926='131-CT'!$E$7),"131",""))</f>
        <v/>
      </c>
      <c r="O926" s="39" t="str">
        <f>IF(AND($B926&gt;='111'!$N$11,$B926&lt;='111'!$O$11,OR($L926=$O$7,$M926=$O$7)),"x","")</f>
        <v/>
      </c>
      <c r="P926" s="39" t="str">
        <f>IF(AND($L926=$O$7,$B926&lt;'111'!$N$11),"x","")</f>
        <v/>
      </c>
      <c r="Q926" s="39" t="str">
        <f>IF(AND($M926=$O$7,$B926&lt;'111'!$N$11),"x","")</f>
        <v/>
      </c>
      <c r="R926" s="39" t="str">
        <f>IF(ISERROR(FIND('112'!$M$9,G926,1)),"",IF((AND(FIND('112'!$M$9,G926,1)&gt;=1,$B926&gt;='112'!$N$8,$B926&lt;='112'!$O$8,OR($L926='112'!$I$6,$M926='112'!$I$6))),"x",""))</f>
        <v/>
      </c>
      <c r="S926" s="39" t="str">
        <f>IF(ISERROR(FIND('112'!$M$9,G926,1)),"",IF((AND(LEFT(G926,2)=LEFT('112'!$M$9,2),B926&lt;'112'!$N$8,$L926='112'!$I$6)),"x",""))</f>
        <v/>
      </c>
      <c r="T926" s="39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39" t="str">
        <f>IF(OR(TH!L926=TH!$V$7,M926=TH!$V$7),"x","")</f>
        <v/>
      </c>
      <c r="W926" s="39" t="str">
        <f>IF(AND(B926&gt;='IN-NX'!$P$3,B926&lt;='IN-NX'!$Q$3,'IN-NX'!$D$7=D926,OR(LEFT(L926,2)="15",AND(LEFT(M926,2)&lt;&gt;"15",LEFT(M926,2)&lt;&gt;"33"))),"x","")</f>
        <v/>
      </c>
      <c r="X926" s="39" t="str">
        <f>IF(AND(OR(LEFT(TH!L926,2)="15",LEFT(TH!M926,2)="15"),'152-CT'!$J$8=TH!F926),"x","")</f>
        <v/>
      </c>
      <c r="Y926" s="39" t="str">
        <f>IF(AND(OR(LEFT(TH!L926,2)="15",LEFT(TH!M926,2)="15"),TK!$E$7=TH!F926),"x","")</f>
        <v/>
      </c>
      <c r="Z926" s="39" t="str">
        <f>IF(AND(B926&lt;=NKC!$N$8,B926&gt;=NKC!$M$8),"x","")</f>
        <v/>
      </c>
      <c r="AA926" s="894"/>
    </row>
    <row r="927" spans="1:27" ht="15.75" customHeight="1">
      <c r="A927" s="199" t="str">
        <f>IF(B927&lt;&gt;"",IF(AND(B927&gt;=_TM1,B927&lt;=_TM2,OR(TH!L927="1111",TH!M927="1111")),TH!D927,""),"")</f>
        <v/>
      </c>
      <c r="B927" s="36" t="str">
        <f t="shared" si="40"/>
        <v/>
      </c>
      <c r="C927" s="190"/>
      <c r="D927" s="190"/>
      <c r="E927" s="190"/>
      <c r="F927" s="191"/>
      <c r="G927" s="491"/>
      <c r="H927" s="7"/>
      <c r="I927" s="253"/>
      <c r="J927" s="253"/>
      <c r="K927" s="606"/>
      <c r="L927" s="39"/>
      <c r="M927" s="607"/>
      <c r="N927" s="39" t="str">
        <f>IF(AND('331-CT'!$E$7=TH!H927,OR(L927="331",M927="331")),"331",IF(AND(OR(L927="131",M927="131"),H927='131-CT'!$E$7),"131",""))</f>
        <v/>
      </c>
      <c r="O927" s="39" t="str">
        <f>IF(AND($B927&gt;='111'!$N$11,$B927&lt;='111'!$O$11,OR($L927=$O$7,$M927=$O$7)),"x","")</f>
        <v/>
      </c>
      <c r="P927" s="39" t="str">
        <f>IF(AND($L927=$O$7,$B927&lt;'111'!$N$11),"x","")</f>
        <v/>
      </c>
      <c r="Q927" s="39" t="str">
        <f>IF(AND($M927=$O$7,$B927&lt;'111'!$N$11),"x","")</f>
        <v/>
      </c>
      <c r="R927" s="39" t="str">
        <f>IF(ISERROR(FIND('112'!$M$9,G927,1)),"",IF((AND(FIND('112'!$M$9,G927,1)&gt;=1,$B927&gt;='112'!$N$8,$B927&lt;='112'!$O$8,OR($L927='112'!$I$6,$M927='112'!$I$6))),"x",""))</f>
        <v/>
      </c>
      <c r="S927" s="39" t="str">
        <f>IF(ISERROR(FIND('112'!$M$9,G927,1)),"",IF((AND(LEFT(G927,2)=LEFT('112'!$M$9,2),B927&lt;'112'!$N$8,$L927='112'!$I$6)),"x",""))</f>
        <v/>
      </c>
      <c r="T927" s="39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39" t="str">
        <f>IF(OR(TH!L927=TH!$V$7,M927=TH!$V$7),"x","")</f>
        <v/>
      </c>
      <c r="W927" s="39" t="str">
        <f>IF(AND(B927&gt;='IN-NX'!$P$3,B927&lt;='IN-NX'!$Q$3,'IN-NX'!$D$7=D927,OR(LEFT(L927,2)="15",AND(LEFT(M927,2)&lt;&gt;"15",LEFT(M927,2)&lt;&gt;"33"))),"x","")</f>
        <v/>
      </c>
      <c r="X927" s="39" t="str">
        <f>IF(AND(OR(LEFT(TH!L927,2)="15",LEFT(TH!M927,2)="15"),'152-CT'!$J$8=TH!F927),"x","")</f>
        <v/>
      </c>
      <c r="Y927" s="39" t="str">
        <f>IF(AND(OR(LEFT(TH!L927,2)="15",LEFT(TH!M927,2)="15"),TK!$E$7=TH!F927),"x","")</f>
        <v/>
      </c>
      <c r="Z927" s="39" t="str">
        <f>IF(AND(B927&lt;=NKC!$N$8,B927&gt;=NKC!$M$8),"x","")</f>
        <v/>
      </c>
      <c r="AA927" s="894"/>
    </row>
    <row r="928" spans="1:27" ht="15.75" customHeight="1">
      <c r="A928" s="199" t="str">
        <f>IF(B928&lt;&gt;"",IF(AND(B928&gt;=_TM1,B928&lt;=_TM2,OR(TH!L928="1111",TH!M928="1111")),TH!D928,""),"")</f>
        <v/>
      </c>
      <c r="B928" s="36" t="str">
        <f t="shared" si="40"/>
        <v/>
      </c>
      <c r="C928" s="190"/>
      <c r="D928" s="190"/>
      <c r="E928" s="190"/>
      <c r="F928" s="188"/>
      <c r="G928" s="491"/>
      <c r="H928" s="7"/>
      <c r="I928" s="253"/>
      <c r="J928" s="253"/>
      <c r="K928" s="606"/>
      <c r="L928" s="39"/>
      <c r="M928" s="607"/>
      <c r="N928" s="39" t="str">
        <f>IF(AND('331-CT'!$E$7=TH!H928,OR(L928="331",M928="331")),"331",IF(AND(OR(L928="131",M928="131"),H928='131-CT'!$E$7),"131",""))</f>
        <v/>
      </c>
      <c r="O928" s="39" t="str">
        <f>IF(AND($B928&gt;='111'!$N$11,$B928&lt;='111'!$O$11,OR($L928=$O$7,$M928=$O$7)),"x","")</f>
        <v/>
      </c>
      <c r="P928" s="39" t="str">
        <f>IF(AND($L928=$O$7,$B928&lt;'111'!$N$11),"x","")</f>
        <v/>
      </c>
      <c r="Q928" s="39" t="str">
        <f>IF(AND($M928=$O$7,$B928&lt;'111'!$N$11),"x","")</f>
        <v/>
      </c>
      <c r="R928" s="39" t="str">
        <f>IF(ISERROR(FIND('112'!$M$9,G928,1)),"",IF((AND(FIND('112'!$M$9,G928,1)&gt;=1,$B928&gt;='112'!$N$8,$B928&lt;='112'!$O$8,OR($L928='112'!$I$6,$M928='112'!$I$6))),"x",""))</f>
        <v/>
      </c>
      <c r="S928" s="39" t="str">
        <f>IF(ISERROR(FIND('112'!$M$9,G928,1)),"",IF((AND(LEFT(G928,2)=LEFT('112'!$M$9,2),B928&lt;'112'!$N$8,$L928='112'!$I$6)),"x",""))</f>
        <v/>
      </c>
      <c r="T928" s="39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39" t="str">
        <f>IF(OR(TH!L928=TH!$V$7,M928=TH!$V$7),"x","")</f>
        <v/>
      </c>
      <c r="W928" s="39" t="str">
        <f>IF(AND(B928&gt;='IN-NX'!$P$3,B928&lt;='IN-NX'!$Q$3,'IN-NX'!$D$7=D928,OR(LEFT(L928,2)="15",AND(LEFT(M928,2)&lt;&gt;"15",LEFT(M928,2)&lt;&gt;"33"))),"x","")</f>
        <v/>
      </c>
      <c r="X928" s="39" t="str">
        <f>IF(AND(OR(LEFT(TH!L928,2)="15",LEFT(TH!M928,2)="15"),'152-CT'!$J$8=TH!F928),"x","")</f>
        <v/>
      </c>
      <c r="Y928" s="39" t="str">
        <f>IF(AND(OR(LEFT(TH!L928,2)="15",LEFT(TH!M928,2)="15"),TK!$E$7=TH!F928),"x","")</f>
        <v/>
      </c>
      <c r="Z928" s="39" t="str">
        <f>IF(AND(B928&lt;=NKC!$N$8,B928&gt;=NKC!$M$8),"x","")</f>
        <v/>
      </c>
      <c r="AA928" s="894"/>
    </row>
    <row r="929" spans="1:27" ht="15.75" customHeight="1">
      <c r="A929" s="199" t="str">
        <f>IF(B929&lt;&gt;"",IF(AND(B929&gt;=_TM1,B929&lt;=_TM2,OR(TH!L929="1111",TH!M929="1111")),TH!D929,""),"")</f>
        <v/>
      </c>
      <c r="B929" s="36" t="str">
        <f t="shared" si="40"/>
        <v/>
      </c>
      <c r="C929" s="190"/>
      <c r="D929" s="190"/>
      <c r="E929" s="190"/>
      <c r="F929" s="191"/>
      <c r="G929" s="491"/>
      <c r="H929" s="7"/>
      <c r="I929" s="253"/>
      <c r="J929" s="253"/>
      <c r="K929" s="606"/>
      <c r="L929" s="39"/>
      <c r="M929" s="607"/>
      <c r="N929" s="39" t="str">
        <f>IF(AND('331-CT'!$E$7=TH!H929,OR(L929="331",M929="331")),"331",IF(AND(OR(L929="131",M929="131"),H929='131-CT'!$E$7),"131",""))</f>
        <v/>
      </c>
      <c r="O929" s="39" t="str">
        <f>IF(AND($B929&gt;='111'!$N$11,$B929&lt;='111'!$O$11,OR($L929=$O$7,$M929=$O$7)),"x","")</f>
        <v/>
      </c>
      <c r="P929" s="39" t="str">
        <f>IF(AND($L929=$O$7,$B929&lt;'111'!$N$11),"x","")</f>
        <v/>
      </c>
      <c r="Q929" s="39" t="str">
        <f>IF(AND($M929=$O$7,$B929&lt;'111'!$N$11),"x","")</f>
        <v/>
      </c>
      <c r="R929" s="39" t="str">
        <f>IF(ISERROR(FIND('112'!$M$9,G929,1)),"",IF((AND(FIND('112'!$M$9,G929,1)&gt;=1,$B929&gt;='112'!$N$8,$B929&lt;='112'!$O$8,OR($L929='112'!$I$6,$M929='112'!$I$6))),"x",""))</f>
        <v/>
      </c>
      <c r="S929" s="39" t="str">
        <f>IF(ISERROR(FIND('112'!$M$9,G929,1)),"",IF((AND(LEFT(G929,2)=LEFT('112'!$M$9,2),B929&lt;'112'!$N$8,$L929='112'!$I$6)),"x",""))</f>
        <v/>
      </c>
      <c r="T929" s="39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39" t="str">
        <f>IF(OR(TH!L929=TH!$V$7,M929=TH!$V$7),"x","")</f>
        <v/>
      </c>
      <c r="W929" s="39" t="str">
        <f>IF(AND(B929&gt;='IN-NX'!$P$3,B929&lt;='IN-NX'!$Q$3,'IN-NX'!$D$7=D929,OR(LEFT(L929,2)="15",AND(LEFT(M929,2)&lt;&gt;"15",LEFT(M929,2)&lt;&gt;"33"))),"x","")</f>
        <v/>
      </c>
      <c r="X929" s="39" t="str">
        <f>IF(AND(OR(LEFT(TH!L929,2)="15",LEFT(TH!M929,2)="15"),'152-CT'!$J$8=TH!F929),"x","")</f>
        <v/>
      </c>
      <c r="Y929" s="39" t="str">
        <f>IF(AND(OR(LEFT(TH!L929,2)="15",LEFT(TH!M929,2)="15"),TK!$E$7=TH!F929),"x","")</f>
        <v/>
      </c>
      <c r="Z929" s="39" t="str">
        <f>IF(AND(B929&lt;=NKC!$N$8,B929&gt;=NKC!$M$8),"x","")</f>
        <v/>
      </c>
      <c r="AA929" s="894"/>
    </row>
    <row r="930" spans="1:27" ht="15.75" customHeight="1">
      <c r="A930" s="199" t="str">
        <f>IF(B930&lt;&gt;"",IF(AND(B930&gt;=_TM1,B930&lt;=_TM2,OR(TH!L930="1111",TH!M930="1111")),TH!D930,""),"")</f>
        <v/>
      </c>
      <c r="B930" s="36" t="str">
        <f t="shared" si="40"/>
        <v/>
      </c>
      <c r="C930" s="190"/>
      <c r="D930" s="190"/>
      <c r="E930" s="190"/>
      <c r="F930" s="191"/>
      <c r="G930" s="491"/>
      <c r="H930" s="7"/>
      <c r="I930" s="253"/>
      <c r="J930" s="253"/>
      <c r="K930" s="606"/>
      <c r="L930" s="39"/>
      <c r="M930" s="607"/>
      <c r="N930" s="39" t="str">
        <f>IF(AND('331-CT'!$E$7=TH!H930,OR(L930="331",M930="331")),"331",IF(AND(OR(L930="131",M930="131"),H930='131-CT'!$E$7),"131",""))</f>
        <v/>
      </c>
      <c r="O930" s="39" t="str">
        <f>IF(AND($B930&gt;='111'!$N$11,$B930&lt;='111'!$O$11,OR($L930=$O$7,$M930=$O$7)),"x","")</f>
        <v/>
      </c>
      <c r="P930" s="39" t="str">
        <f>IF(AND($L930=$O$7,$B930&lt;'111'!$N$11),"x","")</f>
        <v/>
      </c>
      <c r="Q930" s="39" t="str">
        <f>IF(AND($M930=$O$7,$B930&lt;'111'!$N$11),"x","")</f>
        <v/>
      </c>
      <c r="R930" s="39" t="str">
        <f>IF(ISERROR(FIND('112'!$M$9,G930,1)),"",IF((AND(FIND('112'!$M$9,G930,1)&gt;=1,$B930&gt;='112'!$N$8,$B930&lt;='112'!$O$8,OR($L930='112'!$I$6,$M930='112'!$I$6))),"x",""))</f>
        <v/>
      </c>
      <c r="S930" s="39" t="str">
        <f>IF(ISERROR(FIND('112'!$M$9,G930,1)),"",IF((AND(LEFT(G930,2)=LEFT('112'!$M$9,2),B930&lt;'112'!$N$8,$L930='112'!$I$6)),"x",""))</f>
        <v/>
      </c>
      <c r="T930" s="39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39" t="str">
        <f>IF(OR(TH!L930=TH!$V$7,M930=TH!$V$7),"x","")</f>
        <v/>
      </c>
      <c r="W930" s="39" t="str">
        <f>IF(AND(B930&gt;='IN-NX'!$P$3,B930&lt;='IN-NX'!$Q$3,'IN-NX'!$D$7=D930,OR(LEFT(L930,2)="15",AND(LEFT(M930,2)&lt;&gt;"15",LEFT(M930,2)&lt;&gt;"33"))),"x","")</f>
        <v/>
      </c>
      <c r="X930" s="39" t="str">
        <f>IF(AND(OR(LEFT(TH!L930,2)="15",LEFT(TH!M930,2)="15"),'152-CT'!$J$8=TH!F930),"x","")</f>
        <v/>
      </c>
      <c r="Y930" s="39" t="str">
        <f>IF(AND(OR(LEFT(TH!L930,2)="15",LEFT(TH!M930,2)="15"),TK!$E$7=TH!F930),"x","")</f>
        <v/>
      </c>
      <c r="Z930" s="39" t="str">
        <f>IF(AND(B930&lt;=NKC!$N$8,B930&gt;=NKC!$M$8),"x","")</f>
        <v/>
      </c>
      <c r="AA930" s="894"/>
    </row>
    <row r="931" spans="1:27" ht="15.75" customHeight="1">
      <c r="A931" s="199" t="str">
        <f>IF(B931&lt;&gt;"",IF(AND(B931&gt;=_TM1,B931&lt;=_TM2,OR(TH!L931="1111",TH!M931="1111")),TH!D931,""),"")</f>
        <v/>
      </c>
      <c r="B931" s="36" t="str">
        <f t="shared" si="40"/>
        <v/>
      </c>
      <c r="C931" s="190"/>
      <c r="D931" s="190"/>
      <c r="E931" s="37"/>
      <c r="F931" s="191"/>
      <c r="G931" s="40"/>
      <c r="H931" s="7"/>
      <c r="I931" s="825"/>
      <c r="J931" s="806"/>
      <c r="K931" s="606"/>
      <c r="L931" s="39"/>
      <c r="M931" s="607"/>
      <c r="N931" s="39" t="str">
        <f>IF(AND('331-CT'!$E$7=TH!H931,OR(L931="331",M931="331")),"331",IF(AND(OR(L931="131",M931="131"),H931='131-CT'!$E$7),"131",""))</f>
        <v/>
      </c>
      <c r="O931" s="39" t="str">
        <f>IF(AND($B931&gt;='111'!$N$11,$B931&lt;='111'!$O$11,OR($L931=$O$7,$M931=$O$7)),"x","")</f>
        <v/>
      </c>
      <c r="P931" s="39" t="str">
        <f>IF(AND($L931=$O$7,$B931&lt;'111'!$N$11),"x","")</f>
        <v/>
      </c>
      <c r="Q931" s="39" t="str">
        <f>IF(AND($M931=$O$7,$B931&lt;'111'!$N$11),"x","")</f>
        <v/>
      </c>
      <c r="R931" s="39" t="str">
        <f>IF(ISERROR(FIND('112'!$M$9,G931,1)),"",IF((AND(FIND('112'!$M$9,G931,1)&gt;=1,$B931&gt;='112'!$N$8,$B931&lt;='112'!$O$8,OR($L931='112'!$I$6,$M931='112'!$I$6))),"x",""))</f>
        <v/>
      </c>
      <c r="S931" s="39" t="str">
        <f>IF(ISERROR(FIND('112'!$M$9,G931,1)),"",IF((AND(LEFT(G931,2)=LEFT('112'!$M$9,2),B931&lt;'112'!$N$8,$L931='112'!$I$6)),"x",""))</f>
        <v/>
      </c>
      <c r="T931" s="39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39" t="str">
        <f>IF(OR(TH!L931=TH!$V$7,M931=TH!$V$7),"x","")</f>
        <v/>
      </c>
      <c r="W931" s="39" t="str">
        <f>IF(AND(B931&gt;='IN-NX'!$P$3,B931&lt;='IN-NX'!$Q$3,'IN-NX'!$D$7=D931,OR(LEFT(L931,2)="15",AND(LEFT(M931,2)&lt;&gt;"15",LEFT(M931,2)&lt;&gt;"33"))),"x","")</f>
        <v/>
      </c>
      <c r="X931" s="39" t="str">
        <f>IF(AND(OR(LEFT(TH!L931,2)="15",LEFT(TH!M931,2)="15"),'152-CT'!$J$8=TH!F931),"x","")</f>
        <v/>
      </c>
      <c r="Y931" s="39" t="str">
        <f>IF(AND(OR(LEFT(TH!L931,2)="15",LEFT(TH!M931,2)="15"),TK!$E$7=TH!F931),"x","")</f>
        <v/>
      </c>
      <c r="Z931" s="39" t="str">
        <f>IF(AND(B931&lt;=NKC!$N$8,B931&gt;=NKC!$M$8),"x","")</f>
        <v/>
      </c>
      <c r="AA931" s="894"/>
    </row>
    <row r="932" spans="1:27" ht="15.75" customHeight="1">
      <c r="A932" s="199" t="str">
        <f>IF(B932&lt;&gt;"",IF(AND(B932&gt;=_TM1,B932&lt;=_TM2,OR(TH!L932="1111",TH!M932="1111")),TH!D932,""),"")</f>
        <v/>
      </c>
      <c r="B932" s="36" t="str">
        <f t="shared" si="40"/>
        <v/>
      </c>
      <c r="C932" s="190"/>
      <c r="D932" s="190"/>
      <c r="E932" s="37"/>
      <c r="F932" s="40"/>
      <c r="G932" s="40"/>
      <c r="H932" s="7"/>
      <c r="I932" s="825"/>
      <c r="J932" s="806"/>
      <c r="K932" s="606"/>
      <c r="L932" s="39"/>
      <c r="M932" s="607"/>
      <c r="N932" s="39" t="str">
        <f>IF(AND('331-CT'!$E$7=TH!H932,OR(L932="331",M932="331")),"331",IF(AND(OR(L932="131",M932="131"),H932='131-CT'!$E$7),"131",""))</f>
        <v/>
      </c>
      <c r="O932" s="39" t="str">
        <f>IF(AND($B932&gt;='111'!$N$11,$B932&lt;='111'!$O$11,OR($L932=$O$7,$M932=$O$7)),"x","")</f>
        <v/>
      </c>
      <c r="P932" s="39" t="str">
        <f>IF(AND($L932=$O$7,$B932&lt;'111'!$N$11),"x","")</f>
        <v/>
      </c>
      <c r="Q932" s="39" t="str">
        <f>IF(AND($M932=$O$7,$B932&lt;'111'!$N$11),"x","")</f>
        <v/>
      </c>
      <c r="R932" s="39" t="str">
        <f>IF(ISERROR(FIND('112'!$M$9,G932,1)),"",IF((AND(FIND('112'!$M$9,G932,1)&gt;=1,$B932&gt;='112'!$N$8,$B932&lt;='112'!$O$8,OR($L932='112'!$I$6,$M932='112'!$I$6))),"x",""))</f>
        <v/>
      </c>
      <c r="S932" s="39" t="str">
        <f>IF(ISERROR(FIND('112'!$M$9,G932,1)),"",IF((AND(LEFT(G932,2)=LEFT('112'!$M$9,2),B932&lt;'112'!$N$8,$L932='112'!$I$6)),"x",""))</f>
        <v/>
      </c>
      <c r="T932" s="39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39" t="str">
        <f>IF(OR(TH!L932=TH!$V$7,M932=TH!$V$7),"x","")</f>
        <v/>
      </c>
      <c r="W932" s="39" t="str">
        <f>IF(AND(B932&gt;='IN-NX'!$P$3,B932&lt;='IN-NX'!$Q$3,'IN-NX'!$D$7=D932,OR(LEFT(L932,2)="15",AND(LEFT(M932,2)&lt;&gt;"15",LEFT(M932,2)&lt;&gt;"33"))),"x","")</f>
        <v/>
      </c>
      <c r="X932" s="39" t="str">
        <f>IF(AND(OR(LEFT(TH!L932,2)="15",LEFT(TH!M932,2)="15"),'152-CT'!$J$8=TH!F932),"x","")</f>
        <v/>
      </c>
      <c r="Y932" s="39" t="str">
        <f>IF(AND(OR(LEFT(TH!L932,2)="15",LEFT(TH!M932,2)="15"),TK!$E$7=TH!F932),"x","")</f>
        <v/>
      </c>
      <c r="Z932" s="39" t="str">
        <f>IF(AND(B932&lt;=NKC!$N$8,B932&gt;=NKC!$M$8),"x","")</f>
        <v/>
      </c>
      <c r="AA932" s="894"/>
    </row>
    <row r="933" spans="1:27" ht="15.75" customHeight="1">
      <c r="A933" s="199" t="str">
        <f>IF(B933&lt;&gt;"",IF(AND(B933&gt;=_TM1,B933&lt;=_TM2,OR(TH!L933="1111",TH!M933="1111")),TH!D933,""),"")</f>
        <v/>
      </c>
      <c r="B933" s="36" t="str">
        <f t="shared" si="40"/>
        <v/>
      </c>
      <c r="C933" s="190"/>
      <c r="D933" s="190"/>
      <c r="E933" s="37"/>
      <c r="F933" s="188"/>
      <c r="G933" s="40"/>
      <c r="H933" s="7"/>
      <c r="I933" s="825"/>
      <c r="J933" s="806"/>
      <c r="K933" s="606"/>
      <c r="L933" s="39"/>
      <c r="M933" s="607"/>
      <c r="N933" s="39" t="str">
        <f>IF(AND('331-CT'!$E$7=TH!H933,OR(L933="331",M933="331")),"331",IF(AND(OR(L933="131",M933="131"),H933='131-CT'!$E$7),"131",""))</f>
        <v/>
      </c>
      <c r="O933" s="39" t="str">
        <f>IF(AND($B933&gt;='111'!$N$11,$B933&lt;='111'!$O$11,OR($L933=$O$7,$M933=$O$7)),"x","")</f>
        <v/>
      </c>
      <c r="P933" s="39" t="str">
        <f>IF(AND($L933=$O$7,$B933&lt;'111'!$N$11),"x","")</f>
        <v/>
      </c>
      <c r="Q933" s="39" t="str">
        <f>IF(AND($M933=$O$7,$B933&lt;'111'!$N$11),"x","")</f>
        <v/>
      </c>
      <c r="R933" s="39" t="str">
        <f>IF(ISERROR(FIND('112'!$M$9,G933,1)),"",IF((AND(FIND('112'!$M$9,G933,1)&gt;=1,$B933&gt;='112'!$N$8,$B933&lt;='112'!$O$8,OR($L933='112'!$I$6,$M933='112'!$I$6))),"x",""))</f>
        <v/>
      </c>
      <c r="S933" s="39" t="str">
        <f>IF(ISERROR(FIND('112'!$M$9,G933,1)),"",IF((AND(LEFT(G933,2)=LEFT('112'!$M$9,2),B933&lt;'112'!$N$8,$L933='112'!$I$6)),"x",""))</f>
        <v/>
      </c>
      <c r="T933" s="39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39" t="str">
        <f>IF(OR(TH!L933=TH!$V$7,M933=TH!$V$7),"x","")</f>
        <v/>
      </c>
      <c r="W933" s="39" t="str">
        <f>IF(AND(B933&gt;='IN-NX'!$P$3,B933&lt;='IN-NX'!$Q$3,'IN-NX'!$D$7=D933,OR(LEFT(L933,2)="15",AND(LEFT(M933,2)&lt;&gt;"15",LEFT(M933,2)&lt;&gt;"33"))),"x","")</f>
        <v/>
      </c>
      <c r="X933" s="39" t="str">
        <f>IF(AND(OR(LEFT(TH!L933,2)="15",LEFT(TH!M933,2)="15"),'152-CT'!$J$8=TH!F933),"x","")</f>
        <v/>
      </c>
      <c r="Y933" s="39" t="str">
        <f>IF(AND(OR(LEFT(TH!L933,2)="15",LEFT(TH!M933,2)="15"),TK!$E$7=TH!F933),"x","")</f>
        <v/>
      </c>
      <c r="Z933" s="39" t="str">
        <f>IF(AND(B933&lt;=NKC!$N$8,B933&gt;=NKC!$M$8),"x","")</f>
        <v/>
      </c>
      <c r="AA933" s="894"/>
    </row>
    <row r="934" spans="1:27" ht="15.75" customHeight="1">
      <c r="A934" s="199" t="str">
        <f>IF(B934&lt;&gt;"",IF(AND(B934&gt;=_TM1,B934&lt;=_TM2,OR(TH!L934="1111",TH!M934="1111")),TH!D934,""),"")</f>
        <v/>
      </c>
      <c r="B934" s="36" t="str">
        <f t="shared" si="40"/>
        <v/>
      </c>
      <c r="C934" s="190"/>
      <c r="D934" s="190"/>
      <c r="E934" s="37"/>
      <c r="F934" s="293"/>
      <c r="G934" s="40"/>
      <c r="H934" s="7"/>
      <c r="I934" s="825"/>
      <c r="J934" s="806"/>
      <c r="K934" s="606"/>
      <c r="L934" s="39"/>
      <c r="M934" s="607"/>
      <c r="N934" s="39" t="str">
        <f>IF(AND('331-CT'!$E$7=TH!H934,OR(L934="331",M934="331")),"331",IF(AND(OR(L934="131",M934="131"),H934='131-CT'!$E$7),"131",""))</f>
        <v/>
      </c>
      <c r="O934" s="39" t="str">
        <f>IF(AND($B934&gt;='111'!$N$11,$B934&lt;='111'!$O$11,OR($L934=$O$7,$M934=$O$7)),"x","")</f>
        <v/>
      </c>
      <c r="P934" s="39" t="str">
        <f>IF(AND($L934=$O$7,$B934&lt;'111'!$N$11),"x","")</f>
        <v/>
      </c>
      <c r="Q934" s="39" t="str">
        <f>IF(AND($M934=$O$7,$B934&lt;'111'!$N$11),"x","")</f>
        <v/>
      </c>
      <c r="R934" s="39" t="str">
        <f>IF(ISERROR(FIND('112'!$M$9,G934,1)),"",IF((AND(FIND('112'!$M$9,G934,1)&gt;=1,$B934&gt;='112'!$N$8,$B934&lt;='112'!$O$8,OR($L934='112'!$I$6,$M934='112'!$I$6))),"x",""))</f>
        <v/>
      </c>
      <c r="S934" s="39" t="str">
        <f>IF(ISERROR(FIND('112'!$M$9,G934,1)),"",IF((AND(LEFT(G934,2)=LEFT('112'!$M$9,2),B934&lt;'112'!$N$8,$L934='112'!$I$6)),"x",""))</f>
        <v/>
      </c>
      <c r="T934" s="39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39" t="str">
        <f>IF(OR(TH!L934=TH!$V$7,M934=TH!$V$7),"x","")</f>
        <v/>
      </c>
      <c r="W934" s="39" t="str">
        <f>IF(AND(B934&gt;='IN-NX'!$P$3,B934&lt;='IN-NX'!$Q$3,'IN-NX'!$D$7=D934,OR(LEFT(L934,2)="15",AND(LEFT(M934,2)&lt;&gt;"15",LEFT(M934,2)&lt;&gt;"33"))),"x","")</f>
        <v/>
      </c>
      <c r="X934" s="39" t="str">
        <f>IF(AND(OR(LEFT(TH!L934,2)="15",LEFT(TH!M934,2)="15"),'152-CT'!$J$8=TH!F934),"x","")</f>
        <v/>
      </c>
      <c r="Y934" s="39" t="str">
        <f>IF(AND(OR(LEFT(TH!L934,2)="15",LEFT(TH!M934,2)="15"),TK!$E$7=TH!F934),"x","")</f>
        <v/>
      </c>
      <c r="Z934" s="39" t="str">
        <f>IF(AND(B934&lt;=NKC!$N$8,B934&gt;=NKC!$M$8),"x","")</f>
        <v/>
      </c>
      <c r="AA934" s="894"/>
    </row>
    <row r="935" spans="1:27" ht="15.75" customHeight="1">
      <c r="A935" s="199" t="str">
        <f>IF(B935&lt;&gt;"",IF(AND(B935&gt;=_TM1,B935&lt;=_TM2,OR(TH!L935="1111",TH!M935="1111")),TH!D935,""),"")</f>
        <v/>
      </c>
      <c r="B935" s="36" t="str">
        <f t="shared" si="40"/>
        <v/>
      </c>
      <c r="C935" s="190"/>
      <c r="D935" s="190"/>
      <c r="E935" s="37"/>
      <c r="F935" s="188"/>
      <c r="G935" s="40"/>
      <c r="H935" s="7"/>
      <c r="I935" s="825"/>
      <c r="J935" s="806"/>
      <c r="K935" s="606"/>
      <c r="L935" s="39"/>
      <c r="M935" s="607"/>
      <c r="N935" s="39" t="str">
        <f>IF(AND('331-CT'!$E$7=TH!H935,OR(L935="331",M935="331")),"331",IF(AND(OR(L935="131",M935="131"),H935='131-CT'!$E$7),"131",""))</f>
        <v/>
      </c>
      <c r="O935" s="39" t="str">
        <f>IF(AND($B935&gt;='111'!$N$11,$B935&lt;='111'!$O$11,OR($L935=$O$7,$M935=$O$7)),"x","")</f>
        <v/>
      </c>
      <c r="P935" s="39" t="str">
        <f>IF(AND($L935=$O$7,$B935&lt;'111'!$N$11),"x","")</f>
        <v/>
      </c>
      <c r="Q935" s="39" t="str">
        <f>IF(AND($M935=$O$7,$B935&lt;'111'!$N$11),"x","")</f>
        <v/>
      </c>
      <c r="R935" s="39" t="str">
        <f>IF(ISERROR(FIND('112'!$M$9,G935,1)),"",IF((AND(FIND('112'!$M$9,G935,1)&gt;=1,$B935&gt;='112'!$N$8,$B935&lt;='112'!$O$8,OR($L935='112'!$I$6,$M935='112'!$I$6))),"x",""))</f>
        <v/>
      </c>
      <c r="S935" s="39" t="str">
        <f>IF(ISERROR(FIND('112'!$M$9,G935,1)),"",IF((AND(LEFT(G935,2)=LEFT('112'!$M$9,2),B935&lt;'112'!$N$8,$L935='112'!$I$6)),"x",""))</f>
        <v/>
      </c>
      <c r="T935" s="39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39" t="str">
        <f>IF(OR(TH!L935=TH!$V$7,M935=TH!$V$7),"x","")</f>
        <v/>
      </c>
      <c r="W935" s="39" t="str">
        <f>IF(AND(B935&gt;='IN-NX'!$P$3,B935&lt;='IN-NX'!$Q$3,'IN-NX'!$D$7=D935,OR(LEFT(L935,2)="15",AND(LEFT(M935,2)&lt;&gt;"15",LEFT(M935,2)&lt;&gt;"33"))),"x","")</f>
        <v/>
      </c>
      <c r="X935" s="39" t="str">
        <f>IF(AND(OR(LEFT(TH!L935,2)="15",LEFT(TH!M935,2)="15"),'152-CT'!$J$8=TH!F935),"x","")</f>
        <v/>
      </c>
      <c r="Y935" s="39" t="str">
        <f>IF(AND(OR(LEFT(TH!L935,2)="15",LEFT(TH!M935,2)="15"),TK!$E$7=TH!F935),"x","")</f>
        <v/>
      </c>
      <c r="Z935" s="39" t="str">
        <f>IF(AND(B935&lt;=NKC!$N$8,B935&gt;=NKC!$M$8),"x","")</f>
        <v/>
      </c>
      <c r="AA935" s="894"/>
    </row>
    <row r="936" spans="1:27" ht="15.75" customHeight="1">
      <c r="A936" s="199" t="str">
        <f>IF(B936&lt;&gt;"",IF(AND(B936&gt;=_TM1,B936&lt;=_TM2,OR(TH!L936="1111",TH!M936="1111")),TH!D936,""),"")</f>
        <v/>
      </c>
      <c r="B936" s="36" t="str">
        <f t="shared" si="40"/>
        <v/>
      </c>
      <c r="C936" s="190"/>
      <c r="D936" s="190"/>
      <c r="E936" s="37"/>
      <c r="F936" s="293"/>
      <c r="G936" s="40"/>
      <c r="H936" s="7"/>
      <c r="I936" s="825"/>
      <c r="J936" s="806"/>
      <c r="K936" s="606"/>
      <c r="L936" s="39"/>
      <c r="M936" s="607"/>
      <c r="N936" s="39" t="str">
        <f>IF(AND('331-CT'!$E$7=TH!H936,OR(L936="331",M936="331")),"331",IF(AND(OR(L936="131",M936="131"),H936='131-CT'!$E$7),"131",""))</f>
        <v/>
      </c>
      <c r="O936" s="39" t="str">
        <f>IF(AND($B936&gt;='111'!$N$11,$B936&lt;='111'!$O$11,OR($L936=$O$7,$M936=$O$7)),"x","")</f>
        <v/>
      </c>
      <c r="P936" s="39" t="str">
        <f>IF(AND($L936=$O$7,$B936&lt;'111'!$N$11),"x","")</f>
        <v/>
      </c>
      <c r="Q936" s="39" t="str">
        <f>IF(AND($M936=$O$7,$B936&lt;'111'!$N$11),"x","")</f>
        <v/>
      </c>
      <c r="R936" s="39" t="str">
        <f>IF(ISERROR(FIND('112'!$M$9,G936,1)),"",IF((AND(FIND('112'!$M$9,G936,1)&gt;=1,$B936&gt;='112'!$N$8,$B936&lt;='112'!$O$8,OR($L936='112'!$I$6,$M936='112'!$I$6))),"x",""))</f>
        <v/>
      </c>
      <c r="S936" s="39" t="str">
        <f>IF(ISERROR(FIND('112'!$M$9,G936,1)),"",IF((AND(LEFT(G936,2)=LEFT('112'!$M$9,2),B936&lt;'112'!$N$8,$L936='112'!$I$6)),"x",""))</f>
        <v/>
      </c>
      <c r="T936" s="39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39" t="str">
        <f>IF(OR(TH!L936=TH!$V$7,M936=TH!$V$7),"x","")</f>
        <v/>
      </c>
      <c r="W936" s="39" t="str">
        <f>IF(AND(B936&gt;='IN-NX'!$P$3,B936&lt;='IN-NX'!$Q$3,'IN-NX'!$D$7=D936,OR(LEFT(L936,2)="15",AND(LEFT(M936,2)&lt;&gt;"15",LEFT(M936,2)&lt;&gt;"33"))),"x","")</f>
        <v/>
      </c>
      <c r="X936" s="39" t="str">
        <f>IF(AND(OR(LEFT(TH!L936,2)="15",LEFT(TH!M936,2)="15"),'152-CT'!$J$8=TH!F936),"x","")</f>
        <v/>
      </c>
      <c r="Y936" s="39" t="str">
        <f>IF(AND(OR(LEFT(TH!L936,2)="15",LEFT(TH!M936,2)="15"),TK!$E$7=TH!F936),"x","")</f>
        <v/>
      </c>
      <c r="Z936" s="39" t="str">
        <f>IF(AND(B936&lt;=NKC!$N$8,B936&gt;=NKC!$M$8),"x","")</f>
        <v/>
      </c>
      <c r="AA936" s="894"/>
    </row>
    <row r="937" spans="1:27" ht="15.75" customHeight="1">
      <c r="A937" s="199" t="str">
        <f>IF(B937&lt;&gt;"",IF(AND(B937&gt;=_TM1,B937&lt;=_TM2,OR(TH!L937="1111",TH!M937="1111")),TH!D937,""),"")</f>
        <v/>
      </c>
      <c r="B937" s="36" t="str">
        <f t="shared" si="40"/>
        <v/>
      </c>
      <c r="C937" s="190"/>
      <c r="D937" s="190"/>
      <c r="E937" s="37"/>
      <c r="F937" s="293"/>
      <c r="G937" s="40"/>
      <c r="H937" s="7"/>
      <c r="I937" s="825"/>
      <c r="J937" s="806"/>
      <c r="K937" s="606"/>
      <c r="L937" s="39"/>
      <c r="M937" s="607"/>
      <c r="N937" s="39" t="str">
        <f>IF(AND('331-CT'!$E$7=TH!H937,OR(L937="331",M937="331")),"331",IF(AND(OR(L937="131",M937="131"),H937='131-CT'!$E$7),"131",""))</f>
        <v/>
      </c>
      <c r="O937" s="39" t="str">
        <f>IF(AND($B937&gt;='111'!$N$11,$B937&lt;='111'!$O$11,OR($L937=$O$7,$M937=$O$7)),"x","")</f>
        <v/>
      </c>
      <c r="P937" s="39" t="str">
        <f>IF(AND($L937=$O$7,$B937&lt;'111'!$N$11),"x","")</f>
        <v/>
      </c>
      <c r="Q937" s="39" t="str">
        <f>IF(AND($M937=$O$7,$B937&lt;'111'!$N$11),"x","")</f>
        <v/>
      </c>
      <c r="R937" s="39" t="str">
        <f>IF(ISERROR(FIND('112'!$M$9,G937,1)),"",IF((AND(FIND('112'!$M$9,G937,1)&gt;=1,$B937&gt;='112'!$N$8,$B937&lt;='112'!$O$8,OR($L937='112'!$I$6,$M937='112'!$I$6))),"x",""))</f>
        <v/>
      </c>
      <c r="S937" s="39" t="str">
        <f>IF(ISERROR(FIND('112'!$M$9,G937,1)),"",IF((AND(LEFT(G937,2)=LEFT('112'!$M$9,2),B937&lt;'112'!$N$8,$L937='112'!$I$6)),"x",""))</f>
        <v/>
      </c>
      <c r="T937" s="39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39" t="str">
        <f>IF(OR(TH!L937=TH!$V$7,M937=TH!$V$7),"x","")</f>
        <v/>
      </c>
      <c r="W937" s="39" t="str">
        <f>IF(AND(B937&gt;='IN-NX'!$P$3,B937&lt;='IN-NX'!$Q$3,'IN-NX'!$D$7=D937,OR(LEFT(L937,2)="15",AND(LEFT(M937,2)&lt;&gt;"15",LEFT(M937,2)&lt;&gt;"33"))),"x","")</f>
        <v/>
      </c>
      <c r="X937" s="39" t="str">
        <f>IF(AND(OR(LEFT(TH!L937,2)="15",LEFT(TH!M937,2)="15"),'152-CT'!$J$8=TH!F937),"x","")</f>
        <v/>
      </c>
      <c r="Y937" s="39" t="str">
        <f>IF(AND(OR(LEFT(TH!L937,2)="15",LEFT(TH!M937,2)="15"),TK!$E$7=TH!F937),"x","")</f>
        <v/>
      </c>
      <c r="Z937" s="39" t="str">
        <f>IF(AND(B937&lt;=NKC!$N$8,B937&gt;=NKC!$M$8),"x","")</f>
        <v/>
      </c>
      <c r="AA937" s="894"/>
    </row>
    <row r="938" spans="1:27" ht="15.75" customHeight="1">
      <c r="A938" s="199" t="str">
        <f>IF(B938&lt;&gt;"",IF(AND(B938&gt;=_TM1,B938&lt;=_TM2,OR(TH!L938="1111",TH!M938="1111")),TH!D938,""),"")</f>
        <v/>
      </c>
      <c r="B938" s="36" t="str">
        <f t="shared" si="40"/>
        <v/>
      </c>
      <c r="C938" s="190"/>
      <c r="D938" s="190"/>
      <c r="E938" s="37"/>
      <c r="F938" s="293"/>
      <c r="G938" s="40"/>
      <c r="H938" s="7"/>
      <c r="I938" s="825"/>
      <c r="J938" s="806"/>
      <c r="K938" s="606"/>
      <c r="L938" s="39"/>
      <c r="M938" s="607"/>
      <c r="N938" s="39" t="str">
        <f>IF(AND('331-CT'!$E$7=TH!H938,OR(L938="331",M938="331")),"331",IF(AND(OR(L938="131",M938="131"),H938='131-CT'!$E$7),"131",""))</f>
        <v/>
      </c>
      <c r="O938" s="39" t="str">
        <f>IF(AND($B938&gt;='111'!$N$11,$B938&lt;='111'!$O$11,OR($L938=$O$7,$M938=$O$7)),"x","")</f>
        <v/>
      </c>
      <c r="P938" s="39" t="str">
        <f>IF(AND($L938=$O$7,$B938&lt;'111'!$N$11),"x","")</f>
        <v/>
      </c>
      <c r="Q938" s="39" t="str">
        <f>IF(AND($M938=$O$7,$B938&lt;'111'!$N$11),"x","")</f>
        <v/>
      </c>
      <c r="R938" s="39" t="str">
        <f>IF(ISERROR(FIND('112'!$M$9,G938,1)),"",IF((AND(FIND('112'!$M$9,G938,1)&gt;=1,$B938&gt;='112'!$N$8,$B938&lt;='112'!$O$8,OR($L938='112'!$I$6,$M938='112'!$I$6))),"x",""))</f>
        <v/>
      </c>
      <c r="S938" s="39" t="str">
        <f>IF(ISERROR(FIND('112'!$M$9,G938,1)),"",IF((AND(LEFT(G938,2)=LEFT('112'!$M$9,2),B938&lt;'112'!$N$8,$L938='112'!$I$6)),"x",""))</f>
        <v/>
      </c>
      <c r="T938" s="39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39" t="str">
        <f>IF(OR(TH!L938=TH!$V$7,M938=TH!$V$7),"x","")</f>
        <v/>
      </c>
      <c r="W938" s="39" t="str">
        <f>IF(AND(B938&gt;='IN-NX'!$P$3,B938&lt;='IN-NX'!$Q$3,'IN-NX'!$D$7=D938,OR(LEFT(L938,2)="15",AND(LEFT(M938,2)&lt;&gt;"15",LEFT(M938,2)&lt;&gt;"33"))),"x","")</f>
        <v/>
      </c>
      <c r="X938" s="39" t="str">
        <f>IF(AND(OR(LEFT(TH!L938,2)="15",LEFT(TH!M938,2)="15"),'152-CT'!$J$8=TH!F938),"x","")</f>
        <v/>
      </c>
      <c r="Y938" s="39" t="str">
        <f>IF(AND(OR(LEFT(TH!L938,2)="15",LEFT(TH!M938,2)="15"),TK!$E$7=TH!F938),"x","")</f>
        <v/>
      </c>
      <c r="Z938" s="39" t="str">
        <f>IF(AND(B938&lt;=NKC!$N$8,B938&gt;=NKC!$M$8),"x","")</f>
        <v/>
      </c>
      <c r="AA938" s="894"/>
    </row>
    <row r="939" spans="1:27" ht="15.75" customHeight="1">
      <c r="A939" s="199" t="str">
        <f>IF(B939&lt;&gt;"",IF(AND(B939&gt;=_TM1,B939&lt;=_TM2,OR(TH!L939="1111",TH!M939="1111")),TH!D939,""),"")</f>
        <v/>
      </c>
      <c r="B939" s="36" t="str">
        <f t="shared" si="40"/>
        <v/>
      </c>
      <c r="C939" s="190"/>
      <c r="D939" s="190"/>
      <c r="E939" s="37"/>
      <c r="F939" s="188"/>
      <c r="G939" s="40"/>
      <c r="H939" s="7"/>
      <c r="I939" s="825"/>
      <c r="J939" s="806"/>
      <c r="K939" s="606"/>
      <c r="L939" s="39"/>
      <c r="M939" s="607"/>
      <c r="N939" s="39" t="str">
        <f>IF(AND('331-CT'!$E$7=TH!H939,OR(L939="331",M939="331")),"331",IF(AND(OR(L939="131",M939="131"),H939='131-CT'!$E$7),"131",""))</f>
        <v/>
      </c>
      <c r="O939" s="39" t="str">
        <f>IF(AND($B939&gt;='111'!$N$11,$B939&lt;='111'!$O$11,OR($L939=$O$7,$M939=$O$7)),"x","")</f>
        <v/>
      </c>
      <c r="P939" s="39" t="str">
        <f>IF(AND($L939=$O$7,$B939&lt;'111'!$N$11),"x","")</f>
        <v/>
      </c>
      <c r="Q939" s="39" t="str">
        <f>IF(AND($M939=$O$7,$B939&lt;'111'!$N$11),"x","")</f>
        <v/>
      </c>
      <c r="R939" s="39" t="str">
        <f>IF(ISERROR(FIND('112'!$M$9,G939,1)),"",IF((AND(FIND('112'!$M$9,G939,1)&gt;=1,$B939&gt;='112'!$N$8,$B939&lt;='112'!$O$8,OR($L939='112'!$I$6,$M939='112'!$I$6))),"x",""))</f>
        <v/>
      </c>
      <c r="S939" s="39" t="str">
        <f>IF(ISERROR(FIND('112'!$M$9,G939,1)),"",IF((AND(LEFT(G939,2)=LEFT('112'!$M$9,2),B939&lt;'112'!$N$8,$L939='112'!$I$6)),"x",""))</f>
        <v/>
      </c>
      <c r="T939" s="39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39" t="str">
        <f>IF(OR(TH!L939=TH!$V$7,M939=TH!$V$7),"x","")</f>
        <v/>
      </c>
      <c r="W939" s="39" t="str">
        <f>IF(AND(B939&gt;='IN-NX'!$P$3,B939&lt;='IN-NX'!$Q$3,'IN-NX'!$D$7=D939,OR(LEFT(L939,2)="15",AND(LEFT(M939,2)&lt;&gt;"15",LEFT(M939,2)&lt;&gt;"33"))),"x","")</f>
        <v/>
      </c>
      <c r="X939" s="39" t="str">
        <f>IF(AND(OR(LEFT(TH!L939,2)="15",LEFT(TH!M939,2)="15"),'152-CT'!$J$8=TH!F939),"x","")</f>
        <v/>
      </c>
      <c r="Y939" s="39" t="str">
        <f>IF(AND(OR(LEFT(TH!L939,2)="15",LEFT(TH!M939,2)="15"),TK!$E$7=TH!F939),"x","")</f>
        <v/>
      </c>
      <c r="Z939" s="39" t="str">
        <f>IF(AND(B939&lt;=NKC!$N$8,B939&gt;=NKC!$M$8),"x","")</f>
        <v/>
      </c>
      <c r="AA939" s="894"/>
    </row>
    <row r="940" spans="1:27" ht="15.75" customHeight="1">
      <c r="A940" s="199" t="str">
        <f>IF(B940&lt;&gt;"",IF(AND(B940&gt;=_TM1,B940&lt;=_TM2,OR(TH!L940="1111",TH!M940="1111")),TH!D940,""),"")</f>
        <v/>
      </c>
      <c r="B940" s="36" t="str">
        <f t="shared" si="40"/>
        <v/>
      </c>
      <c r="C940" s="190"/>
      <c r="D940" s="190"/>
      <c r="E940" s="37"/>
      <c r="F940" s="188"/>
      <c r="G940" s="40"/>
      <c r="H940" s="7"/>
      <c r="I940" s="825"/>
      <c r="J940" s="806"/>
      <c r="K940" s="606"/>
      <c r="L940" s="39"/>
      <c r="M940" s="607"/>
      <c r="N940" s="39" t="str">
        <f>IF(AND('331-CT'!$E$7=TH!H940,OR(L940="331",M940="331")),"331",IF(AND(OR(L940="131",M940="131"),H940='131-CT'!$E$7),"131",""))</f>
        <v/>
      </c>
      <c r="O940" s="39" t="str">
        <f>IF(AND($B940&gt;='111'!$N$11,$B940&lt;='111'!$O$11,OR($L940=$O$7,$M940=$O$7)),"x","")</f>
        <v/>
      </c>
      <c r="P940" s="39" t="str">
        <f>IF(AND($L940=$O$7,$B940&lt;'111'!$N$11),"x","")</f>
        <v/>
      </c>
      <c r="Q940" s="39" t="str">
        <f>IF(AND($M940=$O$7,$B940&lt;'111'!$N$11),"x","")</f>
        <v/>
      </c>
      <c r="R940" s="39" t="str">
        <f>IF(ISERROR(FIND('112'!$M$9,G940,1)),"",IF((AND(FIND('112'!$M$9,G940,1)&gt;=1,$B940&gt;='112'!$N$8,$B940&lt;='112'!$O$8,OR($L940='112'!$I$6,$M940='112'!$I$6))),"x",""))</f>
        <v/>
      </c>
      <c r="S940" s="39" t="str">
        <f>IF(ISERROR(FIND('112'!$M$9,G940,1)),"",IF((AND(LEFT(G940,2)=LEFT('112'!$M$9,2),B940&lt;'112'!$N$8,$L940='112'!$I$6)),"x",""))</f>
        <v/>
      </c>
      <c r="T940" s="39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39" t="str">
        <f>IF(OR(TH!L940=TH!$V$7,M940=TH!$V$7),"x","")</f>
        <v/>
      </c>
      <c r="W940" s="39" t="str">
        <f>IF(AND(B940&gt;='IN-NX'!$P$3,B940&lt;='IN-NX'!$Q$3,'IN-NX'!$D$7=D940,OR(LEFT(L940,2)="15",AND(LEFT(M940,2)&lt;&gt;"15",LEFT(M940,2)&lt;&gt;"33"))),"x","")</f>
        <v/>
      </c>
      <c r="X940" s="39" t="str">
        <f>IF(AND(OR(LEFT(TH!L940,2)="15",LEFT(TH!M940,2)="15"),'152-CT'!$J$8=TH!F940),"x","")</f>
        <v/>
      </c>
      <c r="Y940" s="39" t="str">
        <f>IF(AND(OR(LEFT(TH!L940,2)="15",LEFT(TH!M940,2)="15"),TK!$E$7=TH!F940),"x","")</f>
        <v/>
      </c>
      <c r="Z940" s="39" t="str">
        <f>IF(AND(B940&lt;=NKC!$N$8,B940&gt;=NKC!$M$8),"x","")</f>
        <v/>
      </c>
      <c r="AA940" s="894"/>
    </row>
    <row r="941" spans="1:27" ht="15.75" customHeight="1">
      <c r="A941" s="199" t="str">
        <f>IF(B941&lt;&gt;"",IF(AND(B941&gt;=_TM1,B941&lt;=_TM2,OR(TH!L941="1111",TH!M941="1111")),TH!D941,""),"")</f>
        <v/>
      </c>
      <c r="B941" s="36" t="str">
        <f t="shared" si="40"/>
        <v/>
      </c>
      <c r="C941" s="190"/>
      <c r="D941" s="190"/>
      <c r="E941" s="37"/>
      <c r="F941" s="40"/>
      <c r="G941" s="40"/>
      <c r="H941" s="7"/>
      <c r="I941" s="301"/>
      <c r="J941" s="808"/>
      <c r="K941" s="606"/>
      <c r="L941" s="39"/>
      <c r="M941" s="607"/>
      <c r="N941" s="39" t="str">
        <f>IF(AND('331-CT'!$E$7=TH!H941,OR(L941="331",M941="331")),"331",IF(AND(OR(L941="131",M941="131"),H941='131-CT'!$E$7),"131",""))</f>
        <v/>
      </c>
      <c r="O941" s="39" t="str">
        <f>IF(AND($B941&gt;='111'!$N$11,$B941&lt;='111'!$O$11,OR($L941=$O$7,$M941=$O$7)),"x","")</f>
        <v/>
      </c>
      <c r="P941" s="39" t="str">
        <f>IF(AND($L941=$O$7,$B941&lt;'111'!$N$11),"x","")</f>
        <v/>
      </c>
      <c r="Q941" s="39" t="str">
        <f>IF(AND($M941=$O$7,$B941&lt;'111'!$N$11),"x","")</f>
        <v/>
      </c>
      <c r="R941" s="39" t="str">
        <f>IF(ISERROR(FIND('112'!$M$9,G941,1)),"",IF((AND(FIND('112'!$M$9,G941,1)&gt;=1,$B941&gt;='112'!$N$8,$B941&lt;='112'!$O$8,OR($L941='112'!$I$6,$M941='112'!$I$6))),"x",""))</f>
        <v/>
      </c>
      <c r="S941" s="39" t="str">
        <f>IF(ISERROR(FIND('112'!$M$9,G941,1)),"",IF((AND(LEFT(G941,2)=LEFT('112'!$M$9,2),B941&lt;'112'!$N$8,$L941='112'!$I$6)),"x",""))</f>
        <v/>
      </c>
      <c r="T941" s="39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39" t="str">
        <f>IF(OR(TH!L941=TH!$V$7,M941=TH!$V$7),"x","")</f>
        <v/>
      </c>
      <c r="W941" s="39" t="str">
        <f>IF(AND(B941&gt;='IN-NX'!$P$3,B941&lt;='IN-NX'!$Q$3,'IN-NX'!$D$7=D941,OR(LEFT(L941,2)="15",AND(LEFT(M941,2)&lt;&gt;"15",LEFT(M941,2)&lt;&gt;"33"))),"x","")</f>
        <v/>
      </c>
      <c r="X941" s="39" t="str">
        <f>IF(AND(OR(LEFT(TH!L941,2)="15",LEFT(TH!M941,2)="15"),'152-CT'!$J$8=TH!F941),"x","")</f>
        <v/>
      </c>
      <c r="Y941" s="39" t="str">
        <f>IF(AND(OR(LEFT(TH!L941,2)="15",LEFT(TH!M941,2)="15"),TK!$E$7=TH!F941),"x","")</f>
        <v/>
      </c>
      <c r="Z941" s="39" t="str">
        <f>IF(AND(B941&lt;=NKC!$N$8,B941&gt;=NKC!$M$8),"x","")</f>
        <v/>
      </c>
      <c r="AA941" s="894"/>
    </row>
    <row r="942" spans="1:27" ht="15.75" customHeight="1">
      <c r="A942" s="199" t="str">
        <f>IF(B942&lt;&gt;"",IF(AND(B942&gt;=_TM1,B942&lt;=_TM2,OR(TH!L942="1111",TH!M942="1111")),TH!D942,""),"")</f>
        <v/>
      </c>
      <c r="B942" s="36" t="str">
        <f t="shared" si="40"/>
        <v/>
      </c>
      <c r="C942" s="190"/>
      <c r="D942" s="190"/>
      <c r="E942" s="37"/>
      <c r="F942" s="191"/>
      <c r="G942" s="40"/>
      <c r="H942" s="7"/>
      <c r="I942" s="301"/>
      <c r="J942" s="808"/>
      <c r="K942" s="606"/>
      <c r="L942" s="39"/>
      <c r="M942" s="607"/>
      <c r="N942" s="39" t="str">
        <f>IF(AND('331-CT'!$E$7=TH!H942,OR(L942="331",M942="331")),"331",IF(AND(OR(L942="131",M942="131"),H942='131-CT'!$E$7),"131",""))</f>
        <v/>
      </c>
      <c r="O942" s="39" t="str">
        <f>IF(AND($B942&gt;='111'!$N$11,$B942&lt;='111'!$O$11,OR($L942=$O$7,$M942=$O$7)),"x","")</f>
        <v/>
      </c>
      <c r="P942" s="39" t="str">
        <f>IF(AND($L942=$O$7,$B942&lt;'111'!$N$11),"x","")</f>
        <v/>
      </c>
      <c r="Q942" s="39" t="str">
        <f>IF(AND($M942=$O$7,$B942&lt;'111'!$N$11),"x","")</f>
        <v/>
      </c>
      <c r="R942" s="39" t="str">
        <f>IF(ISERROR(FIND('112'!$M$9,G942,1)),"",IF((AND(FIND('112'!$M$9,G942,1)&gt;=1,$B942&gt;='112'!$N$8,$B942&lt;='112'!$O$8,OR($L942='112'!$I$6,$M942='112'!$I$6))),"x",""))</f>
        <v/>
      </c>
      <c r="S942" s="39" t="str">
        <f>IF(ISERROR(FIND('112'!$M$9,G942,1)),"",IF((AND(LEFT(G942,2)=LEFT('112'!$M$9,2),B942&lt;'112'!$N$8,$L942='112'!$I$6)),"x",""))</f>
        <v/>
      </c>
      <c r="T942" s="39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39" t="str">
        <f>IF(OR(TH!L942=TH!$V$7,M942=TH!$V$7),"x","")</f>
        <v/>
      </c>
      <c r="W942" s="39" t="str">
        <f>IF(AND(B942&gt;='IN-NX'!$P$3,B942&lt;='IN-NX'!$Q$3,'IN-NX'!$D$7=D942,OR(LEFT(L942,2)="15",AND(LEFT(M942,2)&lt;&gt;"15",LEFT(M942,2)&lt;&gt;"33"))),"x","")</f>
        <v/>
      </c>
      <c r="X942" s="39" t="str">
        <f>IF(AND(OR(LEFT(TH!L942,2)="15",LEFT(TH!M942,2)="15"),'152-CT'!$J$8=TH!F942),"x","")</f>
        <v/>
      </c>
      <c r="Y942" s="39" t="str">
        <f>IF(AND(OR(LEFT(TH!L942,2)="15",LEFT(TH!M942,2)="15"),TK!$E$7=TH!F942),"x","")</f>
        <v/>
      </c>
      <c r="Z942" s="39" t="str">
        <f>IF(AND(B942&lt;=NKC!$N$8,B942&gt;=NKC!$M$8),"x","")</f>
        <v/>
      </c>
      <c r="AA942" s="894"/>
    </row>
    <row r="943" spans="1:27" ht="15.75" customHeight="1">
      <c r="A943" s="199" t="str">
        <f>IF(B943&lt;&gt;"",IF(AND(B943&gt;=_TM1,B943&lt;=_TM2,OR(TH!L943="1111",TH!M943="1111")),TH!D943,""),"")</f>
        <v/>
      </c>
      <c r="B943" s="36" t="str">
        <f t="shared" si="40"/>
        <v/>
      </c>
      <c r="C943" s="190"/>
      <c r="D943" s="190"/>
      <c r="E943" s="37"/>
      <c r="F943" s="40"/>
      <c r="G943" s="40"/>
      <c r="H943" s="7"/>
      <c r="I943" s="301"/>
      <c r="J943" s="808"/>
      <c r="K943" s="606"/>
      <c r="L943" s="39"/>
      <c r="M943" s="607"/>
      <c r="N943" s="39" t="str">
        <f>IF(AND('331-CT'!$E$7=TH!H943,OR(L943="331",M943="331")),"331",IF(AND(OR(L943="131",M943="131"),H943='131-CT'!$E$7),"131",""))</f>
        <v/>
      </c>
      <c r="O943" s="39" t="str">
        <f>IF(AND($B943&gt;='111'!$N$11,$B943&lt;='111'!$O$11,OR($L943=$O$7,$M943=$O$7)),"x","")</f>
        <v/>
      </c>
      <c r="P943" s="39" t="str">
        <f>IF(AND($L943=$O$7,$B943&lt;'111'!$N$11),"x","")</f>
        <v/>
      </c>
      <c r="Q943" s="39" t="str">
        <f>IF(AND($M943=$O$7,$B943&lt;'111'!$N$11),"x","")</f>
        <v/>
      </c>
      <c r="R943" s="39" t="str">
        <f>IF(ISERROR(FIND('112'!$M$9,G943,1)),"",IF((AND(FIND('112'!$M$9,G943,1)&gt;=1,$B943&gt;='112'!$N$8,$B943&lt;='112'!$O$8,OR($L943='112'!$I$6,$M943='112'!$I$6))),"x",""))</f>
        <v/>
      </c>
      <c r="S943" s="39" t="str">
        <f>IF(ISERROR(FIND('112'!$M$9,G943,1)),"",IF((AND(LEFT(G943,2)=LEFT('112'!$M$9,2),B943&lt;'112'!$N$8,$L943='112'!$I$6)),"x",""))</f>
        <v/>
      </c>
      <c r="T943" s="39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39" t="str">
        <f>IF(OR(TH!L943=TH!$V$7,M943=TH!$V$7),"x","")</f>
        <v/>
      </c>
      <c r="W943" s="39" t="str">
        <f>IF(AND(B943&gt;='IN-NX'!$P$3,B943&lt;='IN-NX'!$Q$3,'IN-NX'!$D$7=D943,OR(LEFT(L943,2)="15",AND(LEFT(M943,2)&lt;&gt;"15",LEFT(M943,2)&lt;&gt;"33"))),"x","")</f>
        <v/>
      </c>
      <c r="X943" s="39" t="str">
        <f>IF(AND(OR(LEFT(TH!L943,2)="15",LEFT(TH!M943,2)="15"),'152-CT'!$J$8=TH!F943),"x","")</f>
        <v/>
      </c>
      <c r="Y943" s="39" t="str">
        <f>IF(AND(OR(LEFT(TH!L943,2)="15",LEFT(TH!M943,2)="15"),TK!$E$7=TH!F943),"x","")</f>
        <v/>
      </c>
      <c r="Z943" s="39" t="str">
        <f>IF(AND(B943&lt;=NKC!$N$8,B943&gt;=NKC!$M$8),"x","")</f>
        <v/>
      </c>
      <c r="AA943" s="894"/>
    </row>
    <row r="944" spans="1:27" ht="15.75" customHeight="1">
      <c r="A944" s="199" t="str">
        <f>IF(B944&lt;&gt;"",IF(AND(B944&gt;=_TM1,B944&lt;=_TM2,OR(TH!L944="1111",TH!M944="1111")),TH!D944,""),"")</f>
        <v/>
      </c>
      <c r="B944" s="36" t="str">
        <f t="shared" si="40"/>
        <v/>
      </c>
      <c r="C944" s="190"/>
      <c r="D944" s="190"/>
      <c r="E944" s="37"/>
      <c r="F944" s="188"/>
      <c r="G944" s="40"/>
      <c r="H944" s="7"/>
      <c r="I944" s="301"/>
      <c r="J944" s="808"/>
      <c r="K944" s="606"/>
      <c r="L944" s="39"/>
      <c r="M944" s="607"/>
      <c r="N944" s="39" t="str">
        <f>IF(AND('331-CT'!$E$7=TH!H944,OR(L944="331",M944="331")),"331",IF(AND(OR(L944="131",M944="131"),H944='131-CT'!$E$7),"131",""))</f>
        <v/>
      </c>
      <c r="O944" s="39" t="str">
        <f>IF(AND($B944&gt;='111'!$N$11,$B944&lt;='111'!$O$11,OR($L944=$O$7,$M944=$O$7)),"x","")</f>
        <v/>
      </c>
      <c r="P944" s="39" t="str">
        <f>IF(AND($L944=$O$7,$B944&lt;'111'!$N$11),"x","")</f>
        <v/>
      </c>
      <c r="Q944" s="39" t="str">
        <f>IF(AND($M944=$O$7,$B944&lt;'111'!$N$11),"x","")</f>
        <v/>
      </c>
      <c r="R944" s="39" t="str">
        <f>IF(ISERROR(FIND('112'!$M$9,G944,1)),"",IF((AND(FIND('112'!$M$9,G944,1)&gt;=1,$B944&gt;='112'!$N$8,$B944&lt;='112'!$O$8,OR($L944='112'!$I$6,$M944='112'!$I$6))),"x",""))</f>
        <v/>
      </c>
      <c r="S944" s="39" t="str">
        <f>IF(ISERROR(FIND('112'!$M$9,G944,1)),"",IF((AND(LEFT(G944,2)=LEFT('112'!$M$9,2),B944&lt;'112'!$N$8,$L944='112'!$I$6)),"x",""))</f>
        <v/>
      </c>
      <c r="T944" s="39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39" t="str">
        <f>IF(OR(TH!L944=TH!$V$7,M944=TH!$V$7),"x","")</f>
        <v/>
      </c>
      <c r="W944" s="39" t="str">
        <f>IF(AND(B944&gt;='IN-NX'!$P$3,B944&lt;='IN-NX'!$Q$3,'IN-NX'!$D$7=D944,OR(LEFT(L944,2)="15",AND(LEFT(M944,2)&lt;&gt;"15",LEFT(M944,2)&lt;&gt;"33"))),"x","")</f>
        <v/>
      </c>
      <c r="X944" s="39" t="str">
        <f>IF(AND(OR(LEFT(TH!L944,2)="15",LEFT(TH!M944,2)="15"),'152-CT'!$J$8=TH!F944),"x","")</f>
        <v/>
      </c>
      <c r="Y944" s="39" t="str">
        <f>IF(AND(OR(LEFT(TH!L944,2)="15",LEFT(TH!M944,2)="15"),TK!$E$7=TH!F944),"x","")</f>
        <v/>
      </c>
      <c r="Z944" s="39" t="str">
        <f>IF(AND(B944&lt;=NKC!$N$8,B944&gt;=NKC!$M$8),"x","")</f>
        <v/>
      </c>
      <c r="AA944" s="894"/>
    </row>
    <row r="945" spans="1:27" ht="15.75" customHeight="1">
      <c r="A945" s="199" t="str">
        <f>IF(B945&lt;&gt;"",IF(AND(B945&gt;=_TM1,B945&lt;=_TM2,OR(TH!L945="1111",TH!M945="1111")),TH!D945,""),"")</f>
        <v/>
      </c>
      <c r="B945" s="36" t="str">
        <f t="shared" si="40"/>
        <v/>
      </c>
      <c r="C945" s="190"/>
      <c r="D945" s="190"/>
      <c r="E945" s="37"/>
      <c r="F945" s="188"/>
      <c r="G945" s="40"/>
      <c r="H945" s="7"/>
      <c r="I945" s="301"/>
      <c r="J945" s="808"/>
      <c r="K945" s="606"/>
      <c r="L945" s="39"/>
      <c r="M945" s="607"/>
      <c r="N945" s="39" t="str">
        <f>IF(AND('331-CT'!$E$7=TH!H945,OR(L945="331",M945="331")),"331",IF(AND(OR(L945="131",M945="131"),H945='131-CT'!$E$7),"131",""))</f>
        <v/>
      </c>
      <c r="O945" s="39" t="str">
        <f>IF(AND($B945&gt;='111'!$N$11,$B945&lt;='111'!$O$11,OR($L945=$O$7,$M945=$O$7)),"x","")</f>
        <v/>
      </c>
      <c r="P945" s="39" t="str">
        <f>IF(AND($L945=$O$7,$B945&lt;'111'!$N$11),"x","")</f>
        <v/>
      </c>
      <c r="Q945" s="39" t="str">
        <f>IF(AND($M945=$O$7,$B945&lt;'111'!$N$11),"x","")</f>
        <v/>
      </c>
      <c r="R945" s="39" t="str">
        <f>IF(ISERROR(FIND('112'!$M$9,G945,1)),"",IF((AND(FIND('112'!$M$9,G945,1)&gt;=1,$B945&gt;='112'!$N$8,$B945&lt;='112'!$O$8,OR($L945='112'!$I$6,$M945='112'!$I$6))),"x",""))</f>
        <v/>
      </c>
      <c r="S945" s="39" t="str">
        <f>IF(ISERROR(FIND('112'!$M$9,G945,1)),"",IF((AND(LEFT(G945,2)=LEFT('112'!$M$9,2),B945&lt;'112'!$N$8,$L945='112'!$I$6)),"x",""))</f>
        <v/>
      </c>
      <c r="T945" s="39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39" t="str">
        <f>IF(OR(TH!L945=TH!$V$7,M945=TH!$V$7),"x","")</f>
        <v/>
      </c>
      <c r="W945" s="39" t="str">
        <f>IF(AND(B945&gt;='IN-NX'!$P$3,B945&lt;='IN-NX'!$Q$3,'IN-NX'!$D$7=D945,OR(LEFT(L945,2)="15",AND(LEFT(M945,2)&lt;&gt;"15",LEFT(M945,2)&lt;&gt;"33"))),"x","")</f>
        <v/>
      </c>
      <c r="X945" s="39" t="str">
        <f>IF(AND(OR(LEFT(TH!L945,2)="15",LEFT(TH!M945,2)="15"),'152-CT'!$J$8=TH!F945),"x","")</f>
        <v/>
      </c>
      <c r="Y945" s="39" t="str">
        <f>IF(AND(OR(LEFT(TH!L945,2)="15",LEFT(TH!M945,2)="15"),TK!$E$7=TH!F945),"x","")</f>
        <v/>
      </c>
      <c r="Z945" s="39" t="str">
        <f>IF(AND(B945&lt;=NKC!$N$8,B945&gt;=NKC!$M$8),"x","")</f>
        <v/>
      </c>
      <c r="AA945" s="894"/>
    </row>
    <row r="946" spans="1:27" ht="15.75" customHeight="1">
      <c r="A946" s="199" t="str">
        <f>IF(B946&lt;&gt;"",IF(AND(B946&gt;=_TM1,B946&lt;=_TM2,OR(TH!L946="1111",TH!M946="1111")),TH!D946,""),"")</f>
        <v/>
      </c>
      <c r="B946" s="36" t="str">
        <f t="shared" si="40"/>
        <v/>
      </c>
      <c r="C946" s="190"/>
      <c r="D946" s="190"/>
      <c r="E946" s="37"/>
      <c r="F946" s="40"/>
      <c r="G946" s="40"/>
      <c r="H946" s="7"/>
      <c r="I946" s="301"/>
      <c r="J946" s="808"/>
      <c r="K946" s="606"/>
      <c r="L946" s="39"/>
      <c r="M946" s="607"/>
      <c r="N946" s="39" t="str">
        <f>IF(AND('331-CT'!$E$7=TH!H946,OR(L946="331",M946="331")),"331",IF(AND(OR(L946="131",M946="131"),H946='131-CT'!$E$7),"131",""))</f>
        <v/>
      </c>
      <c r="O946" s="39" t="str">
        <f>IF(AND($B946&gt;='111'!$N$11,$B946&lt;='111'!$O$11,OR($L946=$O$7,$M946=$O$7)),"x","")</f>
        <v/>
      </c>
      <c r="P946" s="39" t="str">
        <f>IF(AND($L946=$O$7,$B946&lt;'111'!$N$11),"x","")</f>
        <v/>
      </c>
      <c r="Q946" s="39" t="str">
        <f>IF(AND($M946=$O$7,$B946&lt;'111'!$N$11),"x","")</f>
        <v/>
      </c>
      <c r="R946" s="39" t="str">
        <f>IF(ISERROR(FIND('112'!$M$9,G946,1)),"",IF((AND(FIND('112'!$M$9,G946,1)&gt;=1,$B946&gt;='112'!$N$8,$B946&lt;='112'!$O$8,OR($L946='112'!$I$6,$M946='112'!$I$6))),"x",""))</f>
        <v/>
      </c>
      <c r="S946" s="39" t="str">
        <f>IF(ISERROR(FIND('112'!$M$9,G946,1)),"",IF((AND(LEFT(G946,2)=LEFT('112'!$M$9,2),B946&lt;'112'!$N$8,$L946='112'!$I$6)),"x",""))</f>
        <v/>
      </c>
      <c r="T946" s="39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39" t="str">
        <f>IF(OR(TH!L946=TH!$V$7,M946=TH!$V$7),"x","")</f>
        <v/>
      </c>
      <c r="W946" s="39" t="str">
        <f>IF(AND(B946&gt;='IN-NX'!$P$3,B946&lt;='IN-NX'!$Q$3,'IN-NX'!$D$7=D946,OR(LEFT(L946,2)="15",AND(LEFT(M946,2)&lt;&gt;"15",LEFT(M946,2)&lt;&gt;"33"))),"x","")</f>
        <v/>
      </c>
      <c r="X946" s="39" t="str">
        <f>IF(AND(OR(LEFT(TH!L946,2)="15",LEFT(TH!M946,2)="15"),'152-CT'!$J$8=TH!F946),"x","")</f>
        <v/>
      </c>
      <c r="Y946" s="39" t="str">
        <f>IF(AND(OR(LEFT(TH!L946,2)="15",LEFT(TH!M946,2)="15"),TK!$E$7=TH!F946),"x","")</f>
        <v/>
      </c>
      <c r="Z946" s="39" t="str">
        <f>IF(AND(B946&lt;=NKC!$N$8,B946&gt;=NKC!$M$8),"x","")</f>
        <v/>
      </c>
      <c r="AA946" s="894"/>
    </row>
    <row r="947" spans="1:27" ht="15.75" customHeight="1">
      <c r="A947" s="199" t="str">
        <f>IF(B947&lt;&gt;"",IF(AND(B947&gt;=_TM1,B947&lt;=_TM2,OR(TH!L947="1111",TH!M947="1111")),TH!D947,""),"")</f>
        <v/>
      </c>
      <c r="B947" s="36" t="str">
        <f t="shared" si="40"/>
        <v/>
      </c>
      <c r="C947" s="190"/>
      <c r="D947" s="190"/>
      <c r="E947" s="37"/>
      <c r="F947" s="191"/>
      <c r="G947" s="40"/>
      <c r="H947" s="7"/>
      <c r="I947" s="301"/>
      <c r="J947" s="808"/>
      <c r="K947" s="606"/>
      <c r="L947" s="39"/>
      <c r="M947" s="607"/>
      <c r="N947" s="39" t="str">
        <f>IF(AND('331-CT'!$E$7=TH!H947,OR(L947="331",M947="331")),"331",IF(AND(OR(L947="131",M947="131"),H947='131-CT'!$E$7),"131",""))</f>
        <v/>
      </c>
      <c r="O947" s="39" t="str">
        <f>IF(AND($B947&gt;='111'!$N$11,$B947&lt;='111'!$O$11,OR($L947=$O$7,$M947=$O$7)),"x","")</f>
        <v/>
      </c>
      <c r="P947" s="39" t="str">
        <f>IF(AND($L947=$O$7,$B947&lt;'111'!$N$11),"x","")</f>
        <v/>
      </c>
      <c r="Q947" s="39" t="str">
        <f>IF(AND($M947=$O$7,$B947&lt;'111'!$N$11),"x","")</f>
        <v/>
      </c>
      <c r="R947" s="39" t="str">
        <f>IF(ISERROR(FIND('112'!$M$9,G947,1)),"",IF((AND(FIND('112'!$M$9,G947,1)&gt;=1,$B947&gt;='112'!$N$8,$B947&lt;='112'!$O$8,OR($L947='112'!$I$6,$M947='112'!$I$6))),"x",""))</f>
        <v/>
      </c>
      <c r="S947" s="39" t="str">
        <f>IF(ISERROR(FIND('112'!$M$9,G947,1)),"",IF((AND(LEFT(G947,2)=LEFT('112'!$M$9,2),B947&lt;'112'!$N$8,$L947='112'!$I$6)),"x",""))</f>
        <v/>
      </c>
      <c r="T947" s="39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39" t="str">
        <f>IF(OR(TH!L947=TH!$V$7,M947=TH!$V$7),"x","")</f>
        <v/>
      </c>
      <c r="W947" s="39" t="str">
        <f>IF(AND(B947&gt;='IN-NX'!$P$3,B947&lt;='IN-NX'!$Q$3,'IN-NX'!$D$7=D947,OR(LEFT(L947,2)="15",AND(LEFT(M947,2)&lt;&gt;"15",LEFT(M947,2)&lt;&gt;"33"))),"x","")</f>
        <v/>
      </c>
      <c r="X947" s="39" t="str">
        <f>IF(AND(OR(LEFT(TH!L947,2)="15",LEFT(TH!M947,2)="15"),'152-CT'!$J$8=TH!F947),"x","")</f>
        <v/>
      </c>
      <c r="Y947" s="39" t="str">
        <f>IF(AND(OR(LEFT(TH!L947,2)="15",LEFT(TH!M947,2)="15"),TK!$E$7=TH!F947),"x","")</f>
        <v/>
      </c>
      <c r="Z947" s="39" t="str">
        <f>IF(AND(B947&lt;=NKC!$N$8,B947&gt;=NKC!$M$8),"x","")</f>
        <v/>
      </c>
      <c r="AA947" s="894"/>
    </row>
    <row r="948" spans="1:27" ht="15.75" customHeight="1">
      <c r="A948" s="199" t="str">
        <f>IF(B948&lt;&gt;"",IF(AND(B948&gt;=_TM1,B948&lt;=_TM2,OR(TH!L948="1111",TH!M948="1111")),TH!D948,""),"")</f>
        <v/>
      </c>
      <c r="B948" s="36" t="str">
        <f t="shared" si="40"/>
        <v/>
      </c>
      <c r="C948" s="190"/>
      <c r="D948" s="190"/>
      <c r="E948" s="37"/>
      <c r="F948" s="293"/>
      <c r="G948" s="40"/>
      <c r="H948" s="7"/>
      <c r="I948" s="301"/>
      <c r="J948" s="808"/>
      <c r="K948" s="606"/>
      <c r="L948" s="39"/>
      <c r="M948" s="607"/>
      <c r="N948" s="39" t="str">
        <f>IF(AND('331-CT'!$E$7=TH!H948,OR(L948="331",M948="331")),"331",IF(AND(OR(L948="131",M948="131"),H948='131-CT'!$E$7),"131",""))</f>
        <v/>
      </c>
      <c r="O948" s="39" t="str">
        <f>IF(AND($B948&gt;='111'!$N$11,$B948&lt;='111'!$O$11,OR($L948=$O$7,$M948=$O$7)),"x","")</f>
        <v/>
      </c>
      <c r="P948" s="39" t="str">
        <f>IF(AND($L948=$O$7,$B948&lt;'111'!$N$11),"x","")</f>
        <v/>
      </c>
      <c r="Q948" s="39" t="str">
        <f>IF(AND($M948=$O$7,$B948&lt;'111'!$N$11),"x","")</f>
        <v/>
      </c>
      <c r="R948" s="39" t="str">
        <f>IF(ISERROR(FIND('112'!$M$9,G948,1)),"",IF((AND(FIND('112'!$M$9,G948,1)&gt;=1,$B948&gt;='112'!$N$8,$B948&lt;='112'!$O$8,OR($L948='112'!$I$6,$M948='112'!$I$6))),"x",""))</f>
        <v/>
      </c>
      <c r="S948" s="39" t="str">
        <f>IF(ISERROR(FIND('112'!$M$9,G948,1)),"",IF((AND(LEFT(G948,2)=LEFT('112'!$M$9,2),B948&lt;'112'!$N$8,$L948='112'!$I$6)),"x",""))</f>
        <v/>
      </c>
      <c r="T948" s="39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39" t="str">
        <f>IF(OR(TH!L948=TH!$V$7,M948=TH!$V$7),"x","")</f>
        <v/>
      </c>
      <c r="W948" s="39" t="str">
        <f>IF(AND(B948&gt;='IN-NX'!$P$3,B948&lt;='IN-NX'!$Q$3,'IN-NX'!$D$7=D948,OR(LEFT(L948,2)="15",AND(LEFT(M948,2)&lt;&gt;"15",LEFT(M948,2)&lt;&gt;"33"))),"x","")</f>
        <v/>
      </c>
      <c r="X948" s="39" t="str">
        <f>IF(AND(OR(LEFT(TH!L948,2)="15",LEFT(TH!M948,2)="15"),'152-CT'!$J$8=TH!F948),"x","")</f>
        <v/>
      </c>
      <c r="Y948" s="39" t="str">
        <f>IF(AND(OR(LEFT(TH!L948,2)="15",LEFT(TH!M948,2)="15"),TK!$E$7=TH!F948),"x","")</f>
        <v/>
      </c>
      <c r="Z948" s="39" t="str">
        <f>IF(AND(B948&lt;=NKC!$N$8,B948&gt;=NKC!$M$8),"x","")</f>
        <v/>
      </c>
      <c r="AA948" s="894"/>
    </row>
    <row r="949" spans="1:27" ht="15.75" customHeight="1">
      <c r="A949" s="199" t="str">
        <f>IF(B949&lt;&gt;"",IF(AND(B949&gt;=_TM1,B949&lt;=_TM2,OR(TH!L949="1111",TH!M949="1111")),TH!D949,""),"")</f>
        <v/>
      </c>
      <c r="B949" s="36" t="str">
        <f t="shared" si="40"/>
        <v/>
      </c>
      <c r="C949" s="190"/>
      <c r="D949" s="190"/>
      <c r="E949" s="37"/>
      <c r="F949" s="293"/>
      <c r="G949" s="40"/>
      <c r="H949" s="7"/>
      <c r="I949" s="301"/>
      <c r="J949" s="808"/>
      <c r="K949" s="606"/>
      <c r="L949" s="39"/>
      <c r="M949" s="607"/>
      <c r="N949" s="39" t="str">
        <f>IF(AND('331-CT'!$E$7=TH!H949,OR(L949="331",M949="331")),"331",IF(AND(OR(L949="131",M949="131"),H949='131-CT'!$E$7),"131",""))</f>
        <v/>
      </c>
      <c r="O949" s="39" t="str">
        <f>IF(AND($B949&gt;='111'!$N$11,$B949&lt;='111'!$O$11,OR($L949=$O$7,$M949=$O$7)),"x","")</f>
        <v/>
      </c>
      <c r="P949" s="39" t="str">
        <f>IF(AND($L949=$O$7,$B949&lt;'111'!$N$11),"x","")</f>
        <v/>
      </c>
      <c r="Q949" s="39" t="str">
        <f>IF(AND($M949=$O$7,$B949&lt;'111'!$N$11),"x","")</f>
        <v/>
      </c>
      <c r="R949" s="39" t="str">
        <f>IF(ISERROR(FIND('112'!$M$9,G949,1)),"",IF((AND(FIND('112'!$M$9,G949,1)&gt;=1,$B949&gt;='112'!$N$8,$B949&lt;='112'!$O$8,OR($L949='112'!$I$6,$M949='112'!$I$6))),"x",""))</f>
        <v/>
      </c>
      <c r="S949" s="39" t="str">
        <f>IF(ISERROR(FIND('112'!$M$9,G949,1)),"",IF((AND(LEFT(G949,2)=LEFT('112'!$M$9,2),B949&lt;'112'!$N$8,$L949='112'!$I$6)),"x",""))</f>
        <v/>
      </c>
      <c r="T949" s="39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39" t="str">
        <f>IF(OR(TH!L949=TH!$V$7,M949=TH!$V$7),"x","")</f>
        <v/>
      </c>
      <c r="W949" s="39" t="str">
        <f>IF(AND(B949&gt;='IN-NX'!$P$3,B949&lt;='IN-NX'!$Q$3,'IN-NX'!$D$7=D949,OR(LEFT(L949,2)="15",AND(LEFT(M949,2)&lt;&gt;"15",LEFT(M949,2)&lt;&gt;"33"))),"x","")</f>
        <v/>
      </c>
      <c r="X949" s="39" t="str">
        <f>IF(AND(OR(LEFT(TH!L949,2)="15",LEFT(TH!M949,2)="15"),'152-CT'!$J$8=TH!F949),"x","")</f>
        <v/>
      </c>
      <c r="Y949" s="39" t="str">
        <f>IF(AND(OR(LEFT(TH!L949,2)="15",LEFT(TH!M949,2)="15"),TK!$E$7=TH!F949),"x","")</f>
        <v/>
      </c>
      <c r="Z949" s="39" t="str">
        <f>IF(AND(B949&lt;=NKC!$N$8,B949&gt;=NKC!$M$8),"x","")</f>
        <v/>
      </c>
      <c r="AA949" s="894"/>
    </row>
    <row r="950" spans="1:27" ht="15.75" customHeight="1">
      <c r="A950" s="199" t="str">
        <f>IF(B950&lt;&gt;"",IF(AND(B950&gt;=_TM1,B950&lt;=_TM2,OR(TH!L950="1111",TH!M950="1111")),TH!D950,""),"")</f>
        <v/>
      </c>
      <c r="B950" s="36" t="str">
        <f t="shared" si="40"/>
        <v/>
      </c>
      <c r="C950" s="190"/>
      <c r="D950" s="190"/>
      <c r="E950" s="37"/>
      <c r="F950" s="293"/>
      <c r="G950" s="40"/>
      <c r="H950" s="7"/>
      <c r="I950" s="301"/>
      <c r="J950" s="808"/>
      <c r="K950" s="606"/>
      <c r="L950" s="39"/>
      <c r="M950" s="607"/>
      <c r="N950" s="39" t="str">
        <f>IF(AND('331-CT'!$E$7=TH!H950,OR(L950="331",M950="331")),"331",IF(AND(OR(L950="131",M950="131"),H950='131-CT'!$E$7),"131",""))</f>
        <v/>
      </c>
      <c r="O950" s="39" t="str">
        <f>IF(AND($B950&gt;='111'!$N$11,$B950&lt;='111'!$O$11,OR($L950=$O$7,$M950=$O$7)),"x","")</f>
        <v/>
      </c>
      <c r="P950" s="39" t="str">
        <f>IF(AND($L950=$O$7,$B950&lt;'111'!$N$11),"x","")</f>
        <v/>
      </c>
      <c r="Q950" s="39" t="str">
        <f>IF(AND($M950=$O$7,$B950&lt;'111'!$N$11),"x","")</f>
        <v/>
      </c>
      <c r="R950" s="39" t="str">
        <f>IF(ISERROR(FIND('112'!$M$9,G950,1)),"",IF((AND(FIND('112'!$M$9,G950,1)&gt;=1,$B950&gt;='112'!$N$8,$B950&lt;='112'!$O$8,OR($L950='112'!$I$6,$M950='112'!$I$6))),"x",""))</f>
        <v/>
      </c>
      <c r="S950" s="39" t="str">
        <f>IF(ISERROR(FIND('112'!$M$9,G950,1)),"",IF((AND(LEFT(G950,2)=LEFT('112'!$M$9,2),B950&lt;'112'!$N$8,$L950='112'!$I$6)),"x",""))</f>
        <v/>
      </c>
      <c r="T950" s="39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39" t="str">
        <f>IF(OR(TH!L950=TH!$V$7,M950=TH!$V$7),"x","")</f>
        <v/>
      </c>
      <c r="W950" s="39" t="str">
        <f>IF(AND(B950&gt;='IN-NX'!$P$3,B950&lt;='IN-NX'!$Q$3,'IN-NX'!$D$7=D950,OR(LEFT(L950,2)="15",AND(LEFT(M950,2)&lt;&gt;"15",LEFT(M950,2)&lt;&gt;"33"))),"x","")</f>
        <v/>
      </c>
      <c r="X950" s="39" t="str">
        <f>IF(AND(OR(LEFT(TH!L950,2)="15",LEFT(TH!M950,2)="15"),'152-CT'!$J$8=TH!F950),"x","")</f>
        <v/>
      </c>
      <c r="Y950" s="39" t="str">
        <f>IF(AND(OR(LEFT(TH!L950,2)="15",LEFT(TH!M950,2)="15"),TK!$E$7=TH!F950),"x","")</f>
        <v/>
      </c>
      <c r="Z950" s="39" t="str">
        <f>IF(AND(B950&lt;=NKC!$N$8,B950&gt;=NKC!$M$8),"x","")</f>
        <v/>
      </c>
      <c r="AA950" s="894"/>
    </row>
    <row r="951" spans="1:27" ht="15.75" customHeight="1">
      <c r="A951" s="199" t="str">
        <f>IF(B951&lt;&gt;"",IF(AND(B951&gt;=_TM1,B951&lt;=_TM2,OR(TH!L951="1111",TH!M951="1111")),TH!D951,""),"")</f>
        <v/>
      </c>
      <c r="B951" s="36" t="str">
        <f t="shared" si="40"/>
        <v/>
      </c>
      <c r="C951" s="190"/>
      <c r="D951" s="190"/>
      <c r="E951" s="37"/>
      <c r="F951" s="293"/>
      <c r="G951" s="40"/>
      <c r="H951" s="7"/>
      <c r="I951" s="301"/>
      <c r="J951" s="808"/>
      <c r="K951" s="606"/>
      <c r="L951" s="39"/>
      <c r="M951" s="607"/>
      <c r="N951" s="39" t="str">
        <f>IF(AND('331-CT'!$E$7=TH!H951,OR(L951="331",M951="331")),"331",IF(AND(OR(L951="131",M951="131"),H951='131-CT'!$E$7),"131",""))</f>
        <v/>
      </c>
      <c r="O951" s="39" t="str">
        <f>IF(AND($B951&gt;='111'!$N$11,$B951&lt;='111'!$O$11,OR($L951=$O$7,$M951=$O$7)),"x","")</f>
        <v/>
      </c>
      <c r="P951" s="39" t="str">
        <f>IF(AND($L951=$O$7,$B951&lt;'111'!$N$11),"x","")</f>
        <v/>
      </c>
      <c r="Q951" s="39" t="str">
        <f>IF(AND($M951=$O$7,$B951&lt;'111'!$N$11),"x","")</f>
        <v/>
      </c>
      <c r="R951" s="39" t="str">
        <f>IF(ISERROR(FIND('112'!$M$9,G951,1)),"",IF((AND(FIND('112'!$M$9,G951,1)&gt;=1,$B951&gt;='112'!$N$8,$B951&lt;='112'!$O$8,OR($L951='112'!$I$6,$M951='112'!$I$6))),"x",""))</f>
        <v/>
      </c>
      <c r="S951" s="39" t="str">
        <f>IF(ISERROR(FIND('112'!$M$9,G951,1)),"",IF((AND(LEFT(G951,2)=LEFT('112'!$M$9,2),B951&lt;'112'!$N$8,$L951='112'!$I$6)),"x",""))</f>
        <v/>
      </c>
      <c r="T951" s="39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39" t="str">
        <f>IF(OR(TH!L951=TH!$V$7,M951=TH!$V$7),"x","")</f>
        <v/>
      </c>
      <c r="W951" s="39" t="str">
        <f>IF(AND(B951&gt;='IN-NX'!$P$3,B951&lt;='IN-NX'!$Q$3,'IN-NX'!$D$7=D951,OR(LEFT(L951,2)="15",AND(LEFT(M951,2)&lt;&gt;"15",LEFT(M951,2)&lt;&gt;"33"))),"x","")</f>
        <v/>
      </c>
      <c r="X951" s="39" t="str">
        <f>IF(AND(OR(LEFT(TH!L951,2)="15",LEFT(TH!M951,2)="15"),'152-CT'!$J$8=TH!F951),"x","")</f>
        <v/>
      </c>
      <c r="Y951" s="39" t="str">
        <f>IF(AND(OR(LEFT(TH!L951,2)="15",LEFT(TH!M951,2)="15"),TK!$E$7=TH!F951),"x","")</f>
        <v/>
      </c>
      <c r="Z951" s="39" t="str">
        <f>IF(AND(B951&lt;=NKC!$N$8,B951&gt;=NKC!$M$8),"x","")</f>
        <v/>
      </c>
      <c r="AA951" s="894"/>
    </row>
    <row r="952" spans="1:27" ht="15.75" customHeight="1">
      <c r="A952" s="199" t="str">
        <f>IF(B952&lt;&gt;"",IF(AND(B952&gt;=_TM1,B952&lt;=_TM2,OR(TH!L952="1111",TH!M952="1111")),TH!D952,""),"")</f>
        <v/>
      </c>
      <c r="B952" s="36" t="str">
        <f t="shared" si="40"/>
        <v/>
      </c>
      <c r="C952" s="190"/>
      <c r="D952" s="190"/>
      <c r="E952" s="37"/>
      <c r="F952" s="293"/>
      <c r="G952" s="40"/>
      <c r="H952" s="7"/>
      <c r="I952" s="301"/>
      <c r="J952" s="808"/>
      <c r="K952" s="606"/>
      <c r="L952" s="39"/>
      <c r="M952" s="607"/>
      <c r="N952" s="39" t="str">
        <f>IF(AND('331-CT'!$E$7=TH!H952,OR(L952="331",M952="331")),"331",IF(AND(OR(L952="131",M952="131"),H952='131-CT'!$E$7),"131",""))</f>
        <v/>
      </c>
      <c r="O952" s="39" t="str">
        <f>IF(AND($B952&gt;='111'!$N$11,$B952&lt;='111'!$O$11,OR($L952=$O$7,$M952=$O$7)),"x","")</f>
        <v/>
      </c>
      <c r="P952" s="39" t="str">
        <f>IF(AND($L952=$O$7,$B952&lt;'111'!$N$11),"x","")</f>
        <v/>
      </c>
      <c r="Q952" s="39" t="str">
        <f>IF(AND($M952=$O$7,$B952&lt;'111'!$N$11),"x","")</f>
        <v/>
      </c>
      <c r="R952" s="39" t="str">
        <f>IF(ISERROR(FIND('112'!$M$9,G952,1)),"",IF((AND(FIND('112'!$M$9,G952,1)&gt;=1,$B952&gt;='112'!$N$8,$B952&lt;='112'!$O$8,OR($L952='112'!$I$6,$M952='112'!$I$6))),"x",""))</f>
        <v/>
      </c>
      <c r="S952" s="39" t="str">
        <f>IF(ISERROR(FIND('112'!$M$9,G952,1)),"",IF((AND(LEFT(G952,2)=LEFT('112'!$M$9,2),B952&lt;'112'!$N$8,$L952='112'!$I$6)),"x",""))</f>
        <v/>
      </c>
      <c r="T952" s="39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39" t="str">
        <f>IF(OR(TH!L952=TH!$V$7,M952=TH!$V$7),"x","")</f>
        <v/>
      </c>
      <c r="W952" s="39" t="str">
        <f>IF(AND(B952&gt;='IN-NX'!$P$3,B952&lt;='IN-NX'!$Q$3,'IN-NX'!$D$7=D952,OR(LEFT(L952,2)="15",AND(LEFT(M952,2)&lt;&gt;"15",LEFT(M952,2)&lt;&gt;"33"))),"x","")</f>
        <v/>
      </c>
      <c r="X952" s="39" t="str">
        <f>IF(AND(OR(LEFT(TH!L952,2)="15",LEFT(TH!M952,2)="15"),'152-CT'!$J$8=TH!F952),"x","")</f>
        <v/>
      </c>
      <c r="Y952" s="39" t="str">
        <f>IF(AND(OR(LEFT(TH!L952,2)="15",LEFT(TH!M952,2)="15"),TK!$E$7=TH!F952),"x","")</f>
        <v/>
      </c>
      <c r="Z952" s="39" t="str">
        <f>IF(AND(B952&lt;=NKC!$N$8,B952&gt;=NKC!$M$8),"x","")</f>
        <v/>
      </c>
      <c r="AA952" s="894"/>
    </row>
    <row r="953" spans="1:27" ht="15.75" customHeight="1">
      <c r="A953" s="199" t="str">
        <f>IF(B953&lt;&gt;"",IF(AND(B953&gt;=_TM1,B953&lt;=_TM2,OR(TH!L953="1111",TH!M953="1111")),TH!D953,""),"")</f>
        <v/>
      </c>
      <c r="B953" s="36" t="str">
        <f t="shared" si="40"/>
        <v/>
      </c>
      <c r="C953" s="190"/>
      <c r="D953" s="190"/>
      <c r="E953" s="37"/>
      <c r="F953" s="293"/>
      <c r="G953" s="40"/>
      <c r="H953" s="7"/>
      <c r="I953" s="301"/>
      <c r="J953" s="808"/>
      <c r="K953" s="606"/>
      <c r="L953" s="39"/>
      <c r="M953" s="607"/>
      <c r="N953" s="39" t="str">
        <f>IF(AND('331-CT'!$E$7=TH!H953,OR(L953="331",M953="331")),"331",IF(AND(OR(L953="131",M953="131"),H953='131-CT'!$E$7),"131",""))</f>
        <v/>
      </c>
      <c r="O953" s="39" t="str">
        <f>IF(AND($B953&gt;='111'!$N$11,$B953&lt;='111'!$O$11,OR($L953=$O$7,$M953=$O$7)),"x","")</f>
        <v/>
      </c>
      <c r="P953" s="39" t="str">
        <f>IF(AND($L953=$O$7,$B953&lt;'111'!$N$11),"x","")</f>
        <v/>
      </c>
      <c r="Q953" s="39" t="str">
        <f>IF(AND($M953=$O$7,$B953&lt;'111'!$N$11),"x","")</f>
        <v/>
      </c>
      <c r="R953" s="39" t="str">
        <f>IF(ISERROR(FIND('112'!$M$9,G953,1)),"",IF((AND(FIND('112'!$M$9,G953,1)&gt;=1,$B953&gt;='112'!$N$8,$B953&lt;='112'!$O$8,OR($L953='112'!$I$6,$M953='112'!$I$6))),"x",""))</f>
        <v/>
      </c>
      <c r="S953" s="39" t="str">
        <f>IF(ISERROR(FIND('112'!$M$9,G953,1)),"",IF((AND(LEFT(G953,2)=LEFT('112'!$M$9,2),B953&lt;'112'!$N$8,$L953='112'!$I$6)),"x",""))</f>
        <v/>
      </c>
      <c r="T953" s="39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39" t="str">
        <f>IF(OR(TH!L953=TH!$V$7,M953=TH!$V$7),"x","")</f>
        <v/>
      </c>
      <c r="W953" s="39" t="str">
        <f>IF(AND(B953&gt;='IN-NX'!$P$3,B953&lt;='IN-NX'!$Q$3,'IN-NX'!$D$7=D953,OR(LEFT(L953,2)="15",AND(LEFT(M953,2)&lt;&gt;"15",LEFT(M953,2)&lt;&gt;"33"))),"x","")</f>
        <v/>
      </c>
      <c r="X953" s="39" t="str">
        <f>IF(AND(OR(LEFT(TH!L953,2)="15",LEFT(TH!M953,2)="15"),'152-CT'!$J$8=TH!F953),"x","")</f>
        <v/>
      </c>
      <c r="Y953" s="39" t="str">
        <f>IF(AND(OR(LEFT(TH!L953,2)="15",LEFT(TH!M953,2)="15"),TK!$E$7=TH!F953),"x","")</f>
        <v/>
      </c>
      <c r="Z953" s="39" t="str">
        <f>IF(AND(B953&lt;=NKC!$N$8,B953&gt;=NKC!$M$8),"x","")</f>
        <v/>
      </c>
      <c r="AA953" s="894"/>
    </row>
    <row r="954" spans="1:27" ht="15.75" customHeight="1">
      <c r="A954" s="199" t="str">
        <f>IF(B954&lt;&gt;"",IF(AND(B954&gt;=_TM1,B954&lt;=_TM2,OR(TH!L954="1111",TH!M954="1111")),TH!D954,""),"")</f>
        <v/>
      </c>
      <c r="B954" s="36" t="str">
        <f t="shared" si="40"/>
        <v/>
      </c>
      <c r="C954" s="190"/>
      <c r="D954" s="190"/>
      <c r="E954" s="37"/>
      <c r="F954" s="188"/>
      <c r="G954" s="40"/>
      <c r="H954" s="7"/>
      <c r="I954" s="301"/>
      <c r="J954" s="753"/>
      <c r="K954" s="606"/>
      <c r="L954" s="39"/>
      <c r="M954" s="607"/>
      <c r="N954" s="39" t="str">
        <f>IF(AND('331-CT'!$E$7=TH!H954,OR(L954="331",M954="331")),"331",IF(AND(OR(L954="131",M954="131"),H954='131-CT'!$E$7),"131",""))</f>
        <v/>
      </c>
      <c r="O954" s="39" t="str">
        <f>IF(AND($B954&gt;='111'!$N$11,$B954&lt;='111'!$O$11,OR($L954=$O$7,$M954=$O$7)),"x","")</f>
        <v/>
      </c>
      <c r="P954" s="39" t="str">
        <f>IF(AND($L954=$O$7,$B954&lt;'111'!$N$11),"x","")</f>
        <v/>
      </c>
      <c r="Q954" s="39" t="str">
        <f>IF(AND($M954=$O$7,$B954&lt;'111'!$N$11),"x","")</f>
        <v/>
      </c>
      <c r="R954" s="39" t="str">
        <f>IF(ISERROR(FIND('112'!$M$9,G954,1)),"",IF((AND(FIND('112'!$M$9,G954,1)&gt;=1,$B954&gt;='112'!$N$8,$B954&lt;='112'!$O$8,OR($L954='112'!$I$6,$M954='112'!$I$6))),"x",""))</f>
        <v/>
      </c>
      <c r="S954" s="39" t="str">
        <f>IF(ISERROR(FIND('112'!$M$9,G954,1)),"",IF((AND(LEFT(G954,2)=LEFT('112'!$M$9,2),B954&lt;'112'!$N$8,$L954='112'!$I$6)),"x",""))</f>
        <v/>
      </c>
      <c r="T954" s="39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39" t="str">
        <f>IF(OR(TH!L954=TH!$V$7,M954=TH!$V$7),"x","")</f>
        <v/>
      </c>
      <c r="W954" s="39" t="str">
        <f>IF(AND(B954&gt;='IN-NX'!$P$3,B954&lt;='IN-NX'!$Q$3,'IN-NX'!$D$7=D954,OR(LEFT(L954,2)="15",AND(LEFT(M954,2)&lt;&gt;"15",LEFT(M954,2)&lt;&gt;"33"))),"x","")</f>
        <v/>
      </c>
      <c r="X954" s="39" t="str">
        <f>IF(AND(OR(LEFT(TH!L954,2)="15",LEFT(TH!M954,2)="15"),'152-CT'!$J$8=TH!F954),"x","")</f>
        <v/>
      </c>
      <c r="Y954" s="39" t="str">
        <f>IF(AND(OR(LEFT(TH!L954,2)="15",LEFT(TH!M954,2)="15"),TK!$E$7=TH!F954),"x","")</f>
        <v/>
      </c>
      <c r="Z954" s="39" t="str">
        <f>IF(AND(B954&lt;=NKC!$N$8,B954&gt;=NKC!$M$8),"x","")</f>
        <v/>
      </c>
      <c r="AA954" s="894"/>
    </row>
    <row r="955" spans="1:27" ht="15.75" customHeight="1">
      <c r="A955" s="199" t="str">
        <f>IF(B955&lt;&gt;"",IF(AND(B955&gt;=_TM1,B955&lt;=_TM2,OR(TH!L955="1111",TH!M955="1111")),TH!D955,""),"")</f>
        <v/>
      </c>
      <c r="B955" s="36" t="str">
        <f t="shared" si="40"/>
        <v/>
      </c>
      <c r="C955" s="190"/>
      <c r="D955" s="190"/>
      <c r="E955" s="37"/>
      <c r="F955" s="40"/>
      <c r="G955" s="40"/>
      <c r="H955" s="7"/>
      <c r="I955" s="301"/>
      <c r="J955" s="808"/>
      <c r="K955" s="606"/>
      <c r="L955" s="39"/>
      <c r="M955" s="607"/>
      <c r="N955" s="39" t="str">
        <f>IF(AND('331-CT'!$E$7=TH!H955,OR(L955="331",M955="331")),"331",IF(AND(OR(L955="131",M955="131"),H955='131-CT'!$E$7),"131",""))</f>
        <v/>
      </c>
      <c r="O955" s="39" t="str">
        <f>IF(AND($B955&gt;='111'!$N$11,$B955&lt;='111'!$O$11,OR($L955=$O$7,$M955=$O$7)),"x","")</f>
        <v/>
      </c>
      <c r="P955" s="39" t="str">
        <f>IF(AND($L955=$O$7,$B955&lt;'111'!$N$11),"x","")</f>
        <v/>
      </c>
      <c r="Q955" s="39" t="str">
        <f>IF(AND($M955=$O$7,$B955&lt;'111'!$N$11),"x","")</f>
        <v/>
      </c>
      <c r="R955" s="39" t="str">
        <f>IF(ISERROR(FIND('112'!$M$9,G955,1)),"",IF((AND(FIND('112'!$M$9,G955,1)&gt;=1,$B955&gt;='112'!$N$8,$B955&lt;='112'!$O$8,OR($L955='112'!$I$6,$M955='112'!$I$6))),"x",""))</f>
        <v/>
      </c>
      <c r="S955" s="39" t="str">
        <f>IF(ISERROR(FIND('112'!$M$9,G955,1)),"",IF((AND(LEFT(G955,2)=LEFT('112'!$M$9,2),B955&lt;'112'!$N$8,$L955='112'!$I$6)),"x",""))</f>
        <v/>
      </c>
      <c r="T955" s="39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39" t="str">
        <f>IF(OR(TH!L955=TH!$V$7,M955=TH!$V$7),"x","")</f>
        <v/>
      </c>
      <c r="W955" s="39" t="str">
        <f>IF(AND(B955&gt;='IN-NX'!$P$3,B955&lt;='IN-NX'!$Q$3,'IN-NX'!$D$7=D955,OR(LEFT(L955,2)="15",AND(LEFT(M955,2)&lt;&gt;"15",LEFT(M955,2)&lt;&gt;"33"))),"x","")</f>
        <v/>
      </c>
      <c r="X955" s="39" t="str">
        <f>IF(AND(OR(LEFT(TH!L955,2)="15",LEFT(TH!M955,2)="15"),'152-CT'!$J$8=TH!F955),"x","")</f>
        <v/>
      </c>
      <c r="Y955" s="39" t="str">
        <f>IF(AND(OR(LEFT(TH!L955,2)="15",LEFT(TH!M955,2)="15"),TK!$E$7=TH!F955),"x","")</f>
        <v/>
      </c>
      <c r="Z955" s="39" t="str">
        <f>IF(AND(B955&lt;=NKC!$N$8,B955&gt;=NKC!$M$8),"x","")</f>
        <v/>
      </c>
      <c r="AA955" s="894"/>
    </row>
    <row r="956" spans="1:27" ht="15.75" customHeight="1">
      <c r="A956" s="199" t="str">
        <f>IF(B956&lt;&gt;"",IF(AND(B956&gt;=_TM1,B956&lt;=_TM2,OR(TH!L956="1111",TH!M956="1111")),TH!D956,""),"")</f>
        <v/>
      </c>
      <c r="B956" s="36" t="str">
        <f t="shared" si="40"/>
        <v/>
      </c>
      <c r="C956" s="190"/>
      <c r="D956" s="190"/>
      <c r="E956" s="37"/>
      <c r="F956" s="188"/>
      <c r="G956" s="40"/>
      <c r="H956" s="7"/>
      <c r="I956" s="301"/>
      <c r="J956" s="808"/>
      <c r="K956" s="606"/>
      <c r="L956" s="39"/>
      <c r="M956" s="607"/>
      <c r="N956" s="39" t="str">
        <f>IF(AND('331-CT'!$E$7=TH!H956,OR(L956="331",M956="331")),"331",IF(AND(OR(L956="131",M956="131"),H956='131-CT'!$E$7),"131",""))</f>
        <v/>
      </c>
      <c r="O956" s="39" t="str">
        <f>IF(AND($B956&gt;='111'!$N$11,$B956&lt;='111'!$O$11,OR($L956=$O$7,$M956=$O$7)),"x","")</f>
        <v/>
      </c>
      <c r="P956" s="39" t="str">
        <f>IF(AND($L956=$O$7,$B956&lt;'111'!$N$11),"x","")</f>
        <v/>
      </c>
      <c r="Q956" s="39" t="str">
        <f>IF(AND($M956=$O$7,$B956&lt;'111'!$N$11),"x","")</f>
        <v/>
      </c>
      <c r="R956" s="39" t="str">
        <f>IF(ISERROR(FIND('112'!$M$9,G956,1)),"",IF((AND(FIND('112'!$M$9,G956,1)&gt;=1,$B956&gt;='112'!$N$8,$B956&lt;='112'!$O$8,OR($L956='112'!$I$6,$M956='112'!$I$6))),"x",""))</f>
        <v/>
      </c>
      <c r="S956" s="39" t="str">
        <f>IF(ISERROR(FIND('112'!$M$9,G956,1)),"",IF((AND(LEFT(G956,2)=LEFT('112'!$M$9,2),B956&lt;'112'!$N$8,$L956='112'!$I$6)),"x",""))</f>
        <v/>
      </c>
      <c r="T956" s="39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39" t="str">
        <f>IF(OR(TH!L956=TH!$V$7,M956=TH!$V$7),"x","")</f>
        <v/>
      </c>
      <c r="W956" s="39" t="str">
        <f>IF(AND(B956&gt;='IN-NX'!$P$3,B956&lt;='IN-NX'!$Q$3,'IN-NX'!$D$7=D956,OR(LEFT(L956,2)="15",AND(LEFT(M956,2)&lt;&gt;"15",LEFT(M956,2)&lt;&gt;"33"))),"x","")</f>
        <v/>
      </c>
      <c r="X956" s="39" t="str">
        <f>IF(AND(OR(LEFT(TH!L956,2)="15",LEFT(TH!M956,2)="15"),'152-CT'!$J$8=TH!F956),"x","")</f>
        <v/>
      </c>
      <c r="Y956" s="39" t="str">
        <f>IF(AND(OR(LEFT(TH!L956,2)="15",LEFT(TH!M956,2)="15"),TK!$E$7=TH!F956),"x","")</f>
        <v/>
      </c>
      <c r="Z956" s="39" t="str">
        <f>IF(AND(B956&lt;=NKC!$N$8,B956&gt;=NKC!$M$8),"x","")</f>
        <v/>
      </c>
      <c r="AA956" s="894"/>
    </row>
    <row r="957" spans="1:27" ht="15.75" customHeight="1">
      <c r="A957" s="199" t="str">
        <f>IF(B957&lt;&gt;"",IF(AND(B957&gt;=_TM1,B957&lt;=_TM2,OR(TH!L957="1111",TH!M957="1111")),TH!D957,""),"")</f>
        <v/>
      </c>
      <c r="B957" s="36" t="str">
        <f t="shared" si="40"/>
        <v/>
      </c>
      <c r="C957" s="190"/>
      <c r="D957" s="190"/>
      <c r="E957" s="37"/>
      <c r="F957" s="188"/>
      <c r="G957" s="40"/>
      <c r="H957" s="7"/>
      <c r="I957" s="301"/>
      <c r="J957" s="808"/>
      <c r="K957" s="606"/>
      <c r="L957" s="39"/>
      <c r="M957" s="607"/>
      <c r="N957" s="39" t="str">
        <f>IF(AND('331-CT'!$E$7=TH!H957,OR(L957="331",M957="331")),"331",IF(AND(OR(L957="131",M957="131"),H957='131-CT'!$E$7),"131",""))</f>
        <v/>
      </c>
      <c r="O957" s="39" t="str">
        <f>IF(AND($B957&gt;='111'!$N$11,$B957&lt;='111'!$O$11,OR($L957=$O$7,$M957=$O$7)),"x","")</f>
        <v/>
      </c>
      <c r="P957" s="39" t="str">
        <f>IF(AND($L957=$O$7,$B957&lt;'111'!$N$11),"x","")</f>
        <v/>
      </c>
      <c r="Q957" s="39" t="str">
        <f>IF(AND($M957=$O$7,$B957&lt;'111'!$N$11),"x","")</f>
        <v/>
      </c>
      <c r="R957" s="39" t="str">
        <f>IF(ISERROR(FIND('112'!$M$9,G957,1)),"",IF((AND(FIND('112'!$M$9,G957,1)&gt;=1,$B957&gt;='112'!$N$8,$B957&lt;='112'!$O$8,OR($L957='112'!$I$6,$M957='112'!$I$6))),"x",""))</f>
        <v/>
      </c>
      <c r="S957" s="39" t="str">
        <f>IF(ISERROR(FIND('112'!$M$9,G957,1)),"",IF((AND(LEFT(G957,2)=LEFT('112'!$M$9,2),B957&lt;'112'!$N$8,$L957='112'!$I$6)),"x",""))</f>
        <v/>
      </c>
      <c r="T957" s="39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39" t="str">
        <f>IF(OR(TH!L957=TH!$V$7,M957=TH!$V$7),"x","")</f>
        <v/>
      </c>
      <c r="W957" s="39" t="str">
        <f>IF(AND(B957&gt;='IN-NX'!$P$3,B957&lt;='IN-NX'!$Q$3,'IN-NX'!$D$7=D957,OR(LEFT(L957,2)="15",AND(LEFT(M957,2)&lt;&gt;"15",LEFT(M957,2)&lt;&gt;"33"))),"x","")</f>
        <v/>
      </c>
      <c r="X957" s="39" t="str">
        <f>IF(AND(OR(LEFT(TH!L957,2)="15",LEFT(TH!M957,2)="15"),'152-CT'!$J$8=TH!F957),"x","")</f>
        <v/>
      </c>
      <c r="Y957" s="39" t="str">
        <f>IF(AND(OR(LEFT(TH!L957,2)="15",LEFT(TH!M957,2)="15"),TK!$E$7=TH!F957),"x","")</f>
        <v/>
      </c>
      <c r="Z957" s="39" t="str">
        <f>IF(AND(B957&lt;=NKC!$N$8,B957&gt;=NKC!$M$8),"x","")</f>
        <v/>
      </c>
      <c r="AA957" s="894"/>
    </row>
    <row r="958" spans="1:27" ht="15.75" customHeight="1">
      <c r="A958" s="199" t="str">
        <f>IF(B958&lt;&gt;"",IF(AND(B958&gt;=_TM1,B958&lt;=_TM2,OR(TH!L958="1111",TH!M958="1111")),TH!D958,""),"")</f>
        <v/>
      </c>
      <c r="B958" s="36" t="str">
        <f t="shared" si="40"/>
        <v/>
      </c>
      <c r="C958" s="190"/>
      <c r="D958" s="190"/>
      <c r="E958" s="37"/>
      <c r="F958" s="40"/>
      <c r="G958" s="40"/>
      <c r="H958" s="7"/>
      <c r="I958" s="301"/>
      <c r="J958" s="808"/>
      <c r="K958" s="606"/>
      <c r="L958" s="39"/>
      <c r="M958" s="607"/>
      <c r="N958" s="39" t="str">
        <f>IF(AND('331-CT'!$E$7=TH!H958,OR(L958="331",M958="331")),"331",IF(AND(OR(L958="131",M958="131"),H958='131-CT'!$E$7),"131",""))</f>
        <v/>
      </c>
      <c r="O958" s="39" t="str">
        <f>IF(AND($B958&gt;='111'!$N$11,$B958&lt;='111'!$O$11,OR($L958=$O$7,$M958=$O$7)),"x","")</f>
        <v/>
      </c>
      <c r="P958" s="39" t="str">
        <f>IF(AND($L958=$O$7,$B958&lt;'111'!$N$11),"x","")</f>
        <v/>
      </c>
      <c r="Q958" s="39" t="str">
        <f>IF(AND($M958=$O$7,$B958&lt;'111'!$N$11),"x","")</f>
        <v/>
      </c>
      <c r="R958" s="39" t="str">
        <f>IF(ISERROR(FIND('112'!$M$9,G958,1)),"",IF((AND(FIND('112'!$M$9,G958,1)&gt;=1,$B958&gt;='112'!$N$8,$B958&lt;='112'!$O$8,OR($L958='112'!$I$6,$M958='112'!$I$6))),"x",""))</f>
        <v/>
      </c>
      <c r="S958" s="39" t="str">
        <f>IF(ISERROR(FIND('112'!$M$9,G958,1)),"",IF((AND(LEFT(G958,2)=LEFT('112'!$M$9,2),B958&lt;'112'!$N$8,$L958='112'!$I$6)),"x",""))</f>
        <v/>
      </c>
      <c r="T958" s="39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39" t="str">
        <f>IF(OR(TH!L958=TH!$V$7,M958=TH!$V$7),"x","")</f>
        <v/>
      </c>
      <c r="W958" s="39" t="str">
        <f>IF(AND(B958&gt;='IN-NX'!$P$3,B958&lt;='IN-NX'!$Q$3,'IN-NX'!$D$7=D958,OR(LEFT(L958,2)="15",AND(LEFT(M958,2)&lt;&gt;"15",LEFT(M958,2)&lt;&gt;"33"))),"x","")</f>
        <v/>
      </c>
      <c r="X958" s="39" t="str">
        <f>IF(AND(OR(LEFT(TH!L958,2)="15",LEFT(TH!M958,2)="15"),'152-CT'!$J$8=TH!F958),"x","")</f>
        <v/>
      </c>
      <c r="Y958" s="39" t="str">
        <f>IF(AND(OR(LEFT(TH!L958,2)="15",LEFT(TH!M958,2)="15"),TK!$E$7=TH!F958),"x","")</f>
        <v/>
      </c>
      <c r="Z958" s="39" t="str">
        <f>IF(AND(B958&lt;=NKC!$N$8,B958&gt;=NKC!$M$8),"x","")</f>
        <v/>
      </c>
      <c r="AA958" s="894"/>
    </row>
    <row r="959" spans="1:27" ht="15.75" customHeight="1">
      <c r="A959" s="199" t="str">
        <f>IF(B959&lt;&gt;"",IF(AND(B959&gt;=_TM1,B959&lt;=_TM2,OR(TH!L959="1111",TH!M959="1111")),TH!D959,""),"")</f>
        <v/>
      </c>
      <c r="B959" s="36" t="str">
        <f t="shared" si="40"/>
        <v/>
      </c>
      <c r="C959" s="190"/>
      <c r="D959" s="190"/>
      <c r="E959" s="37"/>
      <c r="F959" s="293"/>
      <c r="G959" s="40"/>
      <c r="H959" s="7"/>
      <c r="I959" s="301"/>
      <c r="J959" s="753"/>
      <c r="K959" s="606"/>
      <c r="L959" s="39"/>
      <c r="M959" s="607"/>
      <c r="N959" s="39" t="str">
        <f>IF(AND('331-CT'!$E$7=TH!H959,OR(L959="331",M959="331")),"331",IF(AND(OR(L959="131",M959="131"),H959='131-CT'!$E$7),"131",""))</f>
        <v/>
      </c>
      <c r="O959" s="39" t="str">
        <f>IF(AND($B959&gt;='111'!$N$11,$B959&lt;='111'!$O$11,OR($L959=$O$7,$M959=$O$7)),"x","")</f>
        <v/>
      </c>
      <c r="P959" s="39" t="str">
        <f>IF(AND($L959=$O$7,$B959&lt;'111'!$N$11),"x","")</f>
        <v/>
      </c>
      <c r="Q959" s="39" t="str">
        <f>IF(AND($M959=$O$7,$B959&lt;'111'!$N$11),"x","")</f>
        <v/>
      </c>
      <c r="R959" s="39" t="str">
        <f>IF(ISERROR(FIND('112'!$M$9,G959,1)),"",IF((AND(FIND('112'!$M$9,G959,1)&gt;=1,$B959&gt;='112'!$N$8,$B959&lt;='112'!$O$8,OR($L959='112'!$I$6,$M959='112'!$I$6))),"x",""))</f>
        <v/>
      </c>
      <c r="S959" s="39" t="str">
        <f>IF(ISERROR(FIND('112'!$M$9,G959,1)),"",IF((AND(LEFT(G959,2)=LEFT('112'!$M$9,2),B959&lt;'112'!$N$8,$L959='112'!$I$6)),"x",""))</f>
        <v/>
      </c>
      <c r="T959" s="39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39" t="str">
        <f>IF(OR(TH!L959=TH!$V$7,M959=TH!$V$7),"x","")</f>
        <v/>
      </c>
      <c r="W959" s="39" t="str">
        <f>IF(AND(B959&gt;='IN-NX'!$P$3,B959&lt;='IN-NX'!$Q$3,'IN-NX'!$D$7=D959,OR(LEFT(L959,2)="15",AND(LEFT(M959,2)&lt;&gt;"15",LEFT(M959,2)&lt;&gt;"33"))),"x","")</f>
        <v/>
      </c>
      <c r="X959" s="39" t="str">
        <f>IF(AND(OR(LEFT(TH!L959,2)="15",LEFT(TH!M959,2)="15"),'152-CT'!$J$8=TH!F959),"x","")</f>
        <v/>
      </c>
      <c r="Y959" s="39" t="str">
        <f>IF(AND(OR(LEFT(TH!L959,2)="15",LEFT(TH!M959,2)="15"),TK!$E$7=TH!F959),"x","")</f>
        <v/>
      </c>
      <c r="Z959" s="39" t="str">
        <f>IF(AND(B959&lt;=NKC!$N$8,B959&gt;=NKC!$M$8),"x","")</f>
        <v/>
      </c>
      <c r="AA959" s="894"/>
    </row>
    <row r="960" spans="1:27" ht="15.75" customHeight="1">
      <c r="A960" s="199" t="str">
        <f>IF(B960&lt;&gt;"",IF(AND(B960&gt;=_TM1,B960&lt;=_TM2,OR(TH!L960="1111",TH!M960="1111")),TH!D960,""),"")</f>
        <v/>
      </c>
      <c r="B960" s="36" t="str">
        <f t="shared" si="40"/>
        <v/>
      </c>
      <c r="C960" s="190"/>
      <c r="D960" s="190"/>
      <c r="E960" s="37"/>
      <c r="F960" s="188"/>
      <c r="G960" s="40"/>
      <c r="H960" s="7"/>
      <c r="I960" s="301"/>
      <c r="J960" s="808"/>
      <c r="K960" s="606"/>
      <c r="L960" s="39"/>
      <c r="M960" s="607"/>
      <c r="N960" s="39" t="str">
        <f>IF(AND('331-CT'!$E$7=TH!H960,OR(L960="331",M960="331")),"331",IF(AND(OR(L960="131",M960="131"),H960='131-CT'!$E$7),"131",""))</f>
        <v/>
      </c>
      <c r="O960" s="39" t="str">
        <f>IF(AND($B960&gt;='111'!$N$11,$B960&lt;='111'!$O$11,OR($L960=$O$7,$M960=$O$7)),"x","")</f>
        <v/>
      </c>
      <c r="P960" s="39" t="str">
        <f>IF(AND($L960=$O$7,$B960&lt;'111'!$N$11),"x","")</f>
        <v/>
      </c>
      <c r="Q960" s="39" t="str">
        <f>IF(AND($M960=$O$7,$B960&lt;'111'!$N$11),"x","")</f>
        <v/>
      </c>
      <c r="R960" s="39" t="str">
        <f>IF(ISERROR(FIND('112'!$M$9,G960,1)),"",IF((AND(FIND('112'!$M$9,G960,1)&gt;=1,$B960&gt;='112'!$N$8,$B960&lt;='112'!$O$8,OR($L960='112'!$I$6,$M960='112'!$I$6))),"x",""))</f>
        <v/>
      </c>
      <c r="S960" s="39" t="str">
        <f>IF(ISERROR(FIND('112'!$M$9,G960,1)),"",IF((AND(LEFT(G960,2)=LEFT('112'!$M$9,2),B960&lt;'112'!$N$8,$L960='112'!$I$6)),"x",""))</f>
        <v/>
      </c>
      <c r="T960" s="39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39" t="str">
        <f>IF(OR(TH!L960=TH!$V$7,M960=TH!$V$7),"x","")</f>
        <v/>
      </c>
      <c r="W960" s="39" t="str">
        <f>IF(AND(B960&gt;='IN-NX'!$P$3,B960&lt;='IN-NX'!$Q$3,'IN-NX'!$D$7=D960,OR(LEFT(L960,2)="15",AND(LEFT(M960,2)&lt;&gt;"15",LEFT(M960,2)&lt;&gt;"33"))),"x","")</f>
        <v/>
      </c>
      <c r="X960" s="39" t="str">
        <f>IF(AND(OR(LEFT(TH!L960,2)="15",LEFT(TH!M960,2)="15"),'152-CT'!$J$8=TH!F960),"x","")</f>
        <v/>
      </c>
      <c r="Y960" s="39" t="str">
        <f>IF(AND(OR(LEFT(TH!L960,2)="15",LEFT(TH!M960,2)="15"),TK!$E$7=TH!F960),"x","")</f>
        <v/>
      </c>
      <c r="Z960" s="39" t="str">
        <f>IF(AND(B960&lt;=NKC!$N$8,B960&gt;=NKC!$M$8),"x","")</f>
        <v/>
      </c>
      <c r="AA960" s="894"/>
    </row>
    <row r="961" spans="1:27" ht="15.75" customHeight="1">
      <c r="A961" s="199" t="str">
        <f>IF(B961&lt;&gt;"",IF(AND(B961&gt;=_TM1,B961&lt;=_TM2,OR(TH!L961="1111",TH!M961="1111")),TH!D961,""),"")</f>
        <v/>
      </c>
      <c r="B961" s="36" t="str">
        <f t="shared" si="40"/>
        <v/>
      </c>
      <c r="C961" s="190"/>
      <c r="D961" s="190"/>
      <c r="E961" s="37"/>
      <c r="F961" s="188"/>
      <c r="G961" s="40"/>
      <c r="H961" s="7"/>
      <c r="I961" s="301"/>
      <c r="J961" s="808"/>
      <c r="K961" s="606"/>
      <c r="L961" s="39"/>
      <c r="M961" s="607"/>
      <c r="N961" s="39" t="str">
        <f>IF(AND('331-CT'!$E$7=TH!H961,OR(L961="331",M961="331")),"331",IF(AND(OR(L961="131",M961="131"),H961='131-CT'!$E$7),"131",""))</f>
        <v/>
      </c>
      <c r="O961" s="39" t="str">
        <f>IF(AND($B961&gt;='111'!$N$11,$B961&lt;='111'!$O$11,OR($L961=$O$7,$M961=$O$7)),"x","")</f>
        <v/>
      </c>
      <c r="P961" s="39" t="str">
        <f>IF(AND($L961=$O$7,$B961&lt;'111'!$N$11),"x","")</f>
        <v/>
      </c>
      <c r="Q961" s="39" t="str">
        <f>IF(AND($M961=$O$7,$B961&lt;'111'!$N$11),"x","")</f>
        <v/>
      </c>
      <c r="R961" s="39" t="str">
        <f>IF(ISERROR(FIND('112'!$M$9,G961,1)),"",IF((AND(FIND('112'!$M$9,G961,1)&gt;=1,$B961&gt;='112'!$N$8,$B961&lt;='112'!$O$8,OR($L961='112'!$I$6,$M961='112'!$I$6))),"x",""))</f>
        <v/>
      </c>
      <c r="S961" s="39" t="str">
        <f>IF(ISERROR(FIND('112'!$M$9,G961,1)),"",IF((AND(LEFT(G961,2)=LEFT('112'!$M$9,2),B961&lt;'112'!$N$8,$L961='112'!$I$6)),"x",""))</f>
        <v/>
      </c>
      <c r="T961" s="39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39" t="str">
        <f>IF(OR(TH!L961=TH!$V$7,M961=TH!$V$7),"x","")</f>
        <v/>
      </c>
      <c r="W961" s="39" t="str">
        <f>IF(AND(B961&gt;='IN-NX'!$P$3,B961&lt;='IN-NX'!$Q$3,'IN-NX'!$D$7=D961,OR(LEFT(L961,2)="15",AND(LEFT(M961,2)&lt;&gt;"15",LEFT(M961,2)&lt;&gt;"33"))),"x","")</f>
        <v/>
      </c>
      <c r="X961" s="39" t="str">
        <f>IF(AND(OR(LEFT(TH!L961,2)="15",LEFT(TH!M961,2)="15"),'152-CT'!$J$8=TH!F961),"x","")</f>
        <v/>
      </c>
      <c r="Y961" s="39" t="str">
        <f>IF(AND(OR(LEFT(TH!L961,2)="15",LEFT(TH!M961,2)="15"),TK!$E$7=TH!F961),"x","")</f>
        <v/>
      </c>
      <c r="Z961" s="39" t="str">
        <f>IF(AND(B961&lt;=NKC!$N$8,B961&gt;=NKC!$M$8),"x","")</f>
        <v/>
      </c>
      <c r="AA961" s="894"/>
    </row>
    <row r="962" spans="1:27" ht="15.75" customHeight="1">
      <c r="A962" s="199" t="str">
        <f>IF(B962&lt;&gt;"",IF(AND(B962&gt;=_TM1,B962&lt;=_TM2,OR(TH!L962="1111",TH!M962="1111")),TH!D962,""),"")</f>
        <v/>
      </c>
      <c r="B962" s="36" t="str">
        <f t="shared" si="40"/>
        <v/>
      </c>
      <c r="C962" s="190"/>
      <c r="D962" s="190"/>
      <c r="E962" s="37"/>
      <c r="F962" s="40"/>
      <c r="G962" s="40"/>
      <c r="H962" s="7"/>
      <c r="I962" s="301"/>
      <c r="J962" s="808"/>
      <c r="K962" s="606"/>
      <c r="L962" s="39"/>
      <c r="M962" s="607"/>
      <c r="N962" s="39" t="str">
        <f>IF(AND('331-CT'!$E$7=TH!H962,OR(L962="331",M962="331")),"331",IF(AND(OR(L962="131",M962="131"),H962='131-CT'!$E$7),"131",""))</f>
        <v/>
      </c>
      <c r="O962" s="39" t="str">
        <f>IF(AND($B962&gt;='111'!$N$11,$B962&lt;='111'!$O$11,OR($L962=$O$7,$M962=$O$7)),"x","")</f>
        <v/>
      </c>
      <c r="P962" s="39" t="str">
        <f>IF(AND($L962=$O$7,$B962&lt;'111'!$N$11),"x","")</f>
        <v/>
      </c>
      <c r="Q962" s="39" t="str">
        <f>IF(AND($M962=$O$7,$B962&lt;'111'!$N$11),"x","")</f>
        <v/>
      </c>
      <c r="R962" s="39" t="str">
        <f>IF(ISERROR(FIND('112'!$M$9,G962,1)),"",IF((AND(FIND('112'!$M$9,G962,1)&gt;=1,$B962&gt;='112'!$N$8,$B962&lt;='112'!$O$8,OR($L962='112'!$I$6,$M962='112'!$I$6))),"x",""))</f>
        <v/>
      </c>
      <c r="S962" s="39" t="str">
        <f>IF(ISERROR(FIND('112'!$M$9,G962,1)),"",IF((AND(LEFT(G962,2)=LEFT('112'!$M$9,2),B962&lt;'112'!$N$8,$L962='112'!$I$6)),"x",""))</f>
        <v/>
      </c>
      <c r="T962" s="39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39" t="str">
        <f>IF(OR(TH!L962=TH!$V$7,M962=TH!$V$7),"x","")</f>
        <v/>
      </c>
      <c r="W962" s="39" t="str">
        <f>IF(AND(B962&gt;='IN-NX'!$P$3,B962&lt;='IN-NX'!$Q$3,'IN-NX'!$D$7=D962,OR(LEFT(L962,2)="15",AND(LEFT(M962,2)&lt;&gt;"15",LEFT(M962,2)&lt;&gt;"33"))),"x","")</f>
        <v/>
      </c>
      <c r="X962" s="39" t="str">
        <f>IF(AND(OR(LEFT(TH!L962,2)="15",LEFT(TH!M962,2)="15"),'152-CT'!$J$8=TH!F962),"x","")</f>
        <v/>
      </c>
      <c r="Y962" s="39" t="str">
        <f>IF(AND(OR(LEFT(TH!L962,2)="15",LEFT(TH!M962,2)="15"),TK!$E$7=TH!F962),"x","")</f>
        <v/>
      </c>
      <c r="Z962" s="39" t="str">
        <f>IF(AND(B962&lt;=NKC!$N$8,B962&gt;=NKC!$M$8),"x","")</f>
        <v/>
      </c>
      <c r="AA962" s="894"/>
    </row>
    <row r="963" spans="1:27" ht="15.75" customHeight="1">
      <c r="A963" s="199" t="str">
        <f>IF(B963&lt;&gt;"",IF(AND(B963&gt;=_TM1,B963&lt;=_TM2,OR(TH!L963="1111",TH!M963="1111")),TH!D963,""),"")</f>
        <v/>
      </c>
      <c r="B963" s="36" t="str">
        <f t="shared" si="40"/>
        <v/>
      </c>
      <c r="C963" s="190"/>
      <c r="D963" s="190"/>
      <c r="E963" s="37"/>
      <c r="F963" s="293"/>
      <c r="G963" s="40"/>
      <c r="H963" s="7"/>
      <c r="I963" s="301"/>
      <c r="J963" s="850"/>
      <c r="K963" s="606"/>
      <c r="L963" s="39"/>
      <c r="M963" s="607"/>
      <c r="N963" s="39" t="str">
        <f>IF(AND('331-CT'!$E$7=TH!H963,OR(L963="331",M963="331")),"331",IF(AND(OR(L963="131",M963="131"),H963='131-CT'!$E$7),"131",""))</f>
        <v/>
      </c>
      <c r="O963" s="39" t="str">
        <f>IF(AND($B963&gt;='111'!$N$11,$B963&lt;='111'!$O$11,OR($L963=$O$7,$M963=$O$7)),"x","")</f>
        <v/>
      </c>
      <c r="P963" s="39" t="str">
        <f>IF(AND($L963=$O$7,$B963&lt;'111'!$N$11),"x","")</f>
        <v/>
      </c>
      <c r="Q963" s="39" t="str">
        <f>IF(AND($M963=$O$7,$B963&lt;'111'!$N$11),"x","")</f>
        <v/>
      </c>
      <c r="R963" s="39" t="str">
        <f>IF(ISERROR(FIND('112'!$M$9,G963,1)),"",IF((AND(FIND('112'!$M$9,G963,1)&gt;=1,$B963&gt;='112'!$N$8,$B963&lt;='112'!$O$8,OR($L963='112'!$I$6,$M963='112'!$I$6))),"x",""))</f>
        <v/>
      </c>
      <c r="S963" s="39" t="str">
        <f>IF(ISERROR(FIND('112'!$M$9,G963,1)),"",IF((AND(LEFT(G963,2)=LEFT('112'!$M$9,2),B963&lt;'112'!$N$8,$L963='112'!$I$6)),"x",""))</f>
        <v/>
      </c>
      <c r="T963" s="39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39" t="str">
        <f>IF(OR(TH!L963=TH!$V$7,M963=TH!$V$7),"x","")</f>
        <v/>
      </c>
      <c r="W963" s="39" t="str">
        <f>IF(AND(B963&gt;='IN-NX'!$P$3,B963&lt;='IN-NX'!$Q$3,'IN-NX'!$D$7=D963,OR(LEFT(L963,2)="15",AND(LEFT(M963,2)&lt;&gt;"15",LEFT(M963,2)&lt;&gt;"33"))),"x","")</f>
        <v/>
      </c>
      <c r="X963" s="39" t="str">
        <f>IF(AND(OR(LEFT(TH!L963,2)="15",LEFT(TH!M963,2)="15"),'152-CT'!$J$8=TH!F963),"x","")</f>
        <v/>
      </c>
      <c r="Y963" s="39" t="str">
        <f>IF(AND(OR(LEFT(TH!L963,2)="15",LEFT(TH!M963,2)="15"),TK!$E$7=TH!F963),"x","")</f>
        <v/>
      </c>
      <c r="Z963" s="39" t="str">
        <f>IF(AND(B963&lt;=NKC!$N$8,B963&gt;=NKC!$M$8),"x","")</f>
        <v/>
      </c>
      <c r="AA963" s="894"/>
    </row>
    <row r="964" spans="1:27" ht="15.75" customHeight="1">
      <c r="A964" s="199" t="str">
        <f>IF(B964&lt;&gt;"",IF(AND(B964&gt;=_TM1,B964&lt;=_TM2,OR(TH!L964="1111",TH!M964="1111")),TH!D964,""),"")</f>
        <v/>
      </c>
      <c r="B964" s="36" t="str">
        <f t="shared" si="40"/>
        <v/>
      </c>
      <c r="C964" s="190"/>
      <c r="D964" s="190"/>
      <c r="E964" s="37"/>
      <c r="F964" s="40"/>
      <c r="G964" s="40"/>
      <c r="H964" s="7"/>
      <c r="I964" s="301"/>
      <c r="J964" s="806"/>
      <c r="K964" s="606"/>
      <c r="L964" s="39"/>
      <c r="M964" s="607"/>
      <c r="N964" s="39" t="str">
        <f>IF(AND('331-CT'!$E$7=TH!H964,OR(L964="331",M964="331")),"331",IF(AND(OR(L964="131",M964="131"),H964='131-CT'!$E$7),"131",""))</f>
        <v/>
      </c>
      <c r="O964" s="39" t="str">
        <f>IF(AND($B964&gt;='111'!$N$11,$B964&lt;='111'!$O$11,OR($L964=$O$7,$M964=$O$7)),"x","")</f>
        <v/>
      </c>
      <c r="P964" s="39" t="str">
        <f>IF(AND($L964=$O$7,$B964&lt;'111'!$N$11),"x","")</f>
        <v/>
      </c>
      <c r="Q964" s="39" t="str">
        <f>IF(AND($M964=$O$7,$B964&lt;'111'!$N$11),"x","")</f>
        <v/>
      </c>
      <c r="R964" s="39" t="str">
        <f>IF(ISERROR(FIND('112'!$M$9,G964,1)),"",IF((AND(FIND('112'!$M$9,G964,1)&gt;=1,$B964&gt;='112'!$N$8,$B964&lt;='112'!$O$8,OR($L964='112'!$I$6,$M964='112'!$I$6))),"x",""))</f>
        <v/>
      </c>
      <c r="S964" s="39" t="str">
        <f>IF(ISERROR(FIND('112'!$M$9,G964,1)),"",IF((AND(LEFT(G964,2)=LEFT('112'!$M$9,2),B964&lt;'112'!$N$8,$L964='112'!$I$6)),"x",""))</f>
        <v/>
      </c>
      <c r="T964" s="39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39" t="str">
        <f>IF(OR(TH!L964=TH!$V$7,M964=TH!$V$7),"x","")</f>
        <v/>
      </c>
      <c r="W964" s="39" t="str">
        <f>IF(AND(B964&gt;='IN-NX'!$P$3,B964&lt;='IN-NX'!$Q$3,'IN-NX'!$D$7=D964,OR(LEFT(L964,2)="15",AND(LEFT(M964,2)&lt;&gt;"15",LEFT(M964,2)&lt;&gt;"33"))),"x","")</f>
        <v/>
      </c>
      <c r="X964" s="39" t="str">
        <f>IF(AND(OR(LEFT(TH!L964,2)="15",LEFT(TH!M964,2)="15"),'152-CT'!$J$8=TH!F964),"x","")</f>
        <v/>
      </c>
      <c r="Y964" s="39" t="str">
        <f>IF(AND(OR(LEFT(TH!L964,2)="15",LEFT(TH!M964,2)="15"),TK!$E$7=TH!F964),"x","")</f>
        <v/>
      </c>
      <c r="Z964" s="39" t="str">
        <f>IF(AND(B964&lt;=NKC!$N$8,B964&gt;=NKC!$M$8),"x","")</f>
        <v/>
      </c>
      <c r="AA964" s="894"/>
    </row>
    <row r="965" spans="1:27" ht="15.75" customHeight="1">
      <c r="A965" s="199" t="str">
        <f>IF(B965&lt;&gt;"",IF(AND(B965&gt;=_TM1,B965&lt;=_TM2,OR(TH!L965="1111",TH!M965="1111")),TH!D965,""),"")</f>
        <v/>
      </c>
      <c r="B965" s="36" t="str">
        <f t="shared" si="40"/>
        <v/>
      </c>
      <c r="C965" s="190"/>
      <c r="D965" s="190"/>
      <c r="E965" s="37"/>
      <c r="F965" s="40"/>
      <c r="G965" s="40"/>
      <c r="H965" s="7"/>
      <c r="I965" s="301"/>
      <c r="J965" s="808"/>
      <c r="K965" s="606"/>
      <c r="L965" s="39"/>
      <c r="M965" s="607"/>
      <c r="N965" s="39" t="str">
        <f>IF(AND('331-CT'!$E$7=TH!H965,OR(L965="331",M965="331")),"331",IF(AND(OR(L965="131",M965="131"),H965='131-CT'!$E$7),"131",""))</f>
        <v/>
      </c>
      <c r="O965" s="39" t="str">
        <f>IF(AND($B965&gt;='111'!$N$11,$B965&lt;='111'!$O$11,OR($L965=$O$7,$M965=$O$7)),"x","")</f>
        <v/>
      </c>
      <c r="P965" s="39" t="str">
        <f>IF(AND($L965=$O$7,$B965&lt;'111'!$N$11),"x","")</f>
        <v/>
      </c>
      <c r="Q965" s="39" t="str">
        <f>IF(AND($M965=$O$7,$B965&lt;'111'!$N$11),"x","")</f>
        <v/>
      </c>
      <c r="R965" s="39" t="str">
        <f>IF(ISERROR(FIND('112'!$M$9,G965,1)),"",IF((AND(FIND('112'!$M$9,G965,1)&gt;=1,$B965&gt;='112'!$N$8,$B965&lt;='112'!$O$8,OR($L965='112'!$I$6,$M965='112'!$I$6))),"x",""))</f>
        <v/>
      </c>
      <c r="S965" s="39" t="str">
        <f>IF(ISERROR(FIND('112'!$M$9,G965,1)),"",IF((AND(LEFT(G965,2)=LEFT('112'!$M$9,2),B965&lt;'112'!$N$8,$L965='112'!$I$6)),"x",""))</f>
        <v/>
      </c>
      <c r="T965" s="39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39" t="str">
        <f>IF(OR(TH!L965=TH!$V$7,M965=TH!$V$7),"x","")</f>
        <v/>
      </c>
      <c r="W965" s="39" t="str">
        <f>IF(AND(B965&gt;='IN-NX'!$P$3,B965&lt;='IN-NX'!$Q$3,'IN-NX'!$D$7=D965,OR(LEFT(L965,2)="15",AND(LEFT(M965,2)&lt;&gt;"15",LEFT(M965,2)&lt;&gt;"33"))),"x","")</f>
        <v/>
      </c>
      <c r="X965" s="39" t="str">
        <f>IF(AND(OR(LEFT(TH!L965,2)="15",LEFT(TH!M965,2)="15"),'152-CT'!$J$8=TH!F965),"x","")</f>
        <v/>
      </c>
      <c r="Y965" s="39" t="str">
        <f>IF(AND(OR(LEFT(TH!L965,2)="15",LEFT(TH!M965,2)="15"),TK!$E$7=TH!F965),"x","")</f>
        <v/>
      </c>
      <c r="Z965" s="39" t="str">
        <f>IF(AND(B965&lt;=NKC!$N$8,B965&gt;=NKC!$M$8),"x","")</f>
        <v/>
      </c>
      <c r="AA965" s="894"/>
    </row>
    <row r="966" spans="1:27" ht="15.75" customHeight="1">
      <c r="A966" s="199" t="str">
        <f>IF(B966&lt;&gt;"",IF(AND(B966&gt;=_TM1,B966&lt;=_TM2,OR(TH!L966="1111",TH!M966="1111")),TH!D966,""),"")</f>
        <v/>
      </c>
      <c r="B966" s="36" t="str">
        <f t="shared" si="40"/>
        <v/>
      </c>
      <c r="C966" s="190"/>
      <c r="D966" s="190"/>
      <c r="E966" s="37"/>
      <c r="F966" s="451"/>
      <c r="G966" s="40"/>
      <c r="H966" s="7"/>
      <c r="I966" s="301"/>
      <c r="J966" s="808"/>
      <c r="K966" s="606"/>
      <c r="L966" s="39"/>
      <c r="M966" s="607"/>
      <c r="N966" s="39" t="str">
        <f>IF(AND('331-CT'!$E$7=TH!H966,OR(L966="331",M966="331")),"331",IF(AND(OR(L966="131",M966="131"),H966='131-CT'!$E$7),"131",""))</f>
        <v/>
      </c>
      <c r="O966" s="39" t="str">
        <f>IF(AND($B966&gt;='111'!$N$11,$B966&lt;='111'!$O$11,OR($L966=$O$7,$M966=$O$7)),"x","")</f>
        <v/>
      </c>
      <c r="P966" s="39" t="str">
        <f>IF(AND($L966=$O$7,$B966&lt;'111'!$N$11),"x","")</f>
        <v/>
      </c>
      <c r="Q966" s="39" t="str">
        <f>IF(AND($M966=$O$7,$B966&lt;'111'!$N$11),"x","")</f>
        <v/>
      </c>
      <c r="R966" s="39" t="str">
        <f>IF(ISERROR(FIND('112'!$M$9,G966,1)),"",IF((AND(FIND('112'!$M$9,G966,1)&gt;=1,$B966&gt;='112'!$N$8,$B966&lt;='112'!$O$8,OR($L966='112'!$I$6,$M966='112'!$I$6))),"x",""))</f>
        <v/>
      </c>
      <c r="S966" s="39" t="str">
        <f>IF(ISERROR(FIND('112'!$M$9,G966,1)),"",IF((AND(LEFT(G966,2)=LEFT('112'!$M$9,2),B966&lt;'112'!$N$8,$L966='112'!$I$6)),"x",""))</f>
        <v/>
      </c>
      <c r="T966" s="39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39" t="str">
        <f>IF(OR(TH!L966=TH!$V$7,M966=TH!$V$7),"x","")</f>
        <v/>
      </c>
      <c r="W966" s="39" t="str">
        <f>IF(AND(B966&gt;='IN-NX'!$P$3,B966&lt;='IN-NX'!$Q$3,'IN-NX'!$D$7=D966,OR(LEFT(L966,2)="15",AND(LEFT(M966,2)&lt;&gt;"15",LEFT(M966,2)&lt;&gt;"33"))),"x","")</f>
        <v/>
      </c>
      <c r="X966" s="39" t="str">
        <f>IF(AND(OR(LEFT(TH!L966,2)="15",LEFT(TH!M966,2)="15"),'152-CT'!$J$8=TH!F966),"x","")</f>
        <v/>
      </c>
      <c r="Y966" s="39" t="str">
        <f>IF(AND(OR(LEFT(TH!L966,2)="15",LEFT(TH!M966,2)="15"),TK!$E$7=TH!F966),"x","")</f>
        <v/>
      </c>
      <c r="Z966" s="39" t="str">
        <f>IF(AND(B966&lt;=NKC!$N$8,B966&gt;=NKC!$M$8),"x","")</f>
        <v/>
      </c>
      <c r="AA966" s="894"/>
    </row>
    <row r="967" spans="1:27" ht="15.75" customHeight="1">
      <c r="A967" s="199" t="str">
        <f>IF(B967&lt;&gt;"",IF(AND(B967&gt;=_TM1,B967&lt;=_TM2,OR(TH!L967="1111",TH!M967="1111")),TH!D967,""),"")</f>
        <v/>
      </c>
      <c r="B967" s="36" t="str">
        <f t="shared" si="40"/>
        <v/>
      </c>
      <c r="C967" s="190"/>
      <c r="D967" s="190"/>
      <c r="E967" s="37"/>
      <c r="F967" s="293"/>
      <c r="G967" s="40"/>
      <c r="H967" s="7"/>
      <c r="I967" s="301"/>
      <c r="J967" s="808"/>
      <c r="K967" s="606"/>
      <c r="L967" s="39"/>
      <c r="M967" s="607"/>
      <c r="N967" s="39" t="str">
        <f>IF(AND('331-CT'!$E$7=TH!H967,OR(L967="331",M967="331")),"331",IF(AND(OR(L967="131",M967="131"),H967='131-CT'!$E$7),"131",""))</f>
        <v/>
      </c>
      <c r="O967" s="39" t="str">
        <f>IF(AND($B967&gt;='111'!$N$11,$B967&lt;='111'!$O$11,OR($L967=$O$7,$M967=$O$7)),"x","")</f>
        <v/>
      </c>
      <c r="P967" s="39" t="str">
        <f>IF(AND($L967=$O$7,$B967&lt;'111'!$N$11),"x","")</f>
        <v/>
      </c>
      <c r="Q967" s="39" t="str">
        <f>IF(AND($M967=$O$7,$B967&lt;'111'!$N$11),"x","")</f>
        <v/>
      </c>
      <c r="R967" s="39" t="str">
        <f>IF(ISERROR(FIND('112'!$M$9,G967,1)),"",IF((AND(FIND('112'!$M$9,G967,1)&gt;=1,$B967&gt;='112'!$N$8,$B967&lt;='112'!$O$8,OR($L967='112'!$I$6,$M967='112'!$I$6))),"x",""))</f>
        <v/>
      </c>
      <c r="S967" s="39" t="str">
        <f>IF(ISERROR(FIND('112'!$M$9,G967,1)),"",IF((AND(LEFT(G967,2)=LEFT('112'!$M$9,2),B967&lt;'112'!$N$8,$L967='112'!$I$6)),"x",""))</f>
        <v/>
      </c>
      <c r="T967" s="39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39" t="str">
        <f>IF(OR(TH!L967=TH!$V$7,M967=TH!$V$7),"x","")</f>
        <v/>
      </c>
      <c r="W967" s="39" t="str">
        <f>IF(AND(B967&gt;='IN-NX'!$P$3,B967&lt;='IN-NX'!$Q$3,'IN-NX'!$D$7=D967,OR(LEFT(L967,2)="15",AND(LEFT(M967,2)&lt;&gt;"15",LEFT(M967,2)&lt;&gt;"33"))),"x","")</f>
        <v/>
      </c>
      <c r="X967" s="39" t="str">
        <f>IF(AND(OR(LEFT(TH!L967,2)="15",LEFT(TH!M967,2)="15"),'152-CT'!$J$8=TH!F967),"x","")</f>
        <v/>
      </c>
      <c r="Y967" s="39" t="str">
        <f>IF(AND(OR(LEFT(TH!L967,2)="15",LEFT(TH!M967,2)="15"),TK!$E$7=TH!F967),"x","")</f>
        <v/>
      </c>
      <c r="Z967" s="39" t="str">
        <f>IF(AND(B967&lt;=NKC!$N$8,B967&gt;=NKC!$M$8),"x","")</f>
        <v/>
      </c>
      <c r="AA967" s="894"/>
    </row>
    <row r="968" spans="1:27" ht="15.75" customHeight="1">
      <c r="A968" s="199" t="str">
        <f>IF(B968&lt;&gt;"",IF(AND(B968&gt;=_TM1,B968&lt;=_TM2,OR(TH!L968="1111",TH!M968="1111")),TH!D968,""),"")</f>
        <v/>
      </c>
      <c r="B968" s="36" t="str">
        <f t="shared" si="40"/>
        <v/>
      </c>
      <c r="C968" s="190"/>
      <c r="D968" s="190"/>
      <c r="E968" s="37"/>
      <c r="F968" s="40"/>
      <c r="G968" s="40"/>
      <c r="H968" s="7"/>
      <c r="I968" s="301"/>
      <c r="J968" s="808"/>
      <c r="K968" s="606"/>
      <c r="L968" s="39"/>
      <c r="M968" s="607"/>
      <c r="N968" s="39" t="str">
        <f>IF(AND('331-CT'!$E$7=TH!H968,OR(L968="331",M968="331")),"331",IF(AND(OR(L968="131",M968="131"),H968='131-CT'!$E$7),"131",""))</f>
        <v/>
      </c>
      <c r="O968" s="39" t="str">
        <f>IF(AND($B968&gt;='111'!$N$11,$B968&lt;='111'!$O$11,OR($L968=$O$7,$M968=$O$7)),"x","")</f>
        <v/>
      </c>
      <c r="P968" s="39" t="str">
        <f>IF(AND($L968=$O$7,$B968&lt;'111'!$N$11),"x","")</f>
        <v/>
      </c>
      <c r="Q968" s="39" t="str">
        <f>IF(AND($M968=$O$7,$B968&lt;'111'!$N$11),"x","")</f>
        <v/>
      </c>
      <c r="R968" s="39" t="str">
        <f>IF(ISERROR(FIND('112'!$M$9,G968,1)),"",IF((AND(FIND('112'!$M$9,G968,1)&gt;=1,$B968&gt;='112'!$N$8,$B968&lt;='112'!$O$8,OR($L968='112'!$I$6,$M968='112'!$I$6))),"x",""))</f>
        <v/>
      </c>
      <c r="S968" s="39" t="str">
        <f>IF(ISERROR(FIND('112'!$M$9,G968,1)),"",IF((AND(LEFT(G968,2)=LEFT('112'!$M$9,2),B968&lt;'112'!$N$8,$L968='112'!$I$6)),"x",""))</f>
        <v/>
      </c>
      <c r="T968" s="39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39" t="str">
        <f>IF(OR(TH!L968=TH!$V$7,M968=TH!$V$7),"x","")</f>
        <v/>
      </c>
      <c r="W968" s="39" t="str">
        <f>IF(AND(B968&gt;='IN-NX'!$P$3,B968&lt;='IN-NX'!$Q$3,'IN-NX'!$D$7=D968,OR(LEFT(L968,2)="15",AND(LEFT(M968,2)&lt;&gt;"15",LEFT(M968,2)&lt;&gt;"33"))),"x","")</f>
        <v/>
      </c>
      <c r="X968" s="39" t="str">
        <f>IF(AND(OR(LEFT(TH!L968,2)="15",LEFT(TH!M968,2)="15"),'152-CT'!$J$8=TH!F968),"x","")</f>
        <v/>
      </c>
      <c r="Y968" s="39" t="str">
        <f>IF(AND(OR(LEFT(TH!L968,2)="15",LEFT(TH!M968,2)="15"),TK!$E$7=TH!F968),"x","")</f>
        <v/>
      </c>
      <c r="Z968" s="39" t="str">
        <f>IF(AND(B968&lt;=NKC!$N$8,B968&gt;=NKC!$M$8),"x","")</f>
        <v/>
      </c>
      <c r="AA968" s="894"/>
    </row>
    <row r="969" spans="1:27" ht="15.75" customHeight="1">
      <c r="A969" s="199" t="str">
        <f>IF(B969&lt;&gt;"",IF(AND(B969&gt;=_TM1,B969&lt;=_TM2,OR(TH!L969="1111",TH!M969="1111")),TH!D969,""),"")</f>
        <v/>
      </c>
      <c r="B969" s="36" t="str">
        <f t="shared" si="40"/>
        <v/>
      </c>
      <c r="C969" s="190"/>
      <c r="D969" s="190"/>
      <c r="E969" s="37"/>
      <c r="F969" s="848"/>
      <c r="G969" s="40"/>
      <c r="H969" s="7"/>
      <c r="I969" s="301"/>
      <c r="J969" s="806"/>
      <c r="K969" s="606"/>
      <c r="L969" s="39"/>
      <c r="M969" s="607"/>
      <c r="N969" s="39" t="str">
        <f>IF(AND('331-CT'!$E$7=TH!H969,OR(L969="331",M969="331")),"331",IF(AND(OR(L969="131",M969="131"),H969='131-CT'!$E$7),"131",""))</f>
        <v/>
      </c>
      <c r="O969" s="39" t="str">
        <f>IF(AND($B969&gt;='111'!$N$11,$B969&lt;='111'!$O$11,OR($L969=$O$7,$M969=$O$7)),"x","")</f>
        <v/>
      </c>
      <c r="P969" s="39" t="str">
        <f>IF(AND($L969=$O$7,$B969&lt;'111'!$N$11),"x","")</f>
        <v/>
      </c>
      <c r="Q969" s="39" t="str">
        <f>IF(AND($M969=$O$7,$B969&lt;'111'!$N$11),"x","")</f>
        <v/>
      </c>
      <c r="R969" s="39" t="str">
        <f>IF(ISERROR(FIND('112'!$M$9,G969,1)),"",IF((AND(FIND('112'!$M$9,G969,1)&gt;=1,$B969&gt;='112'!$N$8,$B969&lt;='112'!$O$8,OR($L969='112'!$I$6,$M969='112'!$I$6))),"x",""))</f>
        <v/>
      </c>
      <c r="S969" s="39" t="str">
        <f>IF(ISERROR(FIND('112'!$M$9,G969,1)),"",IF((AND(LEFT(G969,2)=LEFT('112'!$M$9,2),B969&lt;'112'!$N$8,$L969='112'!$I$6)),"x",""))</f>
        <v/>
      </c>
      <c r="T969" s="39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39" t="str">
        <f>IF(OR(TH!L969=TH!$V$7,M969=TH!$V$7),"x","")</f>
        <v/>
      </c>
      <c r="W969" s="39" t="str">
        <f>IF(AND(B969&gt;='IN-NX'!$P$3,B969&lt;='IN-NX'!$Q$3,'IN-NX'!$D$7=D969,OR(LEFT(L969,2)="15",AND(LEFT(M969,2)&lt;&gt;"15",LEFT(M969,2)&lt;&gt;"33"))),"x","")</f>
        <v/>
      </c>
      <c r="X969" s="39" t="str">
        <f>IF(AND(OR(LEFT(TH!L969,2)="15",LEFT(TH!M969,2)="15"),'152-CT'!$J$8=TH!F969),"x","")</f>
        <v/>
      </c>
      <c r="Y969" s="39" t="str">
        <f>IF(AND(OR(LEFT(TH!L969,2)="15",LEFT(TH!M969,2)="15"),TK!$E$7=TH!F969),"x","")</f>
        <v/>
      </c>
      <c r="Z969" s="39" t="str">
        <f>IF(AND(B969&lt;=NKC!$N$8,B969&gt;=NKC!$M$8),"x","")</f>
        <v/>
      </c>
      <c r="AA969" s="894"/>
    </row>
    <row r="970" spans="1:27" ht="15.75" customHeight="1">
      <c r="A970" s="199" t="str">
        <f>IF(B970&lt;&gt;"",IF(AND(B970&gt;=_TM1,B970&lt;=_TM2,OR(TH!L970="1111",TH!M970="1111")),TH!D970,""),"")</f>
        <v/>
      </c>
      <c r="B970" s="36" t="str">
        <f t="shared" si="40"/>
        <v/>
      </c>
      <c r="C970" s="190"/>
      <c r="D970" s="190"/>
      <c r="E970" s="37"/>
      <c r="F970" s="40"/>
      <c r="G970" s="40"/>
      <c r="H970" s="7"/>
      <c r="I970" s="301"/>
      <c r="J970" s="808"/>
      <c r="K970" s="606"/>
      <c r="L970" s="39"/>
      <c r="M970" s="607"/>
      <c r="N970" s="39" t="str">
        <f>IF(AND('331-CT'!$E$7=TH!H970,OR(L970="331",M970="331")),"331",IF(AND(OR(L970="131",M970="131"),H970='131-CT'!$E$7),"131",""))</f>
        <v/>
      </c>
      <c r="O970" s="39" t="str">
        <f>IF(AND($B970&gt;='111'!$N$11,$B970&lt;='111'!$O$11,OR($L970=$O$7,$M970=$O$7)),"x","")</f>
        <v/>
      </c>
      <c r="P970" s="39" t="str">
        <f>IF(AND($L970=$O$7,$B970&lt;'111'!$N$11),"x","")</f>
        <v/>
      </c>
      <c r="Q970" s="39" t="str">
        <f>IF(AND($M970=$O$7,$B970&lt;'111'!$N$11),"x","")</f>
        <v/>
      </c>
      <c r="R970" s="39" t="str">
        <f>IF(ISERROR(FIND('112'!$M$9,G970,1)),"",IF((AND(FIND('112'!$M$9,G970,1)&gt;=1,$B970&gt;='112'!$N$8,$B970&lt;='112'!$O$8,OR($L970='112'!$I$6,$M970='112'!$I$6))),"x",""))</f>
        <v/>
      </c>
      <c r="S970" s="39" t="str">
        <f>IF(ISERROR(FIND('112'!$M$9,G970,1)),"",IF((AND(LEFT(G970,2)=LEFT('112'!$M$9,2),B970&lt;'112'!$N$8,$L970='112'!$I$6)),"x",""))</f>
        <v/>
      </c>
      <c r="T970" s="39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39" t="str">
        <f>IF(OR(TH!L970=TH!$V$7,M970=TH!$V$7),"x","")</f>
        <v/>
      </c>
      <c r="W970" s="39" t="str">
        <f>IF(AND(B970&gt;='IN-NX'!$P$3,B970&lt;='IN-NX'!$Q$3,'IN-NX'!$D$7=D970,OR(LEFT(L970,2)="15",AND(LEFT(M970,2)&lt;&gt;"15",LEFT(M970,2)&lt;&gt;"33"))),"x","")</f>
        <v/>
      </c>
      <c r="X970" s="39" t="str">
        <f>IF(AND(OR(LEFT(TH!L970,2)="15",LEFT(TH!M970,2)="15"),'152-CT'!$J$8=TH!F970),"x","")</f>
        <v/>
      </c>
      <c r="Y970" s="39" t="str">
        <f>IF(AND(OR(LEFT(TH!L970,2)="15",LEFT(TH!M970,2)="15"),TK!$E$7=TH!F970),"x","")</f>
        <v/>
      </c>
      <c r="Z970" s="39" t="str">
        <f>IF(AND(B970&lt;=NKC!$N$8,B970&gt;=NKC!$M$8),"x","")</f>
        <v/>
      </c>
      <c r="AA970" s="894"/>
    </row>
    <row r="971" spans="1:27" ht="15.75" customHeight="1">
      <c r="A971" s="199" t="str">
        <f>IF(B971&lt;&gt;"",IF(AND(B971&gt;=_TM1,B971&lt;=_TM2,OR(TH!L971="1111",TH!M971="1111")),TH!D971,""),"")</f>
        <v/>
      </c>
      <c r="B971" s="36" t="str">
        <f t="shared" si="40"/>
        <v/>
      </c>
      <c r="C971" s="190"/>
      <c r="D971" s="190"/>
      <c r="E971" s="37"/>
      <c r="F971" s="188"/>
      <c r="G971" s="40"/>
      <c r="H971" s="7"/>
      <c r="I971" s="301"/>
      <c r="J971" s="808"/>
      <c r="K971" s="606"/>
      <c r="L971" s="39"/>
      <c r="M971" s="607"/>
      <c r="N971" s="39" t="str">
        <f>IF(AND('331-CT'!$E$7=TH!H971,OR(L971="331",M971="331")),"331",IF(AND(OR(L971="131",M971="131"),H971='131-CT'!$E$7),"131",""))</f>
        <v/>
      </c>
      <c r="O971" s="39" t="str">
        <f>IF(AND($B971&gt;='111'!$N$11,$B971&lt;='111'!$O$11,OR($L971=$O$7,$M971=$O$7)),"x","")</f>
        <v/>
      </c>
      <c r="P971" s="39" t="str">
        <f>IF(AND($L971=$O$7,$B971&lt;'111'!$N$11),"x","")</f>
        <v/>
      </c>
      <c r="Q971" s="39" t="str">
        <f>IF(AND($M971=$O$7,$B971&lt;'111'!$N$11),"x","")</f>
        <v/>
      </c>
      <c r="R971" s="39" t="str">
        <f>IF(ISERROR(FIND('112'!$M$9,G971,1)),"",IF((AND(FIND('112'!$M$9,G971,1)&gt;=1,$B971&gt;='112'!$N$8,$B971&lt;='112'!$O$8,OR($L971='112'!$I$6,$M971='112'!$I$6))),"x",""))</f>
        <v/>
      </c>
      <c r="S971" s="39" t="str">
        <f>IF(ISERROR(FIND('112'!$M$9,G971,1)),"",IF((AND(LEFT(G971,2)=LEFT('112'!$M$9,2),B971&lt;'112'!$N$8,$L971='112'!$I$6)),"x",""))</f>
        <v/>
      </c>
      <c r="T971" s="39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39" t="str">
        <f>IF(OR(TH!L971=TH!$V$7,M971=TH!$V$7),"x","")</f>
        <v/>
      </c>
      <c r="W971" s="39" t="str">
        <f>IF(AND(B971&gt;='IN-NX'!$P$3,B971&lt;='IN-NX'!$Q$3,'IN-NX'!$D$7=D971,OR(LEFT(L971,2)="15",AND(LEFT(M971,2)&lt;&gt;"15",LEFT(M971,2)&lt;&gt;"33"))),"x","")</f>
        <v/>
      </c>
      <c r="X971" s="39" t="str">
        <f>IF(AND(OR(LEFT(TH!L971,2)="15",LEFT(TH!M971,2)="15"),'152-CT'!$J$8=TH!F971),"x","")</f>
        <v/>
      </c>
      <c r="Y971" s="39" t="str">
        <f>IF(AND(OR(LEFT(TH!L971,2)="15",LEFT(TH!M971,2)="15"),TK!$E$7=TH!F971),"x","")</f>
        <v/>
      </c>
      <c r="Z971" s="39" t="str">
        <f>IF(AND(B971&lt;=NKC!$N$8,B971&gt;=NKC!$M$8),"x","")</f>
        <v/>
      </c>
      <c r="AA971" s="894"/>
    </row>
    <row r="972" spans="1:27" ht="15.75" customHeight="1">
      <c r="A972" s="199" t="str">
        <f>IF(B972&lt;&gt;"",IF(AND(B972&gt;=_TM1,B972&lt;=_TM2,OR(TH!L972="1111",TH!M972="1111")),TH!D972,""),"")</f>
        <v/>
      </c>
      <c r="B972" s="36" t="str">
        <f t="shared" si="40"/>
        <v/>
      </c>
      <c r="C972" s="190"/>
      <c r="D972" s="190"/>
      <c r="E972" s="37"/>
      <c r="F972" s="40"/>
      <c r="G972" s="40"/>
      <c r="H972" s="7"/>
      <c r="I972" s="301"/>
      <c r="J972" s="808"/>
      <c r="K972" s="606"/>
      <c r="L972" s="39"/>
      <c r="M972" s="607"/>
      <c r="N972" s="39" t="str">
        <f>IF(AND('331-CT'!$E$7=TH!H972,OR(L972="331",M972="331")),"331",IF(AND(OR(L972="131",M972="131"),H972='131-CT'!$E$7),"131",""))</f>
        <v/>
      </c>
      <c r="O972" s="39" t="str">
        <f>IF(AND($B972&gt;='111'!$N$11,$B972&lt;='111'!$O$11,OR($L972=$O$7,$M972=$O$7)),"x","")</f>
        <v/>
      </c>
      <c r="P972" s="39" t="str">
        <f>IF(AND($L972=$O$7,$B972&lt;'111'!$N$11),"x","")</f>
        <v/>
      </c>
      <c r="Q972" s="39" t="str">
        <f>IF(AND($M972=$O$7,$B972&lt;'111'!$N$11),"x","")</f>
        <v/>
      </c>
      <c r="R972" s="39" t="str">
        <f>IF(ISERROR(FIND('112'!$M$9,G972,1)),"",IF((AND(FIND('112'!$M$9,G972,1)&gt;=1,$B972&gt;='112'!$N$8,$B972&lt;='112'!$O$8,OR($L972='112'!$I$6,$M972='112'!$I$6))),"x",""))</f>
        <v/>
      </c>
      <c r="S972" s="39" t="str">
        <f>IF(ISERROR(FIND('112'!$M$9,G972,1)),"",IF((AND(LEFT(G972,2)=LEFT('112'!$M$9,2),B972&lt;'112'!$N$8,$L972='112'!$I$6)),"x",""))</f>
        <v/>
      </c>
      <c r="T972" s="39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39" t="str">
        <f>IF(OR(TH!L972=TH!$V$7,M972=TH!$V$7),"x","")</f>
        <v/>
      </c>
      <c r="W972" s="39" t="str">
        <f>IF(AND(B972&gt;='IN-NX'!$P$3,B972&lt;='IN-NX'!$Q$3,'IN-NX'!$D$7=D972,OR(LEFT(L972,2)="15",AND(LEFT(M972,2)&lt;&gt;"15",LEFT(M972,2)&lt;&gt;"33"))),"x","")</f>
        <v/>
      </c>
      <c r="X972" s="39" t="str">
        <f>IF(AND(OR(LEFT(TH!L972,2)="15",LEFT(TH!M972,2)="15"),'152-CT'!$J$8=TH!F972),"x","")</f>
        <v/>
      </c>
      <c r="Y972" s="39" t="str">
        <f>IF(AND(OR(LEFT(TH!L972,2)="15",LEFT(TH!M972,2)="15"),TK!$E$7=TH!F972),"x","")</f>
        <v/>
      </c>
      <c r="Z972" s="39" t="str">
        <f>IF(AND(B972&lt;=NKC!$N$8,B972&gt;=NKC!$M$8),"x","")</f>
        <v/>
      </c>
      <c r="AA972" s="894"/>
    </row>
    <row r="973" spans="1:27" ht="15.75" customHeight="1">
      <c r="A973" s="199" t="str">
        <f>IF(B973&lt;&gt;"",IF(AND(B973&gt;=_TM1,B973&lt;=_TM2,OR(TH!L973="1111",TH!M973="1111")),TH!D973,""),"")</f>
        <v/>
      </c>
      <c r="B973" s="36" t="str">
        <f t="shared" si="40"/>
        <v/>
      </c>
      <c r="C973" s="190"/>
      <c r="D973" s="190"/>
      <c r="E973" s="37"/>
      <c r="F973" s="291"/>
      <c r="G973" s="40"/>
      <c r="H973" s="7"/>
      <c r="I973" s="301"/>
      <c r="J973" s="806"/>
      <c r="K973" s="606"/>
      <c r="L973" s="39"/>
      <c r="M973" s="607"/>
      <c r="N973" s="39" t="str">
        <f>IF(AND('331-CT'!$E$7=TH!H973,OR(L973="331",M973="331")),"331",IF(AND(OR(L973="131",M973="131"),H973='131-CT'!$E$7),"131",""))</f>
        <v/>
      </c>
      <c r="O973" s="39" t="str">
        <f>IF(AND($B973&gt;='111'!$N$11,$B973&lt;='111'!$O$11,OR($L973=$O$7,$M973=$O$7)),"x","")</f>
        <v/>
      </c>
      <c r="P973" s="39" t="str">
        <f>IF(AND($L973=$O$7,$B973&lt;'111'!$N$11),"x","")</f>
        <v/>
      </c>
      <c r="Q973" s="39" t="str">
        <f>IF(AND($M973=$O$7,$B973&lt;'111'!$N$11),"x","")</f>
        <v/>
      </c>
      <c r="R973" s="39" t="str">
        <f>IF(ISERROR(FIND('112'!$M$9,G973,1)),"",IF((AND(FIND('112'!$M$9,G973,1)&gt;=1,$B973&gt;='112'!$N$8,$B973&lt;='112'!$O$8,OR($L973='112'!$I$6,$M973='112'!$I$6))),"x",""))</f>
        <v/>
      </c>
      <c r="S973" s="39" t="str">
        <f>IF(ISERROR(FIND('112'!$M$9,G973,1)),"",IF((AND(LEFT(G973,2)=LEFT('112'!$M$9,2),B973&lt;'112'!$N$8,$L973='112'!$I$6)),"x",""))</f>
        <v/>
      </c>
      <c r="T973" s="39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39" t="str">
        <f>IF(OR(TH!L973=TH!$V$7,M973=TH!$V$7),"x","")</f>
        <v/>
      </c>
      <c r="W973" s="39" t="str">
        <f>IF(AND(B973&gt;='IN-NX'!$P$3,B973&lt;='IN-NX'!$Q$3,'IN-NX'!$D$7=D973,OR(LEFT(L973,2)="15",AND(LEFT(M973,2)&lt;&gt;"15",LEFT(M973,2)&lt;&gt;"33"))),"x","")</f>
        <v/>
      </c>
      <c r="X973" s="39" t="str">
        <f>IF(AND(OR(LEFT(TH!L973,2)="15",LEFT(TH!M973,2)="15"),'152-CT'!$J$8=TH!F973),"x","")</f>
        <v/>
      </c>
      <c r="Y973" s="39" t="str">
        <f>IF(AND(OR(LEFT(TH!L973,2)="15",LEFT(TH!M973,2)="15"),TK!$E$7=TH!F973),"x","")</f>
        <v/>
      </c>
      <c r="Z973" s="39" t="str">
        <f>IF(AND(B973&lt;=NKC!$N$8,B973&gt;=NKC!$M$8),"x","")</f>
        <v/>
      </c>
      <c r="AA973" s="894"/>
    </row>
    <row r="974" spans="1:27" ht="15.75" customHeight="1">
      <c r="A974" s="199" t="str">
        <f>IF(B974&lt;&gt;"",IF(AND(B974&gt;=_TM1,B974&lt;=_TM2,OR(TH!L974="1111",TH!M974="1111")),TH!D974,""),"")</f>
        <v/>
      </c>
      <c r="B974" s="36" t="str">
        <f t="shared" si="40"/>
        <v/>
      </c>
      <c r="C974" s="190"/>
      <c r="D974" s="190"/>
      <c r="E974" s="37"/>
      <c r="F974" s="40"/>
      <c r="G974" s="40"/>
      <c r="H974" s="7"/>
      <c r="I974" s="301"/>
      <c r="J974" s="808"/>
      <c r="K974" s="606"/>
      <c r="L974" s="39"/>
      <c r="M974" s="607"/>
      <c r="N974" s="39" t="str">
        <f>IF(AND('331-CT'!$E$7=TH!H974,OR(L974="331",M974="331")),"331",IF(AND(OR(L974="131",M974="131"),H974='131-CT'!$E$7),"131",""))</f>
        <v/>
      </c>
      <c r="O974" s="39" t="str">
        <f>IF(AND($B974&gt;='111'!$N$11,$B974&lt;='111'!$O$11,OR($L974=$O$7,$M974=$O$7)),"x","")</f>
        <v/>
      </c>
      <c r="P974" s="39" t="str">
        <f>IF(AND($L974=$O$7,$B974&lt;'111'!$N$11),"x","")</f>
        <v/>
      </c>
      <c r="Q974" s="39" t="str">
        <f>IF(AND($M974=$O$7,$B974&lt;'111'!$N$11),"x","")</f>
        <v/>
      </c>
      <c r="R974" s="39" t="str">
        <f>IF(ISERROR(FIND('112'!$M$9,G974,1)),"",IF((AND(FIND('112'!$M$9,G974,1)&gt;=1,$B974&gt;='112'!$N$8,$B974&lt;='112'!$O$8,OR($L974='112'!$I$6,$M974='112'!$I$6))),"x",""))</f>
        <v/>
      </c>
      <c r="S974" s="39" t="str">
        <f>IF(ISERROR(FIND('112'!$M$9,G974,1)),"",IF((AND(LEFT(G974,2)=LEFT('112'!$M$9,2),B974&lt;'112'!$N$8,$L974='112'!$I$6)),"x",""))</f>
        <v/>
      </c>
      <c r="T974" s="39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39" t="str">
        <f>IF(OR(TH!L974=TH!$V$7,M974=TH!$V$7),"x","")</f>
        <v/>
      </c>
      <c r="W974" s="39" t="str">
        <f>IF(AND(B974&gt;='IN-NX'!$P$3,B974&lt;='IN-NX'!$Q$3,'IN-NX'!$D$7=D974,OR(LEFT(L974,2)="15",AND(LEFT(M974,2)&lt;&gt;"15",LEFT(M974,2)&lt;&gt;"33"))),"x","")</f>
        <v/>
      </c>
      <c r="X974" s="39" t="str">
        <f>IF(AND(OR(LEFT(TH!L974,2)="15",LEFT(TH!M974,2)="15"),'152-CT'!$J$8=TH!F974),"x","")</f>
        <v/>
      </c>
      <c r="Y974" s="39" t="str">
        <f>IF(AND(OR(LEFT(TH!L974,2)="15",LEFT(TH!M974,2)="15"),TK!$E$7=TH!F974),"x","")</f>
        <v/>
      </c>
      <c r="Z974" s="39" t="str">
        <f>IF(AND(B974&lt;=NKC!$N$8,B974&gt;=NKC!$M$8),"x","")</f>
        <v/>
      </c>
      <c r="AA974" s="894"/>
    </row>
    <row r="975" spans="1:27" ht="15.75" customHeight="1">
      <c r="A975" s="199" t="str">
        <f>IF(B975&lt;&gt;"",IF(AND(B975&gt;=_TM1,B975&lt;=_TM2,OR(TH!L975="1111",TH!M975="1111")),TH!D975,""),"")</f>
        <v/>
      </c>
      <c r="B975" s="36" t="str">
        <f t="shared" si="40"/>
        <v/>
      </c>
      <c r="C975" s="190"/>
      <c r="D975" s="190"/>
      <c r="E975" s="37"/>
      <c r="F975" s="188"/>
      <c r="G975" s="40"/>
      <c r="H975" s="7"/>
      <c r="I975" s="301"/>
      <c r="J975" s="808"/>
      <c r="K975" s="606"/>
      <c r="L975" s="39"/>
      <c r="M975" s="607"/>
      <c r="N975" s="39" t="str">
        <f>IF(AND('331-CT'!$E$7=TH!H975,OR(L975="331",M975="331")),"331",IF(AND(OR(L975="131",M975="131"),H975='131-CT'!$E$7),"131",""))</f>
        <v/>
      </c>
      <c r="O975" s="39" t="str">
        <f>IF(AND($B975&gt;='111'!$N$11,$B975&lt;='111'!$O$11,OR($L975=$O$7,$M975=$O$7)),"x","")</f>
        <v/>
      </c>
      <c r="P975" s="39" t="str">
        <f>IF(AND($L975=$O$7,$B975&lt;'111'!$N$11),"x","")</f>
        <v/>
      </c>
      <c r="Q975" s="39" t="str">
        <f>IF(AND($M975=$O$7,$B975&lt;'111'!$N$11),"x","")</f>
        <v/>
      </c>
      <c r="R975" s="39" t="str">
        <f>IF(ISERROR(FIND('112'!$M$9,G975,1)),"",IF((AND(FIND('112'!$M$9,G975,1)&gt;=1,$B975&gt;='112'!$N$8,$B975&lt;='112'!$O$8,OR($L975='112'!$I$6,$M975='112'!$I$6))),"x",""))</f>
        <v/>
      </c>
      <c r="S975" s="39" t="str">
        <f>IF(ISERROR(FIND('112'!$M$9,G975,1)),"",IF((AND(LEFT(G975,2)=LEFT('112'!$M$9,2),B975&lt;'112'!$N$8,$L975='112'!$I$6)),"x",""))</f>
        <v/>
      </c>
      <c r="T975" s="39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39" t="str">
        <f>IF(OR(TH!L975=TH!$V$7,M975=TH!$V$7),"x","")</f>
        <v/>
      </c>
      <c r="W975" s="39" t="str">
        <f>IF(AND(B975&gt;='IN-NX'!$P$3,B975&lt;='IN-NX'!$Q$3,'IN-NX'!$D$7=D975,OR(LEFT(L975,2)="15",AND(LEFT(M975,2)&lt;&gt;"15",LEFT(M975,2)&lt;&gt;"33"))),"x","")</f>
        <v/>
      </c>
      <c r="X975" s="39" t="str">
        <f>IF(AND(OR(LEFT(TH!L975,2)="15",LEFT(TH!M975,2)="15"),'152-CT'!$J$8=TH!F975),"x","")</f>
        <v/>
      </c>
      <c r="Y975" s="39" t="str">
        <f>IF(AND(OR(LEFT(TH!L975,2)="15",LEFT(TH!M975,2)="15"),TK!$E$7=TH!F975),"x","")</f>
        <v/>
      </c>
      <c r="Z975" s="39" t="str">
        <f>IF(AND(B975&lt;=NKC!$N$8,B975&gt;=NKC!$M$8),"x","")</f>
        <v/>
      </c>
      <c r="AA975" s="894"/>
    </row>
    <row r="976" spans="1:27" ht="15.75" customHeight="1">
      <c r="A976" s="199" t="str">
        <f>IF(B976&lt;&gt;"",IF(AND(B976&gt;=_TM1,B976&lt;=_TM2,OR(TH!L976="1111",TH!M976="1111")),TH!D976,""),"")</f>
        <v/>
      </c>
      <c r="B976" s="36" t="str">
        <f t="shared" si="40"/>
        <v/>
      </c>
      <c r="C976" s="190"/>
      <c r="D976" s="190"/>
      <c r="E976" s="37"/>
      <c r="F976" s="188"/>
      <c r="G976" s="40"/>
      <c r="H976" s="7"/>
      <c r="I976" s="301"/>
      <c r="J976" s="808"/>
      <c r="K976" s="606"/>
      <c r="L976" s="39"/>
      <c r="M976" s="607"/>
      <c r="N976" s="39" t="str">
        <f>IF(AND('331-CT'!$E$7=TH!H976,OR(L976="331",M976="331")),"331",IF(AND(OR(L976="131",M976="131"),H976='131-CT'!$E$7),"131",""))</f>
        <v/>
      </c>
      <c r="O976" s="39" t="str">
        <f>IF(AND($B976&gt;='111'!$N$11,$B976&lt;='111'!$O$11,OR($L976=$O$7,$M976=$O$7)),"x","")</f>
        <v/>
      </c>
      <c r="P976" s="39" t="str">
        <f>IF(AND($L976=$O$7,$B976&lt;'111'!$N$11),"x","")</f>
        <v/>
      </c>
      <c r="Q976" s="39" t="str">
        <f>IF(AND($M976=$O$7,$B976&lt;'111'!$N$11),"x","")</f>
        <v/>
      </c>
      <c r="R976" s="39" t="str">
        <f>IF(ISERROR(FIND('112'!$M$9,G976,1)),"",IF((AND(FIND('112'!$M$9,G976,1)&gt;=1,$B976&gt;='112'!$N$8,$B976&lt;='112'!$O$8,OR($L976='112'!$I$6,$M976='112'!$I$6))),"x",""))</f>
        <v/>
      </c>
      <c r="S976" s="39" t="str">
        <f>IF(ISERROR(FIND('112'!$M$9,G976,1)),"",IF((AND(LEFT(G976,2)=LEFT('112'!$M$9,2),B976&lt;'112'!$N$8,$L976='112'!$I$6)),"x",""))</f>
        <v/>
      </c>
      <c r="T976" s="39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39" t="str">
        <f>IF(OR(TH!L976=TH!$V$7,M976=TH!$V$7),"x","")</f>
        <v/>
      </c>
      <c r="W976" s="39" t="str">
        <f>IF(AND(B976&gt;='IN-NX'!$P$3,B976&lt;='IN-NX'!$Q$3,'IN-NX'!$D$7=D976,OR(LEFT(L976,2)="15",AND(LEFT(M976,2)&lt;&gt;"15",LEFT(M976,2)&lt;&gt;"33"))),"x","")</f>
        <v/>
      </c>
      <c r="X976" s="39" t="str">
        <f>IF(AND(OR(LEFT(TH!L976,2)="15",LEFT(TH!M976,2)="15"),'152-CT'!$J$8=TH!F976),"x","")</f>
        <v/>
      </c>
      <c r="Y976" s="39" t="str">
        <f>IF(AND(OR(LEFT(TH!L976,2)="15",LEFT(TH!M976,2)="15"),TK!$E$7=TH!F976),"x","")</f>
        <v/>
      </c>
      <c r="Z976" s="39" t="str">
        <f>IF(AND(B976&lt;=NKC!$N$8,B976&gt;=NKC!$M$8),"x","")</f>
        <v/>
      </c>
      <c r="AA976" s="894"/>
    </row>
    <row r="977" spans="1:30" ht="15.75" customHeight="1">
      <c r="A977" s="199" t="str">
        <f>IF(B977&lt;&gt;"",IF(AND(B977&gt;=_TM1,B977&lt;=_TM2,OR(TH!L977="1111",TH!M977="1111")),TH!D977,""),"")</f>
        <v/>
      </c>
      <c r="B977" s="36" t="str">
        <f t="shared" si="40"/>
        <v/>
      </c>
      <c r="C977" s="190"/>
      <c r="D977" s="190"/>
      <c r="E977" s="37"/>
      <c r="F977" s="188"/>
      <c r="G977" s="40"/>
      <c r="H977" s="7"/>
      <c r="I977" s="301"/>
      <c r="J977" s="808"/>
      <c r="K977" s="606"/>
      <c r="L977" s="39"/>
      <c r="M977" s="607"/>
      <c r="N977" s="39" t="str">
        <f>IF(AND('331-CT'!$E$7=TH!H977,OR(L977="331",M977="331")),"331",IF(AND(OR(L977="131",M977="131"),H977='131-CT'!$E$7),"131",""))</f>
        <v/>
      </c>
      <c r="O977" s="39" t="str">
        <f>IF(AND($B977&gt;='111'!$N$11,$B977&lt;='111'!$O$11,OR($L977=$O$7,$M977=$O$7)),"x","")</f>
        <v/>
      </c>
      <c r="P977" s="39" t="str">
        <f>IF(AND($L977=$O$7,$B977&lt;'111'!$N$11),"x","")</f>
        <v/>
      </c>
      <c r="Q977" s="39" t="str">
        <f>IF(AND($M977=$O$7,$B977&lt;'111'!$N$11),"x","")</f>
        <v/>
      </c>
      <c r="R977" s="39" t="str">
        <f>IF(ISERROR(FIND('112'!$M$9,G977,1)),"",IF((AND(FIND('112'!$M$9,G977,1)&gt;=1,$B977&gt;='112'!$N$8,$B977&lt;='112'!$O$8,OR($L977='112'!$I$6,$M977='112'!$I$6))),"x",""))</f>
        <v/>
      </c>
      <c r="S977" s="39" t="str">
        <f>IF(ISERROR(FIND('112'!$M$9,G977,1)),"",IF((AND(LEFT(G977,2)=LEFT('112'!$M$9,2),B977&lt;'112'!$N$8,$L977='112'!$I$6)),"x",""))</f>
        <v/>
      </c>
      <c r="T977" s="39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39" t="str">
        <f>IF(OR(TH!L977=TH!$V$7,M977=TH!$V$7),"x","")</f>
        <v/>
      </c>
      <c r="W977" s="39" t="str">
        <f>IF(AND(B977&gt;='IN-NX'!$P$3,B977&lt;='IN-NX'!$Q$3,'IN-NX'!$D$7=D977,OR(LEFT(L977,2)="15",AND(LEFT(M977,2)&lt;&gt;"15",LEFT(M977,2)&lt;&gt;"33"))),"x","")</f>
        <v/>
      </c>
      <c r="X977" s="39" t="str">
        <f>IF(AND(OR(LEFT(TH!L977,2)="15",LEFT(TH!M977,2)="15"),'152-CT'!$J$8=TH!F977),"x","")</f>
        <v/>
      </c>
      <c r="Y977" s="39" t="str">
        <f>IF(AND(OR(LEFT(TH!L977,2)="15",LEFT(TH!M977,2)="15"),TK!$E$7=TH!F977),"x","")</f>
        <v/>
      </c>
      <c r="Z977" s="39" t="str">
        <f>IF(AND(B977&lt;=NKC!$N$8,B977&gt;=NKC!$M$8),"x","")</f>
        <v/>
      </c>
      <c r="AA977" s="894"/>
    </row>
    <row r="978" spans="1:30" ht="15.75" customHeight="1">
      <c r="A978" s="199" t="str">
        <f>IF(B978&lt;&gt;"",IF(AND(B978&gt;=_TM1,B978&lt;=_TM2,OR(TH!L978="1111",TH!M978="1111")),TH!D978,""),"")</f>
        <v/>
      </c>
      <c r="B978" s="36" t="str">
        <f t="shared" si="40"/>
        <v/>
      </c>
      <c r="C978" s="190"/>
      <c r="D978" s="190"/>
      <c r="E978" s="37"/>
      <c r="F978" s="188"/>
      <c r="G978" s="40"/>
      <c r="H978" s="7"/>
      <c r="I978" s="301"/>
      <c r="J978" s="808"/>
      <c r="K978" s="606"/>
      <c r="L978" s="39"/>
      <c r="M978" s="607"/>
      <c r="N978" s="39" t="str">
        <f>IF(AND('331-CT'!$E$7=TH!H978,OR(L978="331",M978="331")),"331",IF(AND(OR(L978="131",M978="131"),H978='131-CT'!$E$7),"131",""))</f>
        <v/>
      </c>
      <c r="O978" s="39" t="str">
        <f>IF(AND($B978&gt;='111'!$N$11,$B978&lt;='111'!$O$11,OR($L978=$O$7,$M978=$O$7)),"x","")</f>
        <v/>
      </c>
      <c r="P978" s="39" t="str">
        <f>IF(AND($L978=$O$7,$B978&lt;'111'!$N$11),"x","")</f>
        <v/>
      </c>
      <c r="Q978" s="39" t="str">
        <f>IF(AND($M978=$O$7,$B978&lt;'111'!$N$11),"x","")</f>
        <v/>
      </c>
      <c r="R978" s="39" t="str">
        <f>IF(ISERROR(FIND('112'!$M$9,G978,1)),"",IF((AND(FIND('112'!$M$9,G978,1)&gt;=1,$B978&gt;='112'!$N$8,$B978&lt;='112'!$O$8,OR($L978='112'!$I$6,$M978='112'!$I$6))),"x",""))</f>
        <v/>
      </c>
      <c r="S978" s="39" t="str">
        <f>IF(ISERROR(FIND('112'!$M$9,G978,1)),"",IF((AND(LEFT(G978,2)=LEFT('112'!$M$9,2),B978&lt;'112'!$N$8,$L978='112'!$I$6)),"x",""))</f>
        <v/>
      </c>
      <c r="T978" s="39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39" t="str">
        <f>IF(OR(TH!L978=TH!$V$7,M978=TH!$V$7),"x","")</f>
        <v/>
      </c>
      <c r="W978" s="39" t="str">
        <f>IF(AND(B978&gt;='IN-NX'!$P$3,B978&lt;='IN-NX'!$Q$3,'IN-NX'!$D$7=D978,OR(LEFT(L978,2)="15",AND(LEFT(M978,2)&lt;&gt;"15",LEFT(M978,2)&lt;&gt;"33"))),"x","")</f>
        <v/>
      </c>
      <c r="X978" s="39" t="str">
        <f>IF(AND(OR(LEFT(TH!L978,2)="15",LEFT(TH!M978,2)="15"),'152-CT'!$J$8=TH!F978),"x","")</f>
        <v/>
      </c>
      <c r="Y978" s="39" t="str">
        <f>IF(AND(OR(LEFT(TH!L978,2)="15",LEFT(TH!M978,2)="15"),TK!$E$7=TH!F978),"x","")</f>
        <v/>
      </c>
      <c r="Z978" s="39" t="str">
        <f>IF(AND(B978&lt;=NKC!$N$8,B978&gt;=NKC!$M$8),"x","")</f>
        <v/>
      </c>
      <c r="AA978" s="894"/>
    </row>
    <row r="979" spans="1:30" ht="15.75" customHeight="1">
      <c r="A979" s="199" t="str">
        <f>IF(B979&lt;&gt;"",IF(AND(B979&gt;=_TM1,B979&lt;=_TM2,OR(TH!L979="1111",TH!M979="1111")),TH!D979,""),"")</f>
        <v/>
      </c>
      <c r="B979" s="36" t="str">
        <f t="shared" si="40"/>
        <v/>
      </c>
      <c r="C979" s="190"/>
      <c r="D979" s="190"/>
      <c r="E979" s="37"/>
      <c r="F979" s="191"/>
      <c r="G979" s="40"/>
      <c r="H979" s="7"/>
      <c r="I979" s="301"/>
      <c r="J979" s="850"/>
      <c r="K979" s="606"/>
      <c r="L979" s="39"/>
      <c r="M979" s="607"/>
      <c r="N979" s="39" t="str">
        <f>IF(AND('331-CT'!$E$7=TH!H979,OR(L979="331",M979="331")),"331",IF(AND(OR(L979="131",M979="131"),H979='131-CT'!$E$7),"131",""))</f>
        <v/>
      </c>
      <c r="O979" s="39" t="str">
        <f>IF(AND($B979&gt;='111'!$N$11,$B979&lt;='111'!$O$11,OR($L979=$O$7,$M979=$O$7)),"x","")</f>
        <v/>
      </c>
      <c r="P979" s="39" t="str">
        <f>IF(AND($L979=$O$7,$B979&lt;'111'!$N$11),"x","")</f>
        <v/>
      </c>
      <c r="Q979" s="39" t="str">
        <f>IF(AND($M979=$O$7,$B979&lt;'111'!$N$11),"x","")</f>
        <v/>
      </c>
      <c r="R979" s="39" t="str">
        <f>IF(ISERROR(FIND('112'!$M$9,G979,1)),"",IF((AND(FIND('112'!$M$9,G979,1)&gt;=1,$B979&gt;='112'!$N$8,$B979&lt;='112'!$O$8,OR($L979='112'!$I$6,$M979='112'!$I$6))),"x",""))</f>
        <v/>
      </c>
      <c r="S979" s="39" t="str">
        <f>IF(ISERROR(FIND('112'!$M$9,G979,1)),"",IF((AND(LEFT(G979,2)=LEFT('112'!$M$9,2),B979&lt;'112'!$N$8,$L979='112'!$I$6)),"x",""))</f>
        <v/>
      </c>
      <c r="T979" s="39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39" t="str">
        <f>IF(OR(TH!L979=TH!$V$7,M979=TH!$V$7),"x","")</f>
        <v/>
      </c>
      <c r="W979" s="39" t="str">
        <f>IF(AND(B979&gt;='IN-NX'!$P$3,B979&lt;='IN-NX'!$Q$3,'IN-NX'!$D$7=D979,OR(LEFT(L979,2)="15",AND(LEFT(M979,2)&lt;&gt;"15",LEFT(M979,2)&lt;&gt;"33"))),"x","")</f>
        <v/>
      </c>
      <c r="X979" s="39" t="str">
        <f>IF(AND(OR(LEFT(TH!L979,2)="15",LEFT(TH!M979,2)="15"),'152-CT'!$J$8=TH!F979),"x","")</f>
        <v/>
      </c>
      <c r="Y979" s="39" t="str">
        <f>IF(AND(OR(LEFT(TH!L979,2)="15",LEFT(TH!M979,2)="15"),TK!$E$7=TH!F979),"x","")</f>
        <v/>
      </c>
      <c r="Z979" s="39" t="str">
        <f>IF(AND(B979&lt;=NKC!$N$8,B979&gt;=NKC!$M$8),"x","")</f>
        <v/>
      </c>
      <c r="AA979" s="894"/>
    </row>
    <row r="980" spans="1:30" ht="15.75" customHeight="1">
      <c r="A980" s="199" t="str">
        <f>IF(B980&lt;&gt;"",IF(AND(B980&gt;=_TM1,B980&lt;=_TM2,OR(TH!L980="1111",TH!M980="1111")),TH!D980,""),"")</f>
        <v/>
      </c>
      <c r="B980" s="36" t="str">
        <f t="shared" si="40"/>
        <v/>
      </c>
      <c r="C980" s="190"/>
      <c r="D980" s="190"/>
      <c r="E980" s="37"/>
      <c r="F980" s="188"/>
      <c r="G980" s="40"/>
      <c r="H980" s="7"/>
      <c r="I980" s="301"/>
      <c r="J980" s="806"/>
      <c r="K980" s="606"/>
      <c r="L980" s="39"/>
      <c r="M980" s="607"/>
      <c r="N980" s="39" t="str">
        <f>IF(AND('331-CT'!$E$7=TH!H980,OR(L980="331",M980="331")),"331",IF(AND(OR(L980="131",M980="131"),H980='131-CT'!$E$7),"131",""))</f>
        <v/>
      </c>
      <c r="O980" s="39" t="str">
        <f>IF(AND($B980&gt;='111'!$N$11,$B980&lt;='111'!$O$11,OR($L980=$O$7,$M980=$O$7)),"x","")</f>
        <v/>
      </c>
      <c r="P980" s="39" t="str">
        <f>IF(AND($L980=$O$7,$B980&lt;'111'!$N$11),"x","")</f>
        <v/>
      </c>
      <c r="Q980" s="39" t="str">
        <f>IF(AND($M980=$O$7,$B980&lt;'111'!$N$11),"x","")</f>
        <v/>
      </c>
      <c r="R980" s="39" t="str">
        <f>IF(ISERROR(FIND('112'!$M$9,G980,1)),"",IF((AND(FIND('112'!$M$9,G980,1)&gt;=1,$B980&gt;='112'!$N$8,$B980&lt;='112'!$O$8,OR($L980='112'!$I$6,$M980='112'!$I$6))),"x",""))</f>
        <v/>
      </c>
      <c r="S980" s="39" t="str">
        <f>IF(ISERROR(FIND('112'!$M$9,G980,1)),"",IF((AND(LEFT(G980,2)=LEFT('112'!$M$9,2),B980&lt;'112'!$N$8,$L980='112'!$I$6)),"x",""))</f>
        <v/>
      </c>
      <c r="T980" s="39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39" t="str">
        <f>IF(OR(TH!L980=TH!$V$7,M980=TH!$V$7),"x","")</f>
        <v/>
      </c>
      <c r="W980" s="39" t="str">
        <f>IF(AND(B980&gt;='IN-NX'!$P$3,B980&lt;='IN-NX'!$Q$3,'IN-NX'!$D$7=D980,OR(LEFT(L980,2)="15",AND(LEFT(M980,2)&lt;&gt;"15",LEFT(M980,2)&lt;&gt;"33"))),"x","")</f>
        <v/>
      </c>
      <c r="X980" s="39" t="str">
        <f>IF(AND(OR(LEFT(TH!L980,2)="15",LEFT(TH!M980,2)="15"),'152-CT'!$J$8=TH!F980),"x","")</f>
        <v/>
      </c>
      <c r="Y980" s="39" t="str">
        <f>IF(AND(OR(LEFT(TH!L980,2)="15",LEFT(TH!M980,2)="15"),TK!$E$7=TH!F980),"x","")</f>
        <v/>
      </c>
      <c r="Z980" s="39" t="str">
        <f>IF(AND(B980&lt;=NKC!$N$8,B980&gt;=NKC!$M$8),"x","")</f>
        <v/>
      </c>
      <c r="AA980" s="894"/>
    </row>
    <row r="981" spans="1:30" ht="15.75" customHeight="1">
      <c r="A981" s="199" t="str">
        <f>IF(B981&lt;&gt;"",IF(AND(B981&gt;=_TM1,B981&lt;=_TM2,OR(TH!L981="1111",TH!M981="1111")),TH!D981,""),"")</f>
        <v/>
      </c>
      <c r="B981" s="36" t="str">
        <f t="shared" si="40"/>
        <v/>
      </c>
      <c r="C981" s="190"/>
      <c r="D981" s="190"/>
      <c r="E981" s="37"/>
      <c r="F981" s="293"/>
      <c r="G981" s="40"/>
      <c r="H981" s="7"/>
      <c r="I981" s="301"/>
      <c r="J981" s="808"/>
      <c r="K981" s="606"/>
      <c r="L981" s="39"/>
      <c r="M981" s="607"/>
      <c r="N981" s="39" t="str">
        <f>IF(AND('331-CT'!$E$7=TH!H981,OR(L981="331",M981="331")),"331",IF(AND(OR(L981="131",M981="131"),H981='131-CT'!$E$7),"131",""))</f>
        <v/>
      </c>
      <c r="O981" s="39" t="str">
        <f>IF(AND($B981&gt;='111'!$N$11,$B981&lt;='111'!$O$11,OR($L981=$O$7,$M981=$O$7)),"x","")</f>
        <v/>
      </c>
      <c r="P981" s="39" t="str">
        <f>IF(AND($L981=$O$7,$B981&lt;'111'!$N$11),"x","")</f>
        <v/>
      </c>
      <c r="Q981" s="39" t="str">
        <f>IF(AND($M981=$O$7,$B981&lt;'111'!$N$11),"x","")</f>
        <v/>
      </c>
      <c r="R981" s="39" t="str">
        <f>IF(ISERROR(FIND('112'!$M$9,G981,1)),"",IF((AND(FIND('112'!$M$9,G981,1)&gt;=1,$B981&gt;='112'!$N$8,$B981&lt;='112'!$O$8,OR($L981='112'!$I$6,$M981='112'!$I$6))),"x",""))</f>
        <v/>
      </c>
      <c r="S981" s="39" t="str">
        <f>IF(ISERROR(FIND('112'!$M$9,G981,1)),"",IF((AND(LEFT(G981,2)=LEFT('112'!$M$9,2),B981&lt;'112'!$N$8,$L981='112'!$I$6)),"x",""))</f>
        <v/>
      </c>
      <c r="T981" s="39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39" t="str">
        <f>IF(OR(TH!L981=TH!$V$7,M981=TH!$V$7),"x","")</f>
        <v/>
      </c>
      <c r="W981" s="39" t="str">
        <f>IF(AND(B981&gt;='IN-NX'!$P$3,B981&lt;='IN-NX'!$Q$3,'IN-NX'!$D$7=D981,OR(LEFT(L981,2)="15",AND(LEFT(M981,2)&lt;&gt;"15",LEFT(M981,2)&lt;&gt;"33"))),"x","")</f>
        <v/>
      </c>
      <c r="X981" s="39" t="str">
        <f>IF(AND(OR(LEFT(TH!L981,2)="15",LEFT(TH!M981,2)="15"),'152-CT'!$J$8=TH!F981),"x","")</f>
        <v/>
      </c>
      <c r="Y981" s="39" t="str">
        <f>IF(AND(OR(LEFT(TH!L981,2)="15",LEFT(TH!M981,2)="15"),TK!$E$7=TH!F981),"x","")</f>
        <v/>
      </c>
      <c r="Z981" s="39" t="str">
        <f>IF(AND(B981&lt;=NKC!$N$8,B981&gt;=NKC!$M$8),"x","")</f>
        <v/>
      </c>
      <c r="AA981" s="894"/>
    </row>
    <row r="982" spans="1:30" ht="15.75" customHeight="1">
      <c r="A982" s="199" t="str">
        <f>IF(B982&lt;&gt;"",IF(AND(B982&gt;=_TM1,B982&lt;=_TM2,OR(TH!L982="1111",TH!M982="1111")),TH!D982,""),"")</f>
        <v/>
      </c>
      <c r="B982" s="36" t="str">
        <f t="shared" si="40"/>
        <v/>
      </c>
      <c r="C982" s="190"/>
      <c r="D982" s="190"/>
      <c r="E982" s="37"/>
      <c r="F982" s="188"/>
      <c r="G982" s="40"/>
      <c r="H982" s="7"/>
      <c r="I982" s="301"/>
      <c r="J982" s="832"/>
      <c r="K982" s="606"/>
      <c r="L982" s="39"/>
      <c r="M982" s="607"/>
      <c r="N982" s="39" t="str">
        <f>IF(AND('331-CT'!$E$7=TH!H982,OR(L982="331",M982="331")),"331",IF(AND(OR(L982="131",M982="131"),H982='131-CT'!$E$7),"131",""))</f>
        <v/>
      </c>
      <c r="O982" s="39" t="str">
        <f>IF(AND($B982&gt;='111'!$N$11,$B982&lt;='111'!$O$11,OR($L982=$O$7,$M982=$O$7)),"x","")</f>
        <v/>
      </c>
      <c r="P982" s="39" t="str">
        <f>IF(AND($L982=$O$7,$B982&lt;'111'!$N$11),"x","")</f>
        <v/>
      </c>
      <c r="Q982" s="39" t="str">
        <f>IF(AND($M982=$O$7,$B982&lt;'111'!$N$11),"x","")</f>
        <v/>
      </c>
      <c r="R982" s="39" t="str">
        <f>IF(ISERROR(FIND('112'!$M$9,G982,1)),"",IF((AND(FIND('112'!$M$9,G982,1)&gt;=1,$B982&gt;='112'!$N$8,$B982&lt;='112'!$O$8,OR($L982='112'!$I$6,$M982='112'!$I$6))),"x",""))</f>
        <v/>
      </c>
      <c r="S982" s="39" t="str">
        <f>IF(ISERROR(FIND('112'!$M$9,G982,1)),"",IF((AND(LEFT(G982,2)=LEFT('112'!$M$9,2),B982&lt;'112'!$N$8,$L982='112'!$I$6)),"x",""))</f>
        <v/>
      </c>
      <c r="T982" s="39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39" t="str">
        <f>IF(OR(TH!L982=TH!$V$7,M982=TH!$V$7),"x","")</f>
        <v/>
      </c>
      <c r="W982" s="39" t="str">
        <f>IF(AND(B982&gt;='IN-NX'!$P$3,B982&lt;='IN-NX'!$Q$3,'IN-NX'!$D$7=D982,OR(LEFT(L982,2)="15",AND(LEFT(M982,2)&lt;&gt;"15",LEFT(M982,2)&lt;&gt;"33"))),"x","")</f>
        <v/>
      </c>
      <c r="X982" s="39" t="str">
        <f>IF(AND(OR(LEFT(TH!L982,2)="15",LEFT(TH!M982,2)="15"),'152-CT'!$J$8=TH!F982),"x","")</f>
        <v/>
      </c>
      <c r="Y982" s="39" t="str">
        <f>IF(AND(OR(LEFT(TH!L982,2)="15",LEFT(TH!M982,2)="15"),TK!$E$7=TH!F982),"x","")</f>
        <v/>
      </c>
      <c r="Z982" s="39" t="str">
        <f>IF(AND(B982&lt;=NKC!$N$8,B982&gt;=NKC!$M$8),"x","")</f>
        <v/>
      </c>
      <c r="AA982" s="894"/>
    </row>
    <row r="983" spans="1:30" ht="15.75" customHeight="1">
      <c r="A983" s="199" t="str">
        <f>IF(B983&lt;&gt;"",IF(AND(B983&gt;=_TM1,B983&lt;=_TM2,OR(TH!L983="1111",TH!M983="1111")),TH!D983,""),"")</f>
        <v/>
      </c>
      <c r="B983" s="36" t="str">
        <f t="shared" si="40"/>
        <v/>
      </c>
      <c r="C983" s="190"/>
      <c r="D983" s="190"/>
      <c r="E983" s="37"/>
      <c r="F983" s="293"/>
      <c r="G983" s="40"/>
      <c r="H983" s="7"/>
      <c r="I983" s="301"/>
      <c r="J983" s="806"/>
      <c r="K983" s="606"/>
      <c r="L983" s="39"/>
      <c r="M983" s="607"/>
      <c r="N983" s="39" t="str">
        <f>IF(AND('331-CT'!$E$7=TH!H983,OR(L983="331",M983="331")),"331",IF(AND(OR(L983="131",M983="131"),H983='131-CT'!$E$7),"131",""))</f>
        <v/>
      </c>
      <c r="O983" s="39" t="str">
        <f>IF(AND($B983&gt;='111'!$N$11,$B983&lt;='111'!$O$11,OR($L983=$O$7,$M983=$O$7)),"x","")</f>
        <v/>
      </c>
      <c r="P983" s="39" t="str">
        <f>IF(AND($L983=$O$7,$B983&lt;'111'!$N$11),"x","")</f>
        <v/>
      </c>
      <c r="Q983" s="39" t="str">
        <f>IF(AND($M983=$O$7,$B983&lt;'111'!$N$11),"x","")</f>
        <v/>
      </c>
      <c r="R983" s="39" t="str">
        <f>IF(ISERROR(FIND('112'!$M$9,G983,1)),"",IF((AND(FIND('112'!$M$9,G983,1)&gt;=1,$B983&gt;='112'!$N$8,$B983&lt;='112'!$O$8,OR($L983='112'!$I$6,$M983='112'!$I$6))),"x",""))</f>
        <v/>
      </c>
      <c r="S983" s="39" t="str">
        <f>IF(ISERROR(FIND('112'!$M$9,G983,1)),"",IF((AND(LEFT(G983,2)=LEFT('112'!$M$9,2),B983&lt;'112'!$N$8,$L983='112'!$I$6)),"x",""))</f>
        <v/>
      </c>
      <c r="T983" s="39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39" t="str">
        <f>IF(OR(TH!L983=TH!$V$7,M983=TH!$V$7),"x","")</f>
        <v/>
      </c>
      <c r="W983" s="39" t="str">
        <f>IF(AND(B983&gt;='IN-NX'!$P$3,B983&lt;='IN-NX'!$Q$3,'IN-NX'!$D$7=D983,OR(LEFT(L983,2)="15",AND(LEFT(M983,2)&lt;&gt;"15",LEFT(M983,2)&lt;&gt;"33"))),"x","")</f>
        <v/>
      </c>
      <c r="X983" s="39" t="str">
        <f>IF(AND(OR(LEFT(TH!L983,2)="15",LEFT(TH!M983,2)="15"),'152-CT'!$J$8=TH!F983),"x","")</f>
        <v/>
      </c>
      <c r="Y983" s="39" t="str">
        <f>IF(AND(OR(LEFT(TH!L983,2)="15",LEFT(TH!M983,2)="15"),TK!$E$7=TH!F983),"x","")</f>
        <v/>
      </c>
      <c r="Z983" s="39" t="str">
        <f>IF(AND(B983&lt;=NKC!$N$8,B983&gt;=NKC!$M$8),"x","")</f>
        <v/>
      </c>
      <c r="AA983" s="894"/>
    </row>
    <row r="984" spans="1:30" ht="15.75" customHeight="1">
      <c r="A984" s="199" t="str">
        <f>IF(B984&lt;&gt;"",IF(AND(B984&gt;=_TM1,B984&lt;=_TM2,OR(TH!L984="1111",TH!M984="1111")),TH!D984,""),"")</f>
        <v/>
      </c>
      <c r="B984" s="36" t="str">
        <f t="shared" si="40"/>
        <v/>
      </c>
      <c r="C984" s="190"/>
      <c r="D984" s="190"/>
      <c r="E984" s="37"/>
      <c r="F984" s="293"/>
      <c r="G984" s="40"/>
      <c r="H984" s="7"/>
      <c r="I984" s="301"/>
      <c r="J984" s="808"/>
      <c r="K984" s="606"/>
      <c r="L984" s="39"/>
      <c r="M984" s="607"/>
      <c r="N984" s="39" t="str">
        <f>IF(AND('331-CT'!$E$7=TH!H984,OR(L984="331",M984="331")),"331",IF(AND(OR(L984="131",M984="131"),H984='131-CT'!$E$7),"131",""))</f>
        <v/>
      </c>
      <c r="O984" s="39" t="str">
        <f>IF(AND($B984&gt;='111'!$N$11,$B984&lt;='111'!$O$11,OR($L984=$O$7,$M984=$O$7)),"x","")</f>
        <v/>
      </c>
      <c r="P984" s="39" t="str">
        <f>IF(AND($L984=$O$7,$B984&lt;'111'!$N$11),"x","")</f>
        <v/>
      </c>
      <c r="Q984" s="39" t="str">
        <f>IF(AND($M984=$O$7,$B984&lt;'111'!$N$11),"x","")</f>
        <v/>
      </c>
      <c r="R984" s="39" t="str">
        <f>IF(ISERROR(FIND('112'!$M$9,G984,1)),"",IF((AND(FIND('112'!$M$9,G984,1)&gt;=1,$B984&gt;='112'!$N$8,$B984&lt;='112'!$O$8,OR($L984='112'!$I$6,$M984='112'!$I$6))),"x",""))</f>
        <v/>
      </c>
      <c r="S984" s="39" t="str">
        <f>IF(ISERROR(FIND('112'!$M$9,G984,1)),"",IF((AND(LEFT(G984,2)=LEFT('112'!$M$9,2),B984&lt;'112'!$N$8,$L984='112'!$I$6)),"x",""))</f>
        <v/>
      </c>
      <c r="T984" s="39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39" t="str">
        <f>IF(OR(TH!L984=TH!$V$7,M984=TH!$V$7),"x","")</f>
        <v/>
      </c>
      <c r="W984" s="39" t="str">
        <f>IF(AND(B984&gt;='IN-NX'!$P$3,B984&lt;='IN-NX'!$Q$3,'IN-NX'!$D$7=D984,OR(LEFT(L984,2)="15",AND(LEFT(M984,2)&lt;&gt;"15",LEFT(M984,2)&lt;&gt;"33"))),"x","")</f>
        <v/>
      </c>
      <c r="X984" s="39" t="str">
        <f>IF(AND(OR(LEFT(TH!L984,2)="15",LEFT(TH!M984,2)="15"),'152-CT'!$J$8=TH!F984),"x","")</f>
        <v/>
      </c>
      <c r="Y984" s="39" t="str">
        <f>IF(AND(OR(LEFT(TH!L984,2)="15",LEFT(TH!M984,2)="15"),TK!$E$7=TH!F984),"x","")</f>
        <v/>
      </c>
      <c r="Z984" s="39" t="str">
        <f>IF(AND(B984&lt;=NKC!$N$8,B984&gt;=NKC!$M$8),"x","")</f>
        <v/>
      </c>
      <c r="AA984" s="894"/>
    </row>
    <row r="985" spans="1:30" ht="15.75" customHeight="1">
      <c r="A985" s="199" t="str">
        <f>IF(B985&lt;&gt;"",IF(AND(B985&gt;=_TM1,B985&lt;=_TM2,OR(TH!L985="1111",TH!M985="1111")),TH!D985,""),"")</f>
        <v/>
      </c>
      <c r="B985" s="36" t="str">
        <f t="shared" ref="B985:B1048" si="41">IF(C985&lt;&gt;"",MONTH(C985),"")</f>
        <v/>
      </c>
      <c r="C985" s="190"/>
      <c r="D985" s="190"/>
      <c r="E985" s="37"/>
      <c r="F985" s="293"/>
      <c r="G985" s="40"/>
      <c r="H985" s="7"/>
      <c r="I985" s="301"/>
      <c r="J985" s="808"/>
      <c r="K985" s="606"/>
      <c r="L985" s="39"/>
      <c r="M985" s="607"/>
      <c r="N985" s="39" t="str">
        <f>IF(AND('331-CT'!$E$7=TH!H985,OR(L985="331",M985="331")),"331",IF(AND(OR(L985="131",M985="131"),H985='131-CT'!$E$7),"131",""))</f>
        <v/>
      </c>
      <c r="O985" s="39" t="str">
        <f>IF(AND($B985&gt;='111'!$N$11,$B985&lt;='111'!$O$11,OR($L985=$O$7,$M985=$O$7)),"x","")</f>
        <v/>
      </c>
      <c r="P985" s="39" t="str">
        <f>IF(AND($L985=$O$7,$B985&lt;'111'!$N$11),"x","")</f>
        <v/>
      </c>
      <c r="Q985" s="39" t="str">
        <f>IF(AND($M985=$O$7,$B985&lt;'111'!$N$11),"x","")</f>
        <v/>
      </c>
      <c r="R985" s="39" t="str">
        <f>IF(ISERROR(FIND('112'!$M$9,G985,1)),"",IF((AND(FIND('112'!$M$9,G985,1)&gt;=1,$B985&gt;='112'!$N$8,$B985&lt;='112'!$O$8,OR($L985='112'!$I$6,$M985='112'!$I$6))),"x",""))</f>
        <v/>
      </c>
      <c r="S985" s="39" t="str">
        <f>IF(ISERROR(FIND('112'!$M$9,G985,1)),"",IF((AND(LEFT(G985,2)=LEFT('112'!$M$9,2),B985&lt;'112'!$N$8,$L985='112'!$I$6)),"x",""))</f>
        <v/>
      </c>
      <c r="T985" s="39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39" t="str">
        <f>IF(OR(TH!L985=TH!$V$7,M985=TH!$V$7),"x","")</f>
        <v/>
      </c>
      <c r="W985" s="39" t="str">
        <f>IF(AND(B985&gt;='IN-NX'!$P$3,B985&lt;='IN-NX'!$Q$3,'IN-NX'!$D$7=D985,OR(LEFT(L985,2)="15",AND(LEFT(M985,2)&lt;&gt;"15",LEFT(M985,2)&lt;&gt;"33"))),"x","")</f>
        <v/>
      </c>
      <c r="X985" s="39" t="str">
        <f>IF(AND(OR(LEFT(TH!L985,2)="15",LEFT(TH!M985,2)="15"),'152-CT'!$J$8=TH!F985),"x","")</f>
        <v/>
      </c>
      <c r="Y985" s="39" t="str">
        <f>IF(AND(OR(LEFT(TH!L985,2)="15",LEFT(TH!M985,2)="15"),TK!$E$7=TH!F985),"x","")</f>
        <v/>
      </c>
      <c r="Z985" s="39" t="str">
        <f>IF(AND(B985&lt;=NKC!$N$8,B985&gt;=NKC!$M$8),"x","")</f>
        <v/>
      </c>
      <c r="AA985" s="894"/>
    </row>
    <row r="986" spans="1:30" ht="15.75" customHeight="1">
      <c r="A986" s="199" t="str">
        <f>IF(B986&lt;&gt;"",IF(AND(B986&gt;=_TM1,B986&lt;=_TM2,OR(TH!L986="1111",TH!M986="1111")),TH!D986,""),"")</f>
        <v/>
      </c>
      <c r="B986" s="36" t="str">
        <f t="shared" si="41"/>
        <v/>
      </c>
      <c r="C986" s="190"/>
      <c r="D986" s="190"/>
      <c r="E986" s="37"/>
      <c r="F986" s="40"/>
      <c r="G986" s="40"/>
      <c r="H986" s="7"/>
      <c r="I986" s="301"/>
      <c r="J986" s="808"/>
      <c r="K986" s="606"/>
      <c r="L986" s="39"/>
      <c r="M986" s="607"/>
      <c r="N986" s="39" t="str">
        <f>IF(AND('331-CT'!$E$7=TH!H986,OR(L986="331",M986="331")),"331",IF(AND(OR(L986="131",M986="131"),H986='131-CT'!$E$7),"131",""))</f>
        <v/>
      </c>
      <c r="O986" s="39" t="str">
        <f>IF(AND($B986&gt;='111'!$N$11,$B986&lt;='111'!$O$11,OR($L986=$O$7,$M986=$O$7)),"x","")</f>
        <v/>
      </c>
      <c r="P986" s="39" t="str">
        <f>IF(AND($L986=$O$7,$B986&lt;'111'!$N$11),"x","")</f>
        <v/>
      </c>
      <c r="Q986" s="39" t="str">
        <f>IF(AND($M986=$O$7,$B986&lt;'111'!$N$11),"x","")</f>
        <v/>
      </c>
      <c r="R986" s="39" t="str">
        <f>IF(ISERROR(FIND('112'!$M$9,G986,1)),"",IF((AND(FIND('112'!$M$9,G986,1)&gt;=1,$B986&gt;='112'!$N$8,$B986&lt;='112'!$O$8,OR($L986='112'!$I$6,$M986='112'!$I$6))),"x",""))</f>
        <v/>
      </c>
      <c r="S986" s="39" t="str">
        <f>IF(ISERROR(FIND('112'!$M$9,G986,1)),"",IF((AND(LEFT(G986,2)=LEFT('112'!$M$9,2),B986&lt;'112'!$N$8,$L986='112'!$I$6)),"x",""))</f>
        <v/>
      </c>
      <c r="T986" s="39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39" t="str">
        <f>IF(OR(TH!L986=TH!$V$7,M986=TH!$V$7),"x","")</f>
        <v/>
      </c>
      <c r="W986" s="39" t="str">
        <f>IF(AND(B986&gt;='IN-NX'!$P$3,B986&lt;='IN-NX'!$Q$3,'IN-NX'!$D$7=D986,OR(LEFT(L986,2)="15",AND(LEFT(M986,2)&lt;&gt;"15",LEFT(M986,2)&lt;&gt;"33"))),"x","")</f>
        <v/>
      </c>
      <c r="X986" s="39" t="str">
        <f>IF(AND(OR(LEFT(TH!L986,2)="15",LEFT(TH!M986,2)="15"),'152-CT'!$J$8=TH!F986),"x","")</f>
        <v/>
      </c>
      <c r="Y986" s="39" t="str">
        <f>IF(AND(OR(LEFT(TH!L986,2)="15",LEFT(TH!M986,2)="15"),TK!$E$7=TH!F986),"x","")</f>
        <v/>
      </c>
      <c r="Z986" s="39" t="str">
        <f>IF(AND(B986&lt;=NKC!$N$8,B986&gt;=NKC!$M$8),"x","")</f>
        <v/>
      </c>
      <c r="AA986" s="894"/>
    </row>
    <row r="987" spans="1:30" ht="15.75" customHeight="1">
      <c r="A987" s="199" t="str">
        <f>IF(B987&lt;&gt;"",IF(AND(B987&gt;=_TM1,B987&lt;=_TM2,OR(TH!L987="1111",TH!M987="1111")),TH!D987,""),"")</f>
        <v/>
      </c>
      <c r="B987" s="36" t="str">
        <f t="shared" si="41"/>
        <v/>
      </c>
      <c r="C987" s="190"/>
      <c r="D987" s="190"/>
      <c r="E987" s="37"/>
      <c r="F987" s="293"/>
      <c r="G987" s="40"/>
      <c r="H987" s="7"/>
      <c r="I987" s="301"/>
      <c r="J987" s="808"/>
      <c r="K987" s="606"/>
      <c r="L987" s="39"/>
      <c r="M987" s="607"/>
      <c r="N987" s="39" t="str">
        <f>IF(AND('331-CT'!$E$7=TH!H987,OR(L987="331",M987="331")),"331",IF(AND(OR(L987="131",M987="131"),H987='131-CT'!$E$7),"131",""))</f>
        <v/>
      </c>
      <c r="O987" s="39" t="str">
        <f>IF(AND($B987&gt;='111'!$N$11,$B987&lt;='111'!$O$11,OR($L987=$O$7,$M987=$O$7)),"x","")</f>
        <v/>
      </c>
      <c r="P987" s="39" t="str">
        <f>IF(AND($L987=$O$7,$B987&lt;'111'!$N$11),"x","")</f>
        <v/>
      </c>
      <c r="Q987" s="39" t="str">
        <f>IF(AND($M987=$O$7,$B987&lt;'111'!$N$11),"x","")</f>
        <v/>
      </c>
      <c r="R987" s="39" t="str">
        <f>IF(ISERROR(FIND('112'!$M$9,G987,1)),"",IF((AND(FIND('112'!$M$9,G987,1)&gt;=1,$B987&gt;='112'!$N$8,$B987&lt;='112'!$O$8,OR($L987='112'!$I$6,$M987='112'!$I$6))),"x",""))</f>
        <v/>
      </c>
      <c r="S987" s="39" t="str">
        <f>IF(ISERROR(FIND('112'!$M$9,G987,1)),"",IF((AND(LEFT(G987,2)=LEFT('112'!$M$9,2),B987&lt;'112'!$N$8,$L987='112'!$I$6)),"x",""))</f>
        <v/>
      </c>
      <c r="T987" s="39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39" t="str">
        <f>IF(OR(TH!L987=TH!$V$7,M987=TH!$V$7),"x","")</f>
        <v/>
      </c>
      <c r="W987" s="39" t="str">
        <f>IF(AND(B987&gt;='IN-NX'!$P$3,B987&lt;='IN-NX'!$Q$3,'IN-NX'!$D$7=D987,OR(LEFT(L987,2)="15",AND(LEFT(M987,2)&lt;&gt;"15",LEFT(M987,2)&lt;&gt;"33"))),"x","")</f>
        <v/>
      </c>
      <c r="X987" s="39" t="str">
        <f>IF(AND(OR(LEFT(TH!L987,2)="15",LEFT(TH!M987,2)="15"),'152-CT'!$J$8=TH!F987),"x","")</f>
        <v/>
      </c>
      <c r="Y987" s="39" t="str">
        <f>IF(AND(OR(LEFT(TH!L987,2)="15",LEFT(TH!M987,2)="15"),TK!$E$7=TH!F987),"x","")</f>
        <v/>
      </c>
      <c r="Z987" s="39" t="str">
        <f>IF(AND(B987&lt;=NKC!$N$8,B987&gt;=NKC!$M$8),"x","")</f>
        <v/>
      </c>
      <c r="AA987" s="894"/>
    </row>
    <row r="988" spans="1:30" ht="15.75" customHeight="1">
      <c r="A988" s="199" t="str">
        <f>IF(B988&lt;&gt;"",IF(AND(B988&gt;=_TM1,B988&lt;=_TM2,OR(TH!L988="1111",TH!M988="1111")),TH!D988,""),"")</f>
        <v/>
      </c>
      <c r="B988" s="36" t="str">
        <f t="shared" si="41"/>
        <v/>
      </c>
      <c r="C988" s="190"/>
      <c r="D988" s="190"/>
      <c r="E988" s="37"/>
      <c r="F988" s="293"/>
      <c r="G988" s="40"/>
      <c r="H988" s="7"/>
      <c r="I988" s="301"/>
      <c r="J988" s="753"/>
      <c r="K988" s="606"/>
      <c r="L988" s="39"/>
      <c r="M988" s="607"/>
      <c r="N988" s="39" t="str">
        <f>IF(AND('331-CT'!$E$7=TH!H988,OR(L988="331",M988="331")),"331",IF(AND(OR(L988="131",M988="131"),H988='131-CT'!$E$7),"131",""))</f>
        <v/>
      </c>
      <c r="O988" s="39" t="str">
        <f>IF(AND($B988&gt;='111'!$N$11,$B988&lt;='111'!$O$11,OR($L988=$O$7,$M988=$O$7)),"x","")</f>
        <v/>
      </c>
      <c r="P988" s="39" t="str">
        <f>IF(AND($L988=$O$7,$B988&lt;'111'!$N$11),"x","")</f>
        <v/>
      </c>
      <c r="Q988" s="39" t="str">
        <f>IF(AND($M988=$O$7,$B988&lt;'111'!$N$11),"x","")</f>
        <v/>
      </c>
      <c r="R988" s="39" t="str">
        <f>IF(ISERROR(FIND('112'!$M$9,G988,1)),"",IF((AND(FIND('112'!$M$9,G988,1)&gt;=1,$B988&gt;='112'!$N$8,$B988&lt;='112'!$O$8,OR($L988='112'!$I$6,$M988='112'!$I$6))),"x",""))</f>
        <v/>
      </c>
      <c r="S988" s="39" t="str">
        <f>IF(ISERROR(FIND('112'!$M$9,G988,1)),"",IF((AND(LEFT(G988,2)=LEFT('112'!$M$9,2),B988&lt;'112'!$N$8,$L988='112'!$I$6)),"x",""))</f>
        <v/>
      </c>
      <c r="T988" s="39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39" t="str">
        <f>IF(OR(TH!L988=TH!$V$7,M988=TH!$V$7),"x","")</f>
        <v/>
      </c>
      <c r="W988" s="39" t="str">
        <f>IF(AND(B988&gt;='IN-NX'!$P$3,B988&lt;='IN-NX'!$Q$3,'IN-NX'!$D$7=D988,OR(LEFT(L988,2)="15",AND(LEFT(M988,2)&lt;&gt;"15",LEFT(M988,2)&lt;&gt;"33"))),"x","")</f>
        <v/>
      </c>
      <c r="X988" s="39" t="str">
        <f>IF(AND(OR(LEFT(TH!L988,2)="15",LEFT(TH!M988,2)="15"),'152-CT'!$J$8=TH!F988),"x","")</f>
        <v/>
      </c>
      <c r="Y988" s="39" t="str">
        <f>IF(AND(OR(LEFT(TH!L988,2)="15",LEFT(TH!M988,2)="15"),TK!$E$7=TH!F988),"x","")</f>
        <v/>
      </c>
      <c r="Z988" s="39" t="str">
        <f>IF(AND(B988&lt;=NKC!$N$8,B988&gt;=NKC!$M$8),"x","")</f>
        <v/>
      </c>
      <c r="AA988" s="894"/>
    </row>
    <row r="989" spans="1:30" ht="15.75" customHeight="1">
      <c r="A989" s="199" t="str">
        <f>IF(B989&lt;&gt;"",IF(AND(B989&gt;=_TM1,B989&lt;=_TM2,OR(TH!L989="1111",TH!M989="1111")),TH!D989,""),"")</f>
        <v/>
      </c>
      <c r="B989" s="36" t="str">
        <f t="shared" si="41"/>
        <v/>
      </c>
      <c r="C989" s="190"/>
      <c r="D989" s="190"/>
      <c r="E989" s="37"/>
      <c r="F989" s="188"/>
      <c r="G989" s="40"/>
      <c r="H989" s="7"/>
      <c r="I989" s="301"/>
      <c r="J989" s="806"/>
      <c r="K989" s="606"/>
      <c r="L989" s="39"/>
      <c r="M989" s="607"/>
      <c r="N989" s="39" t="str">
        <f>IF(AND('331-CT'!$E$7=TH!H989,OR(L989="331",M989="331")),"331",IF(AND(OR(L989="131",M989="131"),H989='131-CT'!$E$7),"131",""))</f>
        <v/>
      </c>
      <c r="O989" s="39" t="str">
        <f>IF(AND($B989&gt;='111'!$N$11,$B989&lt;='111'!$O$11,OR($L989=$O$7,$M989=$O$7)),"x","")</f>
        <v/>
      </c>
      <c r="P989" s="39" t="str">
        <f>IF(AND($L989=$O$7,$B989&lt;'111'!$N$11),"x","")</f>
        <v/>
      </c>
      <c r="Q989" s="39" t="str">
        <f>IF(AND($M989=$O$7,$B989&lt;'111'!$N$11),"x","")</f>
        <v/>
      </c>
      <c r="R989" s="39" t="str">
        <f>IF(ISERROR(FIND('112'!$M$9,G989,1)),"",IF((AND(FIND('112'!$M$9,G989,1)&gt;=1,$B989&gt;='112'!$N$8,$B989&lt;='112'!$O$8,OR($L989='112'!$I$6,$M989='112'!$I$6))),"x",""))</f>
        <v/>
      </c>
      <c r="S989" s="39" t="str">
        <f>IF(ISERROR(FIND('112'!$M$9,G989,1)),"",IF((AND(LEFT(G989,2)=LEFT('112'!$M$9,2),B989&lt;'112'!$N$8,$L989='112'!$I$6)),"x",""))</f>
        <v/>
      </c>
      <c r="T989" s="39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39" t="str">
        <f>IF(OR(TH!L989=TH!$V$7,M989=TH!$V$7),"x","")</f>
        <v/>
      </c>
      <c r="W989" s="39" t="str">
        <f>IF(AND(B989&gt;='IN-NX'!$P$3,B989&lt;='IN-NX'!$Q$3,'IN-NX'!$D$7=D989,OR(LEFT(L989,2)="15",AND(LEFT(M989,2)&lt;&gt;"15",LEFT(M989,2)&lt;&gt;"33"))),"x","")</f>
        <v/>
      </c>
      <c r="X989" s="39" t="str">
        <f>IF(AND(OR(LEFT(TH!L989,2)="15",LEFT(TH!M989,2)="15"),'152-CT'!$J$8=TH!F989),"x","")</f>
        <v/>
      </c>
      <c r="Y989" s="39" t="str">
        <f>IF(AND(OR(LEFT(TH!L989,2)="15",LEFT(TH!M989,2)="15"),TK!$E$7=TH!F989),"x","")</f>
        <v/>
      </c>
      <c r="Z989" s="39" t="str">
        <f>IF(AND(B989&lt;=NKC!$N$8,B989&gt;=NKC!$M$8),"x","")</f>
        <v/>
      </c>
      <c r="AA989" s="894"/>
    </row>
    <row r="990" spans="1:30" ht="15.75" customHeight="1">
      <c r="A990" s="199" t="str">
        <f>IF(B990&lt;&gt;"",IF(AND(B990&gt;=_TM1,B990&lt;=_TM2,OR(TH!L990="1111",TH!M990="1111")),TH!D990,""),"")</f>
        <v/>
      </c>
      <c r="B990" s="36" t="str">
        <f t="shared" si="41"/>
        <v/>
      </c>
      <c r="C990" s="183"/>
      <c r="D990" s="183"/>
      <c r="E990" s="37"/>
      <c r="F990" s="188"/>
      <c r="G990" s="608"/>
      <c r="H990" s="7"/>
      <c r="I990" s="753"/>
      <c r="J990" s="753"/>
      <c r="K990" s="606"/>
      <c r="L990" s="607"/>
      <c r="M990" s="607"/>
      <c r="N990" s="39" t="str">
        <f>IF(AND('331-CT'!$E$7=TH!H990,OR(L990="331",M990="331")),"331",IF(AND(OR(L990="131",M990="131"),H990='131-CT'!$E$7),"131",""))</f>
        <v/>
      </c>
      <c r="O990" s="39" t="str">
        <f>IF(AND($B990&gt;='111'!$N$11,$B990&lt;='111'!$O$11,OR($L990=$O$7,$M990=$O$7)),"x","")</f>
        <v/>
      </c>
      <c r="P990" s="39" t="str">
        <f>IF(AND($L990=$O$7,$B990&lt;'111'!$N$11),"x","")</f>
        <v/>
      </c>
      <c r="Q990" s="39" t="str">
        <f>IF(AND($M990=$O$7,$B990&lt;'111'!$N$11),"x","")</f>
        <v/>
      </c>
      <c r="R990" s="39" t="str">
        <f>IF(ISERROR(FIND('112'!$M$9,G990,1)),"",IF((AND(FIND('112'!$M$9,G990,1)&gt;=1,$B990&gt;='112'!$N$8,$B990&lt;='112'!$O$8,OR($L990='112'!$I$6,$M990='112'!$I$6))),"x",""))</f>
        <v/>
      </c>
      <c r="S990" s="39" t="str">
        <f>IF(ISERROR(FIND('112'!$M$9,G990,1)),"",IF((AND(LEFT(G990,2)=LEFT('112'!$M$9,2),B990&lt;'112'!$N$8,$L990='112'!$I$6)),"x",""))</f>
        <v/>
      </c>
      <c r="T990" s="39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39" t="str">
        <f>IF(OR(TH!L990=TH!$V$7,M990=TH!$V$7),"x","")</f>
        <v/>
      </c>
      <c r="W990" s="39" t="str">
        <f>IF(AND(B990&gt;='IN-NX'!$P$3,B990&lt;='IN-NX'!$Q$3,'IN-NX'!$D$7=D990,OR(LEFT(L990,2)="15",AND(LEFT(M990,2)&lt;&gt;"15",LEFT(M990,2)&lt;&gt;"33"))),"x","")</f>
        <v/>
      </c>
      <c r="X990" s="39" t="str">
        <f>IF(AND(OR(LEFT(TH!L990,2)="15",LEFT(TH!M990,2)="15"),'152-CT'!$J$8=TH!F990),"x","")</f>
        <v/>
      </c>
      <c r="Y990" s="39" t="str">
        <f>IF(AND(OR(LEFT(TH!L990,2)="15",LEFT(TH!M990,2)="15"),TK!$E$7=TH!F990),"x","")</f>
        <v/>
      </c>
      <c r="Z990" s="39" t="str">
        <f>IF(AND(B990&lt;=NKC!$N$8,B990&gt;=NKC!$M$8),"x","")</f>
        <v/>
      </c>
      <c r="AA990" s="894"/>
      <c r="AB990" s="598"/>
      <c r="AC990" s="598"/>
      <c r="AD990" s="598"/>
    </row>
    <row r="991" spans="1:30" ht="15.75" customHeight="1">
      <c r="A991" s="199" t="str">
        <f>IF(B991&lt;&gt;"",IF(AND(B991&gt;=_TM1,B991&lt;=_TM2,OR(TH!L991="1111",TH!M991="1111")),TH!D991,""),"")</f>
        <v/>
      </c>
      <c r="B991" s="36" t="str">
        <f t="shared" si="41"/>
        <v/>
      </c>
      <c r="C991" s="190"/>
      <c r="D991" s="183"/>
      <c r="E991" s="190"/>
      <c r="F991" s="191"/>
      <c r="G991" s="489"/>
      <c r="H991" s="45"/>
      <c r="I991" s="759"/>
      <c r="J991" s="753"/>
      <c r="K991" s="38"/>
      <c r="L991" s="193"/>
      <c r="M991" s="607"/>
      <c r="N991" s="39" t="str">
        <f>IF(AND('331-CT'!$E$7=TH!H991,OR(L991="331",M991="331")),"331",IF(AND(OR(L991="131",M991="131"),H991='131-CT'!$E$7),"131",""))</f>
        <v/>
      </c>
      <c r="O991" s="39" t="str">
        <f>IF(AND($B991&gt;='111'!$N$11,$B991&lt;='111'!$O$11,OR($L991=$O$7,$M991=$O$7)),"x","")</f>
        <v/>
      </c>
      <c r="P991" s="39" t="str">
        <f>IF(AND($L991=$O$7,$B991&lt;'111'!$N$11),"x","")</f>
        <v/>
      </c>
      <c r="Q991" s="39" t="str">
        <f>IF(AND($M991=$O$7,$B991&lt;'111'!$N$11),"x","")</f>
        <v/>
      </c>
      <c r="R991" s="39" t="str">
        <f>IF(ISERROR(FIND('112'!$M$9,G991,1)),"",IF((AND(FIND('112'!$M$9,G991,1)&gt;=1,$B991&gt;='112'!$N$8,$B991&lt;='112'!$O$8,OR($L991='112'!$I$6,$M991='112'!$I$6))),"x",""))</f>
        <v/>
      </c>
      <c r="S991" s="39" t="str">
        <f>IF(ISERROR(FIND('112'!$M$9,G991,1)),"",IF((AND(LEFT(G991,2)=LEFT('112'!$M$9,2),B991&lt;'112'!$N$8,$L991='112'!$I$6)),"x",""))</f>
        <v/>
      </c>
      <c r="T991" s="39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39" t="str">
        <f>IF(OR(TH!L991=TH!$V$7,M991=TH!$V$7),"x","")</f>
        <v/>
      </c>
      <c r="W991" s="39" t="str">
        <f>IF(AND(B991&gt;='IN-NX'!$P$3,B991&lt;='IN-NX'!$Q$3,'IN-NX'!$D$7=D991,OR(LEFT(L991,2)="15",AND(LEFT(M991,2)&lt;&gt;"15",LEFT(M991,2)&lt;&gt;"33"))),"x","")</f>
        <v/>
      </c>
      <c r="X991" s="39" t="str">
        <f>IF(AND(OR(LEFT(TH!L991,2)="15",LEFT(TH!M991,2)="15"),'152-CT'!$J$8=TH!F991),"x","")</f>
        <v/>
      </c>
      <c r="Y991" s="39" t="str">
        <f>IF(AND(OR(LEFT(TH!L991,2)="15",LEFT(TH!M991,2)="15"),TK!$E$7=TH!F991),"x","")</f>
        <v/>
      </c>
      <c r="Z991" s="39" t="str">
        <f>IF(AND(B991&lt;=NKC!$N$8,B991&gt;=NKC!$M$8),"x","")</f>
        <v/>
      </c>
      <c r="AA991" s="894"/>
      <c r="AB991" s="598"/>
      <c r="AC991" s="598"/>
      <c r="AD991" s="598"/>
    </row>
    <row r="992" spans="1:30" ht="15.75" customHeight="1">
      <c r="A992" s="199" t="str">
        <f>IF(B992&lt;&gt;"",IF(AND(B992&gt;=_TM1,B992&lt;=_TM2,OR(TH!L992="1111",TH!M992="1111")),TH!D992,""),"")</f>
        <v/>
      </c>
      <c r="B992" s="36" t="str">
        <f t="shared" si="41"/>
        <v/>
      </c>
      <c r="C992" s="190"/>
      <c r="D992" s="183"/>
      <c r="E992" s="190"/>
      <c r="F992" s="191"/>
      <c r="G992" s="489"/>
      <c r="H992" s="45"/>
      <c r="I992" s="759"/>
      <c r="J992" s="753"/>
      <c r="K992" s="38"/>
      <c r="L992" s="193"/>
      <c r="M992" s="607"/>
      <c r="N992" s="39" t="str">
        <f>IF(AND('331-CT'!$E$7=TH!H992,OR(L992="331",M992="331")),"331",IF(AND(OR(L992="131",M992="131"),H992='131-CT'!$E$7),"131",""))</f>
        <v/>
      </c>
      <c r="O992" s="39" t="str">
        <f>IF(AND($B992&gt;='111'!$N$11,$B992&lt;='111'!$O$11,OR($L992=$O$7,$M992=$O$7)),"x","")</f>
        <v/>
      </c>
      <c r="P992" s="39" t="str">
        <f>IF(AND($L992=$O$7,$B992&lt;'111'!$N$11),"x","")</f>
        <v/>
      </c>
      <c r="Q992" s="39" t="str">
        <f>IF(AND($M992=$O$7,$B992&lt;'111'!$N$11),"x","")</f>
        <v/>
      </c>
      <c r="R992" s="39" t="str">
        <f>IF(ISERROR(FIND('112'!$M$9,G992,1)),"",IF((AND(FIND('112'!$M$9,G992,1)&gt;=1,$B992&gt;='112'!$N$8,$B992&lt;='112'!$O$8,OR($L992='112'!$I$6,$M992='112'!$I$6))),"x",""))</f>
        <v/>
      </c>
      <c r="S992" s="39" t="str">
        <f>IF(ISERROR(FIND('112'!$M$9,G992,1)),"",IF((AND(LEFT(G992,2)=LEFT('112'!$M$9,2),B992&lt;'112'!$N$8,$L992='112'!$I$6)),"x",""))</f>
        <v/>
      </c>
      <c r="T992" s="39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39" t="str">
        <f>IF(OR(TH!L992=TH!$V$7,M992=TH!$V$7),"x","")</f>
        <v/>
      </c>
      <c r="W992" s="39" t="str">
        <f>IF(AND(B992&gt;='IN-NX'!$P$3,B992&lt;='IN-NX'!$Q$3,'IN-NX'!$D$7=D992,OR(LEFT(L992,2)="15",AND(LEFT(M992,2)&lt;&gt;"15",LEFT(M992,2)&lt;&gt;"33"))),"x","")</f>
        <v/>
      </c>
      <c r="X992" s="39" t="str">
        <f>IF(AND(OR(LEFT(TH!L992,2)="15",LEFT(TH!M992,2)="15"),'152-CT'!$J$8=TH!F992),"x","")</f>
        <v/>
      </c>
      <c r="Y992" s="39" t="str">
        <f>IF(AND(OR(LEFT(TH!L992,2)="15",LEFT(TH!M992,2)="15"),TK!$E$7=TH!F992),"x","")</f>
        <v/>
      </c>
      <c r="Z992" s="39" t="str">
        <f>IF(AND(B992&lt;=NKC!$N$8,B992&gt;=NKC!$M$8),"x","")</f>
        <v/>
      </c>
      <c r="AA992" s="894"/>
      <c r="AD992" s="598"/>
    </row>
    <row r="993" spans="1:30" ht="15.75" customHeight="1">
      <c r="A993" s="199" t="str">
        <f>IF(B993&lt;&gt;"",IF(AND(B993&gt;=_TM1,B993&lt;=_TM2,OR(TH!L993="1111",TH!M993="1111")),TH!D993,""),"")</f>
        <v/>
      </c>
      <c r="B993" s="36" t="str">
        <f t="shared" si="41"/>
        <v/>
      </c>
      <c r="C993" s="190"/>
      <c r="D993" s="183"/>
      <c r="E993" s="190"/>
      <c r="F993" s="191"/>
      <c r="G993" s="489"/>
      <c r="H993" s="45"/>
      <c r="I993" s="759"/>
      <c r="J993" s="753"/>
      <c r="K993" s="38"/>
      <c r="L993" s="193"/>
      <c r="M993" s="607"/>
      <c r="N993" s="39" t="str">
        <f>IF(AND('331-CT'!$E$7=TH!H993,OR(L993="331",M993="331")),"331",IF(AND(OR(L993="131",M993="131"),H993='131-CT'!$E$7),"131",""))</f>
        <v/>
      </c>
      <c r="O993" s="39" t="str">
        <f>IF(AND($B993&gt;='111'!$N$11,$B993&lt;='111'!$O$11,OR($L993=$O$7,$M993=$O$7)),"x","")</f>
        <v/>
      </c>
      <c r="P993" s="39" t="str">
        <f>IF(AND($L993=$O$7,$B993&lt;'111'!$N$11),"x","")</f>
        <v/>
      </c>
      <c r="Q993" s="39" t="str">
        <f>IF(AND($M993=$O$7,$B993&lt;'111'!$N$11),"x","")</f>
        <v/>
      </c>
      <c r="R993" s="39" t="str">
        <f>IF(ISERROR(FIND('112'!$M$9,G993,1)),"",IF((AND(FIND('112'!$M$9,G993,1)&gt;=1,$B993&gt;='112'!$N$8,$B993&lt;='112'!$O$8,OR($L993='112'!$I$6,$M993='112'!$I$6))),"x",""))</f>
        <v/>
      </c>
      <c r="S993" s="39" t="str">
        <f>IF(ISERROR(FIND('112'!$M$9,G993,1)),"",IF((AND(LEFT(G993,2)=LEFT('112'!$M$9,2),B993&lt;'112'!$N$8,$L993='112'!$I$6)),"x",""))</f>
        <v/>
      </c>
      <c r="T993" s="39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39" t="str">
        <f>IF(OR(TH!L993=TH!$V$7,M993=TH!$V$7),"x","")</f>
        <v/>
      </c>
      <c r="W993" s="39" t="str">
        <f>IF(AND(B993&gt;='IN-NX'!$P$3,B993&lt;='IN-NX'!$Q$3,'IN-NX'!$D$7=D993,OR(LEFT(L993,2)="15",AND(LEFT(M993,2)&lt;&gt;"15",LEFT(M993,2)&lt;&gt;"33"))),"x","")</f>
        <v/>
      </c>
      <c r="X993" s="39" t="str">
        <f>IF(AND(OR(LEFT(TH!L993,2)="15",LEFT(TH!M993,2)="15"),'152-CT'!$J$8=TH!F993),"x","")</f>
        <v/>
      </c>
      <c r="Y993" s="39" t="str">
        <f>IF(AND(OR(LEFT(TH!L993,2)="15",LEFT(TH!M993,2)="15"),TK!$E$7=TH!F993),"x","")</f>
        <v/>
      </c>
      <c r="Z993" s="39" t="str">
        <f>IF(AND(B993&lt;=NKC!$N$8,B993&gt;=NKC!$M$8),"x","")</f>
        <v/>
      </c>
      <c r="AA993" s="894"/>
      <c r="AB993" s="598"/>
      <c r="AC993" s="598"/>
      <c r="AD993" s="598"/>
    </row>
    <row r="994" spans="1:30" ht="15.75" customHeight="1">
      <c r="A994" s="199" t="str">
        <f>IF(B994&lt;&gt;"",IF(AND(B994&gt;=_TM1,B994&lt;=_TM2,OR(TH!L994="1111",TH!M994="1111")),TH!D994,""),"")</f>
        <v/>
      </c>
      <c r="B994" s="36" t="str">
        <f t="shared" si="41"/>
        <v/>
      </c>
      <c r="C994" s="190"/>
      <c r="D994" s="183"/>
      <c r="E994" s="190"/>
      <c r="F994" s="191"/>
      <c r="G994" s="489"/>
      <c r="H994" s="45"/>
      <c r="I994" s="759"/>
      <c r="J994" s="753"/>
      <c r="K994" s="38"/>
      <c r="L994" s="193"/>
      <c r="M994" s="607"/>
      <c r="N994" s="39" t="str">
        <f>IF(AND('331-CT'!$E$7=TH!H994,OR(L994="331",M994="331")),"331",IF(AND(OR(L994="131",M994="131"),H994='131-CT'!$E$7),"131",""))</f>
        <v/>
      </c>
      <c r="O994" s="39" t="str">
        <f>IF(AND($B994&gt;='111'!$N$11,$B994&lt;='111'!$O$11,OR($L994=$O$7,$M994=$O$7)),"x","")</f>
        <v/>
      </c>
      <c r="P994" s="39" t="str">
        <f>IF(AND($L994=$O$7,$B994&lt;'111'!$N$11),"x","")</f>
        <v/>
      </c>
      <c r="Q994" s="39" t="str">
        <f>IF(AND($M994=$O$7,$B994&lt;'111'!$N$11),"x","")</f>
        <v/>
      </c>
      <c r="R994" s="39" t="str">
        <f>IF(ISERROR(FIND('112'!$M$9,G994,1)),"",IF((AND(FIND('112'!$M$9,G994,1)&gt;=1,$B994&gt;='112'!$N$8,$B994&lt;='112'!$O$8,OR($L994='112'!$I$6,$M994='112'!$I$6))),"x",""))</f>
        <v/>
      </c>
      <c r="S994" s="39" t="str">
        <f>IF(ISERROR(FIND('112'!$M$9,G994,1)),"",IF((AND(LEFT(G994,2)=LEFT('112'!$M$9,2),B994&lt;'112'!$N$8,$L994='112'!$I$6)),"x",""))</f>
        <v/>
      </c>
      <c r="T994" s="39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39" t="str">
        <f>IF(OR(TH!L994=TH!$V$7,M994=TH!$V$7),"x","")</f>
        <v/>
      </c>
      <c r="W994" s="39" t="str">
        <f>IF(AND(B994&gt;='IN-NX'!$P$3,B994&lt;='IN-NX'!$Q$3,'IN-NX'!$D$7=D994,OR(LEFT(L994,2)="15",AND(LEFT(M994,2)&lt;&gt;"15",LEFT(M994,2)&lt;&gt;"33"))),"x","")</f>
        <v/>
      </c>
      <c r="X994" s="39" t="str">
        <f>IF(AND(OR(LEFT(TH!L994,2)="15",LEFT(TH!M994,2)="15"),'152-CT'!$J$8=TH!F994),"x","")</f>
        <v/>
      </c>
      <c r="Y994" s="39" t="str">
        <f>IF(AND(OR(LEFT(TH!L994,2)="15",LEFT(TH!M994,2)="15"),TK!$E$7=TH!F994),"x","")</f>
        <v/>
      </c>
      <c r="Z994" s="39" t="str">
        <f>IF(AND(B994&lt;=NKC!$N$8,B994&gt;=NKC!$M$8),"x","")</f>
        <v/>
      </c>
      <c r="AA994" s="894"/>
      <c r="AB994" s="598"/>
      <c r="AC994" s="598"/>
      <c r="AD994" s="598"/>
    </row>
    <row r="995" spans="1:30" ht="15.75" customHeight="1">
      <c r="A995" s="199" t="str">
        <f>IF(B995&lt;&gt;"",IF(AND(B995&gt;=_TM1,B995&lt;=_TM2,OR(TH!L995="1111",TH!M995="1111")),TH!D995,""),"")</f>
        <v/>
      </c>
      <c r="B995" s="36" t="str">
        <f t="shared" si="41"/>
        <v/>
      </c>
      <c r="C995" s="183"/>
      <c r="D995" s="183"/>
      <c r="E995" s="37"/>
      <c r="F995" s="188"/>
      <c r="G995" s="608"/>
      <c r="H995" s="7"/>
      <c r="I995" s="753"/>
      <c r="J995" s="753"/>
      <c r="K995" s="606"/>
      <c r="L995" s="607"/>
      <c r="M995" s="607"/>
      <c r="N995" s="39" t="str">
        <f>IF(AND('331-CT'!$E$7=TH!H995,OR(L995="331",M995="331")),"331",IF(AND(OR(L995="131",M995="131"),H995='131-CT'!$E$7),"131",""))</f>
        <v/>
      </c>
      <c r="O995" s="39" t="str">
        <f>IF(AND($B995&gt;='111'!$N$11,$B995&lt;='111'!$O$11,OR($L995=$O$7,$M995=$O$7)),"x","")</f>
        <v/>
      </c>
      <c r="P995" s="39" t="str">
        <f>IF(AND($L995=$O$7,$B995&lt;'111'!$N$11),"x","")</f>
        <v/>
      </c>
      <c r="Q995" s="39" t="str">
        <f>IF(AND($M995=$O$7,$B995&lt;'111'!$N$11),"x","")</f>
        <v/>
      </c>
      <c r="R995" s="39" t="str">
        <f>IF(ISERROR(FIND('112'!$M$9,G995,1)),"",IF((AND(FIND('112'!$M$9,G995,1)&gt;=1,$B995&gt;='112'!$N$8,$B995&lt;='112'!$O$8,OR($L995='112'!$I$6,$M995='112'!$I$6))),"x",""))</f>
        <v/>
      </c>
      <c r="S995" s="39" t="str">
        <f>IF(ISERROR(FIND('112'!$M$9,G995,1)),"",IF((AND(LEFT(G995,2)=LEFT('112'!$M$9,2),B995&lt;'112'!$N$8,$L995='112'!$I$6)),"x",""))</f>
        <v/>
      </c>
      <c r="T995" s="39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39" t="str">
        <f>IF(OR(TH!L995=TH!$V$7,M995=TH!$V$7),"x","")</f>
        <v/>
      </c>
      <c r="W995" s="39" t="str">
        <f>IF(AND(B995&gt;='IN-NX'!$P$3,B995&lt;='IN-NX'!$Q$3,'IN-NX'!$D$7=D995,OR(LEFT(L995,2)="15",AND(LEFT(M995,2)&lt;&gt;"15",LEFT(M995,2)&lt;&gt;"33"))),"x","")</f>
        <v/>
      </c>
      <c r="X995" s="39" t="str">
        <f>IF(AND(OR(LEFT(TH!L995,2)="15",LEFT(TH!M995,2)="15"),'152-CT'!$J$8=TH!F995),"x","")</f>
        <v/>
      </c>
      <c r="Y995" s="39" t="str">
        <f>IF(AND(OR(LEFT(TH!L995,2)="15",LEFT(TH!M995,2)="15"),TK!$E$7=TH!F995),"x","")</f>
        <v/>
      </c>
      <c r="Z995" s="39" t="str">
        <f>IF(AND(B995&lt;=NKC!$N$8,B995&gt;=NKC!$M$8),"x","")</f>
        <v/>
      </c>
      <c r="AA995" s="894"/>
      <c r="AB995" s="598"/>
      <c r="AC995" s="598"/>
      <c r="AD995" s="598"/>
    </row>
    <row r="996" spans="1:30" ht="15.75" customHeight="1">
      <c r="A996" s="199" t="str">
        <f>IF(B996&lt;&gt;"",IF(AND(B996&gt;=_TM1,B996&lt;=_TM2,OR(TH!L996="1111",TH!M996="1111")),TH!D996,""),"")</f>
        <v/>
      </c>
      <c r="B996" s="36" t="str">
        <f t="shared" si="41"/>
        <v/>
      </c>
      <c r="C996" s="183"/>
      <c r="D996" s="183"/>
      <c r="E996" s="37"/>
      <c r="F996" s="188"/>
      <c r="G996" s="608"/>
      <c r="H996" s="7"/>
      <c r="I996" s="753"/>
      <c r="J996" s="753"/>
      <c r="K996" s="606"/>
      <c r="L996" s="607"/>
      <c r="M996" s="607"/>
      <c r="N996" s="39" t="str">
        <f>IF(AND('331-CT'!$E$7=TH!H996,OR(L996="331",M996="331")),"331",IF(AND(OR(L996="131",M996="131"),H996='131-CT'!$E$7),"131",""))</f>
        <v/>
      </c>
      <c r="O996" s="39" t="str">
        <f>IF(AND($B996&gt;='111'!$N$11,$B996&lt;='111'!$O$11,OR($L996=$O$7,$M996=$O$7)),"x","")</f>
        <v/>
      </c>
      <c r="P996" s="39" t="str">
        <f>IF(AND($L996=$O$7,$B996&lt;'111'!$N$11),"x","")</f>
        <v/>
      </c>
      <c r="Q996" s="39" t="str">
        <f>IF(AND($M996=$O$7,$B996&lt;'111'!$N$11),"x","")</f>
        <v/>
      </c>
      <c r="R996" s="39" t="str">
        <f>IF(ISERROR(FIND('112'!$M$9,G996,1)),"",IF((AND(FIND('112'!$M$9,G996,1)&gt;=1,$B996&gt;='112'!$N$8,$B996&lt;='112'!$O$8,OR($L996='112'!$I$6,$M996='112'!$I$6))),"x",""))</f>
        <v/>
      </c>
      <c r="S996" s="39" t="str">
        <f>IF(ISERROR(FIND('112'!$M$9,G996,1)),"",IF((AND(LEFT(G996,2)=LEFT('112'!$M$9,2),B996&lt;'112'!$N$8,$L996='112'!$I$6)),"x",""))</f>
        <v/>
      </c>
      <c r="T996" s="39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39" t="str">
        <f>IF(OR(TH!L996=TH!$V$7,M996=TH!$V$7),"x","")</f>
        <v/>
      </c>
      <c r="W996" s="39" t="str">
        <f>IF(AND(B996&gt;='IN-NX'!$P$3,B996&lt;='IN-NX'!$Q$3,'IN-NX'!$D$7=D996,OR(LEFT(L996,2)="15",AND(LEFT(M996,2)&lt;&gt;"15",LEFT(M996,2)&lt;&gt;"33"))),"x","")</f>
        <v/>
      </c>
      <c r="X996" s="39" t="str">
        <f>IF(AND(OR(LEFT(TH!L996,2)="15",LEFT(TH!M996,2)="15"),'152-CT'!$J$8=TH!F996),"x","")</f>
        <v/>
      </c>
      <c r="Y996" s="39" t="str">
        <f>IF(AND(OR(LEFT(TH!L996,2)="15",LEFT(TH!M996,2)="15"),TK!$E$7=TH!F996),"x","")</f>
        <v/>
      </c>
      <c r="Z996" s="39" t="str">
        <f>IF(AND(B996&lt;=NKC!$N$8,B996&gt;=NKC!$M$8),"x","")</f>
        <v/>
      </c>
      <c r="AA996" s="894"/>
      <c r="AB996" s="598"/>
      <c r="AC996" s="598"/>
      <c r="AD996" s="598"/>
    </row>
    <row r="997" spans="1:30" ht="15.75" customHeight="1">
      <c r="A997" s="199" t="str">
        <f>IF(B997&lt;&gt;"",IF(AND(B997&gt;=_TM1,B997&lt;=_TM2,OR(TH!L997="1111",TH!M997="1111")),TH!D997,""),"")</f>
        <v/>
      </c>
      <c r="B997" s="36" t="str">
        <f t="shared" si="41"/>
        <v/>
      </c>
      <c r="C997" s="190"/>
      <c r="D997" s="190"/>
      <c r="E997" s="183"/>
      <c r="F997" s="191"/>
      <c r="G997" s="491"/>
      <c r="H997" s="204"/>
      <c r="I997" s="753"/>
      <c r="J997" s="753"/>
      <c r="K997" s="606"/>
      <c r="L997" s="193"/>
      <c r="M997" s="193"/>
      <c r="N997" s="39" t="str">
        <f>IF(AND('331-CT'!$E$7=TH!H997,OR(L997="331",M997="331")),"331",IF(AND(OR(L997="131",M997="131"),H997='131-CT'!$E$7),"131",""))</f>
        <v/>
      </c>
      <c r="O997" s="39" t="str">
        <f>IF(AND($B997&gt;='111'!$N$11,$B997&lt;='111'!$O$11,OR($L997=$O$7,$M997=$O$7)),"x","")</f>
        <v/>
      </c>
      <c r="P997" s="39" t="str">
        <f>IF(AND($L997=$O$7,$B997&lt;'111'!$N$11),"x","")</f>
        <v/>
      </c>
      <c r="Q997" s="39" t="str">
        <f>IF(AND($M997=$O$7,$B997&lt;'111'!$N$11),"x","")</f>
        <v/>
      </c>
      <c r="R997" s="39" t="str">
        <f>IF(ISERROR(FIND('112'!$M$9,G997,1)),"",IF((AND(FIND('112'!$M$9,G997,1)&gt;=1,$B997&gt;='112'!$N$8,$B997&lt;='112'!$O$8,OR($L997='112'!$I$6,$M997='112'!$I$6))),"x",""))</f>
        <v/>
      </c>
      <c r="S997" s="39" t="str">
        <f>IF(ISERROR(FIND('112'!$M$9,G997,1)),"",IF((AND(LEFT(G997,2)=LEFT('112'!$M$9,2),B997&lt;'112'!$N$8,$L997='112'!$I$6)),"x",""))</f>
        <v/>
      </c>
      <c r="T997" s="39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39" t="str">
        <f>IF(OR(TH!L997=TH!$V$7,M997=TH!$V$7),"x","")</f>
        <v/>
      </c>
      <c r="W997" s="39" t="str">
        <f>IF(AND(B997&gt;='IN-NX'!$P$3,B997&lt;='IN-NX'!$Q$3,'IN-NX'!$D$7=D997,OR(LEFT(L997,2)="15",AND(LEFT(M997,2)&lt;&gt;"15",LEFT(M997,2)&lt;&gt;"33"))),"x","")</f>
        <v/>
      </c>
      <c r="X997" s="39" t="str">
        <f>IF(AND(OR(LEFT(TH!L997,2)="15",LEFT(TH!M997,2)="15"),'152-CT'!$J$8=TH!F997),"x","")</f>
        <v/>
      </c>
      <c r="Y997" s="39" t="str">
        <f>IF(AND(OR(LEFT(TH!L997,2)="15",LEFT(TH!M997,2)="15"),TK!$E$7=TH!F997),"x","")</f>
        <v/>
      </c>
      <c r="Z997" s="39" t="str">
        <f>IF(AND(B997&lt;=NKC!$N$8,B997&gt;=NKC!$M$8),"x","")</f>
        <v/>
      </c>
      <c r="AA997" s="894"/>
    </row>
    <row r="998" spans="1:30" ht="15.75" customHeight="1">
      <c r="A998" s="199" t="str">
        <f>IF(B998&lt;&gt;"",IF(AND(B998&gt;=_TM1,B998&lt;=_TM2,OR(TH!L998="1111",TH!M998="1111")),TH!D998,""),"")</f>
        <v/>
      </c>
      <c r="B998" s="36" t="str">
        <f t="shared" si="41"/>
        <v/>
      </c>
      <c r="C998" s="190"/>
      <c r="D998" s="190"/>
      <c r="E998" s="183"/>
      <c r="F998" s="191"/>
      <c r="G998" s="491"/>
      <c r="H998" s="204"/>
      <c r="I998" s="753"/>
      <c r="J998" s="753"/>
      <c r="K998" s="606"/>
      <c r="L998" s="193"/>
      <c r="M998" s="193"/>
      <c r="N998" s="39" t="str">
        <f>IF(AND('331-CT'!$E$7=TH!H998,OR(L998="331",M998="331")),"331",IF(AND(OR(L998="131",M998="131"),H998='131-CT'!$E$7),"131",""))</f>
        <v/>
      </c>
      <c r="O998" s="39" t="str">
        <f>IF(AND($B998&gt;='111'!$N$11,$B998&lt;='111'!$O$11,OR($L998=$O$7,$M998=$O$7)),"x","")</f>
        <v/>
      </c>
      <c r="P998" s="39" t="str">
        <f>IF(AND($L998=$O$7,$B998&lt;'111'!$N$11),"x","")</f>
        <v/>
      </c>
      <c r="Q998" s="39" t="str">
        <f>IF(AND($M998=$O$7,$B998&lt;'111'!$N$11),"x","")</f>
        <v/>
      </c>
      <c r="R998" s="39" t="str">
        <f>IF(ISERROR(FIND('112'!$M$9,G998,1)),"",IF((AND(FIND('112'!$M$9,G998,1)&gt;=1,$B998&gt;='112'!$N$8,$B998&lt;='112'!$O$8,OR($L998='112'!$I$6,$M998='112'!$I$6))),"x",""))</f>
        <v/>
      </c>
      <c r="S998" s="39" t="str">
        <f>IF(ISERROR(FIND('112'!$M$9,G998,1)),"",IF((AND(LEFT(G998,2)=LEFT('112'!$M$9,2),B998&lt;'112'!$N$8,$L998='112'!$I$6)),"x",""))</f>
        <v/>
      </c>
      <c r="T998" s="39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39" t="str">
        <f>IF(OR(TH!L998=TH!$V$7,M998=TH!$V$7),"x","")</f>
        <v/>
      </c>
      <c r="W998" s="39" t="str">
        <f>IF(AND(B998&gt;='IN-NX'!$P$3,B998&lt;='IN-NX'!$Q$3,'IN-NX'!$D$7=D998,OR(LEFT(L998,2)="15",AND(LEFT(M998,2)&lt;&gt;"15",LEFT(M998,2)&lt;&gt;"33"))),"x","")</f>
        <v/>
      </c>
      <c r="X998" s="39" t="str">
        <f>IF(AND(OR(LEFT(TH!L998,2)="15",LEFT(TH!M998,2)="15"),'152-CT'!$J$8=TH!F998),"x","")</f>
        <v/>
      </c>
      <c r="Y998" s="39" t="str">
        <f>IF(AND(OR(LEFT(TH!L998,2)="15",LEFT(TH!M998,2)="15"),TK!$E$7=TH!F998),"x","")</f>
        <v/>
      </c>
      <c r="Z998" s="39" t="str">
        <f>IF(AND(B998&lt;=NKC!$N$8,B998&gt;=NKC!$M$8),"x","")</f>
        <v/>
      </c>
      <c r="AA998" s="894"/>
    </row>
    <row r="999" spans="1:30" ht="15.75" customHeight="1">
      <c r="A999" s="199" t="str">
        <f>IF(B999&lt;&gt;"",IF(AND(B999&gt;=_TM1,B999&lt;=_TM2,OR(TH!L999="1111",TH!M999="1111")),TH!D999,""),"")</f>
        <v/>
      </c>
      <c r="B999" s="36" t="str">
        <f t="shared" si="41"/>
        <v/>
      </c>
      <c r="C999" s="190"/>
      <c r="D999" s="190"/>
      <c r="E999" s="183"/>
      <c r="F999" s="842"/>
      <c r="G999" s="491"/>
      <c r="H999" s="204"/>
      <c r="I999" s="753"/>
      <c r="J999" s="253"/>
      <c r="K999" s="606"/>
      <c r="L999" s="193"/>
      <c r="M999" s="193"/>
      <c r="N999" s="39" t="str">
        <f>IF(AND('331-CT'!$E$7=TH!H999,OR(L999="331",M999="331")),"331",IF(AND(OR(L999="131",M999="131"),H999='131-CT'!$E$7),"131",""))</f>
        <v/>
      </c>
      <c r="O999" s="39" t="str">
        <f>IF(AND($B999&gt;='111'!$N$11,$B999&lt;='111'!$O$11,OR($L999=$O$7,$M999=$O$7)),"x","")</f>
        <v/>
      </c>
      <c r="P999" s="39" t="str">
        <f>IF(AND($L999=$O$7,$B999&lt;'111'!$N$11),"x","")</f>
        <v/>
      </c>
      <c r="Q999" s="39" t="str">
        <f>IF(AND($M999=$O$7,$B999&lt;'111'!$N$11),"x","")</f>
        <v/>
      </c>
      <c r="R999" s="39" t="str">
        <f>IF(ISERROR(FIND('112'!$M$9,G999,1)),"",IF((AND(FIND('112'!$M$9,G999,1)&gt;=1,$B999&gt;='112'!$N$8,$B999&lt;='112'!$O$8,OR($L999='112'!$I$6,$M999='112'!$I$6))),"x",""))</f>
        <v/>
      </c>
      <c r="S999" s="39" t="str">
        <f>IF(ISERROR(FIND('112'!$M$9,G999,1)),"",IF((AND(LEFT(G999,2)=LEFT('112'!$M$9,2),B999&lt;'112'!$N$8,$L999='112'!$I$6)),"x",""))</f>
        <v/>
      </c>
      <c r="T999" s="39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39" t="str">
        <f>IF(OR(TH!L999=TH!$V$7,M999=TH!$V$7),"x","")</f>
        <v/>
      </c>
      <c r="W999" s="39" t="str">
        <f>IF(AND(B999&gt;='IN-NX'!$P$3,B999&lt;='IN-NX'!$Q$3,'IN-NX'!$D$7=D999,OR(LEFT(L999,2)="15",AND(LEFT(M999,2)&lt;&gt;"15",LEFT(M999,2)&lt;&gt;"33"))),"x","")</f>
        <v/>
      </c>
      <c r="X999" s="39" t="str">
        <f>IF(AND(OR(LEFT(TH!L999,2)="15",LEFT(TH!M999,2)="15"),'152-CT'!$J$8=TH!F999),"x","")</f>
        <v/>
      </c>
      <c r="Y999" s="39" t="str">
        <f>IF(AND(OR(LEFT(TH!L999,2)="15",LEFT(TH!M999,2)="15"),TK!$E$7=TH!F999),"x","")</f>
        <v/>
      </c>
      <c r="Z999" s="39" t="str">
        <f>IF(AND(B999&lt;=NKC!$N$8,B999&gt;=NKC!$M$8),"x","")</f>
        <v/>
      </c>
      <c r="AA999" s="894"/>
    </row>
    <row r="1000" spans="1:30" ht="15.75" customHeight="1">
      <c r="A1000" s="199" t="str">
        <f>IF(B1000&lt;&gt;"",IF(AND(B1000&gt;=_TM1,B1000&lt;=_TM2,OR(TH!L1000="1111",TH!M1000="1111")),TH!D1000,""),"")</f>
        <v/>
      </c>
      <c r="B1000" s="36" t="str">
        <f t="shared" si="41"/>
        <v/>
      </c>
      <c r="C1000" s="190"/>
      <c r="D1000" s="190"/>
      <c r="E1000" s="183"/>
      <c r="F1000" s="191"/>
      <c r="G1000" s="491"/>
      <c r="H1000" s="204"/>
      <c r="I1000" s="753"/>
      <c r="J1000" s="850"/>
      <c r="K1000" s="606"/>
      <c r="L1000" s="39"/>
      <c r="M1000" s="39"/>
      <c r="N1000" s="39" t="str">
        <f>IF(AND('331-CT'!$E$7=TH!H1000,OR(L1000="331",M1000="331")),"331",IF(AND(OR(L1000="131",M1000="131"),H1000='131-CT'!$E$7),"131",""))</f>
        <v/>
      </c>
      <c r="O1000" s="39" t="str">
        <f>IF(AND($B1000&gt;='111'!$N$11,$B1000&lt;='111'!$O$11,OR($L1000=$O$7,$M1000=$O$7)),"x","")</f>
        <v/>
      </c>
      <c r="P1000" s="39" t="str">
        <f>IF(AND($L1000=$O$7,$B1000&lt;'111'!$N$11),"x","")</f>
        <v/>
      </c>
      <c r="Q1000" s="39" t="str">
        <f>IF(AND($M1000=$O$7,$B1000&lt;'111'!$N$11),"x","")</f>
        <v/>
      </c>
      <c r="R1000" s="39" t="str">
        <f>IF(ISERROR(FIND('112'!$M$9,G1000,1)),"",IF((AND(FIND('112'!$M$9,G1000,1)&gt;=1,$B1000&gt;='112'!$N$8,$B1000&lt;='112'!$O$8,OR($L1000='112'!$I$6,$M1000='112'!$I$6))),"x",""))</f>
        <v/>
      </c>
      <c r="S1000" s="39" t="str">
        <f>IF(ISERROR(FIND('112'!$M$9,G1000,1)),"",IF((AND(LEFT(G1000,2)=LEFT('112'!$M$9,2),B1000&lt;'112'!$N$8,$L1000='112'!$I$6)),"x",""))</f>
        <v/>
      </c>
      <c r="T1000" s="39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39" t="str">
        <f>IF(OR(TH!L1000=TH!$V$7,M1000=TH!$V$7),"x","")</f>
        <v/>
      </c>
      <c r="W1000" s="39" t="str">
        <f>IF(AND(B1000&gt;='IN-NX'!$P$3,B1000&lt;='IN-NX'!$Q$3,'IN-NX'!$D$7=D1000,OR(LEFT(L1000,2)="15",AND(LEFT(M1000,2)&lt;&gt;"15",LEFT(M1000,2)&lt;&gt;"33"))),"x","")</f>
        <v/>
      </c>
      <c r="X1000" s="39" t="str">
        <f>IF(AND(OR(LEFT(TH!L1000,2)="15",LEFT(TH!M1000,2)="15"),'152-CT'!$J$8=TH!F1000),"x","")</f>
        <v/>
      </c>
      <c r="Y1000" s="39" t="str">
        <f>IF(AND(OR(LEFT(TH!L1000,2)="15",LEFT(TH!M1000,2)="15"),TK!$E$7=TH!F1000),"x","")</f>
        <v/>
      </c>
      <c r="Z1000" s="39" t="str">
        <f>IF(AND(B1000&lt;=NKC!$N$8,B1000&gt;=NKC!$M$8),"x","")</f>
        <v/>
      </c>
      <c r="AA1000" s="894"/>
    </row>
    <row r="1001" spans="1:30" ht="15.75" customHeight="1">
      <c r="A1001" s="199" t="str">
        <f>IF(B1001&lt;&gt;"",IF(AND(B1001&gt;=_TM1,B1001&lt;=_TM2,OR(TH!L1001="1111",TH!M1001="1111")),TH!D1001,""),"")</f>
        <v/>
      </c>
      <c r="B1001" s="36" t="str">
        <f t="shared" si="41"/>
        <v/>
      </c>
      <c r="C1001" s="190"/>
      <c r="D1001" s="190"/>
      <c r="E1001" s="37"/>
      <c r="F1001" s="293"/>
      <c r="G1001" s="40"/>
      <c r="H1001" s="7"/>
      <c r="I1001" s="301"/>
      <c r="J1001" s="806"/>
      <c r="K1001" s="606"/>
      <c r="L1001" s="39"/>
      <c r="M1001" s="607"/>
      <c r="N1001" s="39" t="str">
        <f>IF(AND('331-CT'!$E$7=TH!H1001,OR(L1001="331",M1001="331")),"331",IF(AND(OR(L1001="131",M1001="131"),H1001='131-CT'!$E$7),"131",""))</f>
        <v/>
      </c>
      <c r="O1001" s="39" t="str">
        <f>IF(AND($B1001&gt;='111'!$N$11,$B1001&lt;='111'!$O$11,OR($L1001=$O$7,$M1001=$O$7)),"x","")</f>
        <v/>
      </c>
      <c r="P1001" s="39" t="str">
        <f>IF(AND($L1001=$O$7,$B1001&lt;'111'!$N$11),"x","")</f>
        <v/>
      </c>
      <c r="Q1001" s="39" t="str">
        <f>IF(AND($M1001=$O$7,$B1001&lt;'111'!$N$11),"x","")</f>
        <v/>
      </c>
      <c r="R1001" s="39" t="str">
        <f>IF(ISERROR(FIND('112'!$M$9,G1001,1)),"",IF((AND(FIND('112'!$M$9,G1001,1)&gt;=1,$B1001&gt;='112'!$N$8,$B1001&lt;='112'!$O$8,OR($L1001='112'!$I$6,$M1001='112'!$I$6))),"x",""))</f>
        <v/>
      </c>
      <c r="S1001" s="39" t="str">
        <f>IF(ISERROR(FIND('112'!$M$9,G1001,1)),"",IF((AND(LEFT(G1001,2)=LEFT('112'!$M$9,2),B1001&lt;'112'!$N$8,$L1001='112'!$I$6)),"x",""))</f>
        <v/>
      </c>
      <c r="T1001" s="39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39" t="str">
        <f>IF(OR(TH!L1001=TH!$V$7,M1001=TH!$V$7),"x","")</f>
        <v/>
      </c>
      <c r="W1001" s="39" t="str">
        <f>IF(AND(B1001&gt;='IN-NX'!$P$3,B1001&lt;='IN-NX'!$Q$3,'IN-NX'!$D$7=D1001,OR(LEFT(L1001,2)="15",AND(LEFT(M1001,2)&lt;&gt;"15",LEFT(M1001,2)&lt;&gt;"33"))),"x","")</f>
        <v/>
      </c>
      <c r="X1001" s="39" t="str">
        <f>IF(AND(OR(LEFT(TH!L1001,2)="15",LEFT(TH!M1001,2)="15"),'152-CT'!$J$8=TH!F1001),"x","")</f>
        <v/>
      </c>
      <c r="Y1001" s="39" t="str">
        <f>IF(AND(OR(LEFT(TH!L1001,2)="15",LEFT(TH!M1001,2)="15"),TK!$E$7=TH!F1001),"x","")</f>
        <v/>
      </c>
      <c r="Z1001" s="39" t="str">
        <f>IF(AND(B1001&lt;=NKC!$N$8,B1001&gt;=NKC!$M$8),"x","")</f>
        <v/>
      </c>
      <c r="AA1001" s="894"/>
    </row>
    <row r="1002" spans="1:30" ht="15.75" customHeight="1">
      <c r="A1002" s="199" t="str">
        <f>IF(B1002&lt;&gt;"",IF(AND(B1002&gt;=_TM1,B1002&lt;=_TM2,OR(TH!L1002="1111",TH!M1002="1111")),TH!D1002,""),"")</f>
        <v/>
      </c>
      <c r="B1002" s="36" t="str">
        <f t="shared" si="41"/>
        <v/>
      </c>
      <c r="C1002" s="183"/>
      <c r="D1002" s="183"/>
      <c r="E1002" s="190"/>
      <c r="F1002" s="188"/>
      <c r="G1002" s="608"/>
      <c r="H1002" s="7"/>
      <c r="I1002" s="253"/>
      <c r="J1002" s="253"/>
      <c r="K1002" s="606"/>
      <c r="L1002" s="607"/>
      <c r="M1002" s="607"/>
      <c r="N1002" s="39" t="str">
        <f>IF(AND('331-CT'!$E$7=TH!H1002,OR(L1002="331",M1002="331")),"331",IF(AND(OR(L1002="131",M1002="131"),H1002='131-CT'!$E$7),"131",""))</f>
        <v/>
      </c>
      <c r="O1002" s="39" t="str">
        <f>IF(AND($B1002&gt;='111'!$N$11,$B1002&lt;='111'!$O$11,OR($L1002=$O$7,$M1002=$O$7)),"x","")</f>
        <v/>
      </c>
      <c r="P1002" s="39" t="str">
        <f>IF(AND($L1002=$O$7,$B1002&lt;'111'!$N$11),"x","")</f>
        <v/>
      </c>
      <c r="Q1002" s="39" t="str">
        <f>IF(AND($M1002=$O$7,$B1002&lt;'111'!$N$11),"x","")</f>
        <v/>
      </c>
      <c r="R1002" s="39" t="str">
        <f>IF(ISERROR(FIND('112'!$M$9,G1002,1)),"",IF((AND(FIND('112'!$M$9,G1002,1)&gt;=1,$B1002&gt;='112'!$N$8,$B1002&lt;='112'!$O$8,OR($L1002='112'!$I$6,$M1002='112'!$I$6))),"x",""))</f>
        <v/>
      </c>
      <c r="S1002" s="39" t="str">
        <f>IF(ISERROR(FIND('112'!$M$9,G1002,1)),"",IF((AND(LEFT(G1002,2)=LEFT('112'!$M$9,2),B1002&lt;'112'!$N$8,$L1002='112'!$I$6)),"x",""))</f>
        <v/>
      </c>
      <c r="T1002" s="39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39" t="str">
        <f>IF(OR(TH!L1002=TH!$V$7,M1002=TH!$V$7),"x","")</f>
        <v/>
      </c>
      <c r="W1002" s="39" t="str">
        <f>IF(AND(B1002&gt;='IN-NX'!$P$3,B1002&lt;='IN-NX'!$Q$3,'IN-NX'!$D$7=D1002,OR(LEFT(L1002,2)="15",AND(LEFT(M1002,2)&lt;&gt;"15",LEFT(M1002,2)&lt;&gt;"33"))),"x","")</f>
        <v/>
      </c>
      <c r="X1002" s="39" t="str">
        <f>IF(AND(OR(LEFT(TH!L1002,2)="15",LEFT(TH!M1002,2)="15"),'152-CT'!$J$8=TH!F1002),"x","")</f>
        <v/>
      </c>
      <c r="Y1002" s="39" t="str">
        <f>IF(AND(OR(LEFT(TH!L1002,2)="15",LEFT(TH!M1002,2)="15"),TK!$E$7=TH!F1002),"x","")</f>
        <v/>
      </c>
      <c r="Z1002" s="39" t="str">
        <f>IF(AND(B1002&lt;=NKC!$N$8,B1002&gt;=NKC!$M$8),"x","")</f>
        <v/>
      </c>
      <c r="AA1002" s="894"/>
    </row>
    <row r="1003" spans="1:30" ht="15.75" customHeight="1">
      <c r="A1003" s="199" t="str">
        <f>IF(B1003&lt;&gt;"",IF(AND(B1003&gt;=_TM1,B1003&lt;=_TM2,OR(TH!L1003="1111",TH!M1003="1111")),TH!D1003,""),"")</f>
        <v/>
      </c>
      <c r="B1003" s="36" t="str">
        <f t="shared" si="41"/>
        <v/>
      </c>
      <c r="C1003" s="183"/>
      <c r="D1003" s="183"/>
      <c r="E1003" s="190"/>
      <c r="F1003" s="188"/>
      <c r="G1003" s="608"/>
      <c r="H1003" s="7"/>
      <c r="I1003" s="253"/>
      <c r="J1003" s="253"/>
      <c r="K1003" s="606"/>
      <c r="L1003" s="607"/>
      <c r="M1003" s="607"/>
      <c r="N1003" s="39" t="str">
        <f>IF(AND('331-CT'!$E$7=TH!H1003,OR(L1003="331",M1003="331")),"331",IF(AND(OR(L1003="131",M1003="131"),H1003='131-CT'!$E$7),"131",""))</f>
        <v/>
      </c>
      <c r="O1003" s="39" t="str">
        <f>IF(AND($B1003&gt;='111'!$N$11,$B1003&lt;='111'!$O$11,OR($L1003=$O$7,$M1003=$O$7)),"x","")</f>
        <v/>
      </c>
      <c r="P1003" s="39" t="str">
        <f>IF(AND($L1003=$O$7,$B1003&lt;'111'!$N$11),"x","")</f>
        <v/>
      </c>
      <c r="Q1003" s="39" t="str">
        <f>IF(AND($M1003=$O$7,$B1003&lt;'111'!$N$11),"x","")</f>
        <v/>
      </c>
      <c r="R1003" s="39" t="str">
        <f>IF(ISERROR(FIND('112'!$M$9,G1003,1)),"",IF((AND(FIND('112'!$M$9,G1003,1)&gt;=1,$B1003&gt;='112'!$N$8,$B1003&lt;='112'!$O$8,OR($L1003='112'!$I$6,$M1003='112'!$I$6))),"x",""))</f>
        <v/>
      </c>
      <c r="S1003" s="39" t="str">
        <f>IF(ISERROR(FIND('112'!$M$9,G1003,1)),"",IF((AND(LEFT(G1003,2)=LEFT('112'!$M$9,2),B1003&lt;'112'!$N$8,$L1003='112'!$I$6)),"x",""))</f>
        <v/>
      </c>
      <c r="T1003" s="39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39" t="str">
        <f>IF(OR(TH!L1003=TH!$V$7,M1003=TH!$V$7),"x","")</f>
        <v/>
      </c>
      <c r="W1003" s="39" t="str">
        <f>IF(AND(B1003&gt;='IN-NX'!$P$3,B1003&lt;='IN-NX'!$Q$3,'IN-NX'!$D$7=D1003,OR(LEFT(L1003,2)="15",AND(LEFT(M1003,2)&lt;&gt;"15",LEFT(M1003,2)&lt;&gt;"33"))),"x","")</f>
        <v/>
      </c>
      <c r="X1003" s="39" t="str">
        <f>IF(AND(OR(LEFT(TH!L1003,2)="15",LEFT(TH!M1003,2)="15"),'152-CT'!$J$8=TH!F1003),"x","")</f>
        <v/>
      </c>
      <c r="Y1003" s="39" t="str">
        <f>IF(AND(OR(LEFT(TH!L1003,2)="15",LEFT(TH!M1003,2)="15"),TK!$E$7=TH!F1003),"x","")</f>
        <v/>
      </c>
      <c r="Z1003" s="39" t="str">
        <f>IF(AND(B1003&lt;=NKC!$N$8,B1003&gt;=NKC!$M$8),"x","")</f>
        <v/>
      </c>
      <c r="AA1003" s="894"/>
    </row>
    <row r="1004" spans="1:30" ht="15.75" customHeight="1">
      <c r="A1004" s="199" t="str">
        <f>IF(B1004&lt;&gt;"",IF(AND(B1004&gt;=_TM1,B1004&lt;=_TM2,OR(TH!L1004="1111",TH!M1004="1111")),TH!D1004,""),"")</f>
        <v/>
      </c>
      <c r="B1004" s="36" t="str">
        <f t="shared" si="41"/>
        <v/>
      </c>
      <c r="C1004" s="37"/>
      <c r="D1004" s="37"/>
      <c r="E1004" s="37"/>
      <c r="F1004" s="40"/>
      <c r="G1004" s="40"/>
      <c r="H1004" s="7"/>
      <c r="I1004" s="253"/>
      <c r="J1004" s="253"/>
      <c r="K1004" s="606"/>
      <c r="L1004" s="39"/>
      <c r="M1004" s="39"/>
      <c r="N1004" s="39" t="str">
        <f>IF(AND('331-CT'!$E$7=TH!H1004,OR(L1004="331",M1004="331")),"331",IF(AND(OR(L1004="131",M1004="131"),H1004='131-CT'!$E$7),"131",""))</f>
        <v/>
      </c>
      <c r="O1004" s="39" t="str">
        <f>IF(AND($B1004&gt;='111'!$N$11,$B1004&lt;='111'!$O$11,OR($L1004=$O$7,$M1004=$O$7)),"x","")</f>
        <v/>
      </c>
      <c r="P1004" s="39" t="str">
        <f>IF(AND($L1004=$O$7,$B1004&lt;'111'!$N$11),"x","")</f>
        <v/>
      </c>
      <c r="Q1004" s="39" t="str">
        <f>IF(AND($M1004=$O$7,$B1004&lt;'111'!$N$11),"x","")</f>
        <v/>
      </c>
      <c r="R1004" s="39" t="str">
        <f>IF(ISERROR(FIND('112'!$M$9,G1004,1)),"",IF((AND(FIND('112'!$M$9,G1004,1)&gt;=1,$B1004&gt;='112'!$N$8,$B1004&lt;='112'!$O$8,OR($L1004='112'!$I$6,$M1004='112'!$I$6))),"x",""))</f>
        <v/>
      </c>
      <c r="S1004" s="39" t="str">
        <f>IF(ISERROR(FIND('112'!$M$9,G1004,1)),"",IF((AND(LEFT(G1004,2)=LEFT('112'!$M$9,2),B1004&lt;'112'!$N$8,$L1004='112'!$I$6)),"x",""))</f>
        <v/>
      </c>
      <c r="T1004" s="39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39" t="str">
        <f>IF(OR(TH!L1004=TH!$V$7,M1004=TH!$V$7),"x","")</f>
        <v/>
      </c>
      <c r="W1004" s="39" t="str">
        <f>IF(AND(B1004&gt;='IN-NX'!$P$3,B1004&lt;='IN-NX'!$Q$3,'IN-NX'!$D$7=D1004,OR(LEFT(L1004,2)="15",AND(LEFT(M1004,2)&lt;&gt;"15",LEFT(M1004,2)&lt;&gt;"33"))),"x","")</f>
        <v/>
      </c>
      <c r="X1004" s="39" t="str">
        <f>IF(AND(OR(LEFT(TH!L1004,2)="15",LEFT(TH!M1004,2)="15"),'152-CT'!$J$8=TH!F1004),"x","")</f>
        <v/>
      </c>
      <c r="Y1004" s="39" t="str">
        <f>IF(AND(OR(LEFT(TH!L1004,2)="15",LEFT(TH!M1004,2)="15"),TK!$E$7=TH!F1004),"x","")</f>
        <v/>
      </c>
      <c r="Z1004" s="39" t="str">
        <f>IF(AND(B1004&lt;=NKC!$N$8,B1004&gt;=NKC!$M$8),"x","")</f>
        <v/>
      </c>
      <c r="AA1004" s="894"/>
    </row>
    <row r="1005" spans="1:30" ht="15.75" customHeight="1">
      <c r="A1005" s="199" t="str">
        <f>IF(B1005&lt;&gt;"",IF(AND(B1005&gt;=_TM1,B1005&lt;=_TM2,OR(TH!L1005="1111",TH!M1005="1111")),TH!D1005,""),"")</f>
        <v/>
      </c>
      <c r="B1005" s="36" t="str">
        <f t="shared" si="41"/>
        <v/>
      </c>
      <c r="C1005" s="37"/>
      <c r="D1005" s="37"/>
      <c r="E1005" s="37"/>
      <c r="F1005" s="40"/>
      <c r="G1005" s="40"/>
      <c r="H1005" s="7"/>
      <c r="I1005" s="253"/>
      <c r="J1005" s="253"/>
      <c r="K1005" s="606"/>
      <c r="L1005" s="39"/>
      <c r="M1005" s="39"/>
      <c r="N1005" s="39" t="str">
        <f>IF(AND('331-CT'!$E$7=TH!H1005,OR(L1005="331",M1005="331")),"331",IF(AND(OR(L1005="131",M1005="131"),H1005='131-CT'!$E$7),"131",""))</f>
        <v/>
      </c>
      <c r="O1005" s="39" t="str">
        <f>IF(AND($B1005&gt;='111'!$N$11,$B1005&lt;='111'!$O$11,OR($L1005=$O$7,$M1005=$O$7)),"x","")</f>
        <v/>
      </c>
      <c r="P1005" s="39" t="str">
        <f>IF(AND($L1005=$O$7,$B1005&lt;'111'!$N$11),"x","")</f>
        <v/>
      </c>
      <c r="Q1005" s="39" t="str">
        <f>IF(AND($M1005=$O$7,$B1005&lt;'111'!$N$11),"x","")</f>
        <v/>
      </c>
      <c r="R1005" s="39" t="str">
        <f>IF(ISERROR(FIND('112'!$M$9,G1005,1)),"",IF((AND(FIND('112'!$M$9,G1005,1)&gt;=1,$B1005&gt;='112'!$N$8,$B1005&lt;='112'!$O$8,OR($L1005='112'!$I$6,$M1005='112'!$I$6))),"x",""))</f>
        <v/>
      </c>
      <c r="S1005" s="39" t="str">
        <f>IF(ISERROR(FIND('112'!$M$9,G1005,1)),"",IF((AND(LEFT(G1005,2)=LEFT('112'!$M$9,2),B1005&lt;'112'!$N$8,$L1005='112'!$I$6)),"x",""))</f>
        <v/>
      </c>
      <c r="T1005" s="39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39" t="str">
        <f>IF(OR(TH!L1005=TH!$V$7,M1005=TH!$V$7),"x","")</f>
        <v/>
      </c>
      <c r="W1005" s="39" t="str">
        <f>IF(AND(B1005&gt;='IN-NX'!$P$3,B1005&lt;='IN-NX'!$Q$3,'IN-NX'!$D$7=D1005,OR(LEFT(L1005,2)="15",AND(LEFT(M1005,2)&lt;&gt;"15",LEFT(M1005,2)&lt;&gt;"33"))),"x","")</f>
        <v/>
      </c>
      <c r="X1005" s="39" t="str">
        <f>IF(AND(OR(LEFT(TH!L1005,2)="15",LEFT(TH!M1005,2)="15"),'152-CT'!$J$8=TH!F1005),"x","")</f>
        <v/>
      </c>
      <c r="Y1005" s="39" t="str">
        <f>IF(AND(OR(LEFT(TH!L1005,2)="15",LEFT(TH!M1005,2)="15"),TK!$E$7=TH!F1005),"x","")</f>
        <v/>
      </c>
      <c r="Z1005" s="39" t="str">
        <f>IF(AND(B1005&lt;=NKC!$N$8,B1005&gt;=NKC!$M$8),"x","")</f>
        <v/>
      </c>
      <c r="AA1005" s="894"/>
    </row>
    <row r="1006" spans="1:30" ht="15.75" customHeight="1">
      <c r="A1006" s="199" t="str">
        <f>IF(B1006&lt;&gt;"",IF(AND(B1006&gt;=_TM1,B1006&lt;=_TM2,OR(TH!L1006="1111",TH!M1006="1111")),TH!D1006,""),"")</f>
        <v/>
      </c>
      <c r="B1006" s="36" t="str">
        <f t="shared" si="41"/>
        <v/>
      </c>
      <c r="C1006" s="37"/>
      <c r="D1006" s="37"/>
      <c r="E1006" s="37"/>
      <c r="F1006" s="40"/>
      <c r="G1006" s="40"/>
      <c r="H1006" s="7"/>
      <c r="I1006" s="253"/>
      <c r="J1006" s="253"/>
      <c r="K1006" s="606"/>
      <c r="L1006" s="39"/>
      <c r="M1006" s="39"/>
      <c r="N1006" s="39" t="str">
        <f>IF(AND('331-CT'!$E$7=TH!H1006,OR(L1006="331",M1006="331")),"331",IF(AND(OR(L1006="131",M1006="131"),H1006='131-CT'!$E$7),"131",""))</f>
        <v/>
      </c>
      <c r="O1006" s="39" t="str">
        <f>IF(AND($B1006&gt;='111'!$N$11,$B1006&lt;='111'!$O$11,OR($L1006=$O$7,$M1006=$O$7)),"x","")</f>
        <v/>
      </c>
      <c r="P1006" s="39" t="str">
        <f>IF(AND($L1006=$O$7,$B1006&lt;'111'!$N$11),"x","")</f>
        <v/>
      </c>
      <c r="Q1006" s="39" t="str">
        <f>IF(AND($M1006=$O$7,$B1006&lt;'111'!$N$11),"x","")</f>
        <v/>
      </c>
      <c r="R1006" s="39" t="str">
        <f>IF(ISERROR(FIND('112'!$M$9,G1006,1)),"",IF((AND(FIND('112'!$M$9,G1006,1)&gt;=1,$B1006&gt;='112'!$N$8,$B1006&lt;='112'!$O$8,OR($L1006='112'!$I$6,$M1006='112'!$I$6))),"x",""))</f>
        <v/>
      </c>
      <c r="S1006" s="39" t="str">
        <f>IF(ISERROR(FIND('112'!$M$9,G1006,1)),"",IF((AND(LEFT(G1006,2)=LEFT('112'!$M$9,2),B1006&lt;'112'!$N$8,$L1006='112'!$I$6)),"x",""))</f>
        <v/>
      </c>
      <c r="T1006" s="39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39" t="str">
        <f>IF(OR(TH!L1006=TH!$V$7,M1006=TH!$V$7),"x","")</f>
        <v/>
      </c>
      <c r="W1006" s="39" t="str">
        <f>IF(AND(B1006&gt;='IN-NX'!$P$3,B1006&lt;='IN-NX'!$Q$3,'IN-NX'!$D$7=D1006,OR(LEFT(L1006,2)="15",AND(LEFT(M1006,2)&lt;&gt;"15",LEFT(M1006,2)&lt;&gt;"33"))),"x","")</f>
        <v/>
      </c>
      <c r="X1006" s="39" t="str">
        <f>IF(AND(OR(LEFT(TH!L1006,2)="15",LEFT(TH!M1006,2)="15"),'152-CT'!$J$8=TH!F1006),"x","")</f>
        <v/>
      </c>
      <c r="Y1006" s="39" t="str">
        <f>IF(AND(OR(LEFT(TH!L1006,2)="15",LEFT(TH!M1006,2)="15"),TK!$E$7=TH!F1006),"x","")</f>
        <v/>
      </c>
      <c r="Z1006" s="39" t="str">
        <f>IF(AND(B1006&lt;=NKC!$N$8,B1006&gt;=NKC!$M$8),"x","")</f>
        <v/>
      </c>
      <c r="AA1006" s="894"/>
    </row>
    <row r="1007" spans="1:30" ht="15.75" customHeight="1">
      <c r="A1007" s="199" t="str">
        <f>IF(B1007&lt;&gt;"",IF(AND(B1007&gt;=_TM1,B1007&lt;=_TM2,OR(TH!L1007="1111",TH!M1007="1111")),TH!D1007,""),"")</f>
        <v/>
      </c>
      <c r="B1007" s="36" t="str">
        <f t="shared" si="41"/>
        <v/>
      </c>
      <c r="C1007" s="190"/>
      <c r="D1007" s="183"/>
      <c r="E1007" s="190"/>
      <c r="F1007" s="293"/>
      <c r="G1007" s="491"/>
      <c r="H1007" s="7"/>
      <c r="I1007" s="253"/>
      <c r="J1007" s="253"/>
      <c r="K1007" s="606"/>
      <c r="L1007" s="193"/>
      <c r="M1007" s="193"/>
      <c r="N1007" s="39" t="str">
        <f>IF(AND('331-CT'!$E$7=TH!H1007,OR(L1007="331",M1007="331")),"331",IF(AND(OR(L1007="131",M1007="131"),H1007='131-CT'!$E$7),"131",""))</f>
        <v/>
      </c>
      <c r="O1007" s="39" t="str">
        <f>IF(AND($B1007&gt;='111'!$N$11,$B1007&lt;='111'!$O$11,OR($L1007=$O$7,$M1007=$O$7)),"x","")</f>
        <v/>
      </c>
      <c r="P1007" s="39" t="str">
        <f>IF(AND($L1007=$O$7,$B1007&lt;'111'!$N$11),"x","")</f>
        <v/>
      </c>
      <c r="Q1007" s="39" t="str">
        <f>IF(AND($M1007=$O$7,$B1007&lt;'111'!$N$11),"x","")</f>
        <v/>
      </c>
      <c r="R1007" s="39" t="str">
        <f>IF(ISERROR(FIND('112'!$M$9,G1007,1)),"",IF((AND(FIND('112'!$M$9,G1007,1)&gt;=1,$B1007&gt;='112'!$N$8,$B1007&lt;='112'!$O$8,OR($L1007='112'!$I$6,$M1007='112'!$I$6))),"x",""))</f>
        <v/>
      </c>
      <c r="S1007" s="39" t="str">
        <f>IF(ISERROR(FIND('112'!$M$9,G1007,1)),"",IF((AND(LEFT(G1007,2)=LEFT('112'!$M$9,2),B1007&lt;'112'!$N$8,$L1007='112'!$I$6)),"x",""))</f>
        <v/>
      </c>
      <c r="T1007" s="39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39" t="str">
        <f>IF(OR(TH!L1007=TH!$V$7,M1007=TH!$V$7),"x","")</f>
        <v/>
      </c>
      <c r="W1007" s="39" t="str">
        <f>IF(AND(B1007&gt;='IN-NX'!$P$3,B1007&lt;='IN-NX'!$Q$3,'IN-NX'!$D$7=D1007,OR(LEFT(L1007,2)="15",AND(LEFT(M1007,2)&lt;&gt;"15",LEFT(M1007,2)&lt;&gt;"33"))),"x","")</f>
        <v/>
      </c>
      <c r="X1007" s="39" t="str">
        <f>IF(AND(OR(LEFT(TH!L1007,2)="15",LEFT(TH!M1007,2)="15"),'152-CT'!$J$8=TH!F1007),"x","")</f>
        <v/>
      </c>
      <c r="Y1007" s="39" t="str">
        <f>IF(AND(OR(LEFT(TH!L1007,2)="15",LEFT(TH!M1007,2)="15"),TK!$E$7=TH!F1007),"x","")</f>
        <v/>
      </c>
      <c r="Z1007" s="39" t="str">
        <f>IF(AND(B1007&lt;=NKC!$N$8,B1007&gt;=NKC!$M$8),"x","")</f>
        <v/>
      </c>
      <c r="AA1007" s="894"/>
    </row>
    <row r="1008" spans="1:30" ht="15.75" customHeight="1">
      <c r="A1008" s="199" t="str">
        <f>IF(B1008&lt;&gt;"",IF(AND(B1008&gt;=_TM1,B1008&lt;=_TM2,OR(TH!L1008="1111",TH!M1008="1111")),TH!D1008,""),"")</f>
        <v/>
      </c>
      <c r="B1008" s="36" t="str">
        <f t="shared" si="41"/>
        <v/>
      </c>
      <c r="C1008" s="190"/>
      <c r="D1008" s="183"/>
      <c r="E1008" s="190"/>
      <c r="F1008" s="293"/>
      <c r="G1008" s="491"/>
      <c r="H1008" s="7"/>
      <c r="I1008" s="253"/>
      <c r="J1008" s="253"/>
      <c r="K1008" s="38"/>
      <c r="L1008" s="193"/>
      <c r="M1008" s="193"/>
      <c r="N1008" s="39" t="str">
        <f>IF(AND('331-CT'!$E$7=TH!H1008,OR(L1008="331",M1008="331")),"331",IF(AND(OR(L1008="131",M1008="131"),H1008='131-CT'!$E$7),"131",""))</f>
        <v/>
      </c>
      <c r="O1008" s="39" t="str">
        <f>IF(AND($B1008&gt;='111'!$N$11,$B1008&lt;='111'!$O$11,OR($L1008=$O$7,$M1008=$O$7)),"x","")</f>
        <v/>
      </c>
      <c r="P1008" s="39" t="str">
        <f>IF(AND($L1008=$O$7,$B1008&lt;'111'!$N$11),"x","")</f>
        <v/>
      </c>
      <c r="Q1008" s="39" t="str">
        <f>IF(AND($M1008=$O$7,$B1008&lt;'111'!$N$11),"x","")</f>
        <v/>
      </c>
      <c r="R1008" s="39" t="str">
        <f>IF(ISERROR(FIND('112'!$M$9,G1008,1)),"",IF((AND(FIND('112'!$M$9,G1008,1)&gt;=1,$B1008&gt;='112'!$N$8,$B1008&lt;='112'!$O$8,OR($L1008='112'!$I$6,$M1008='112'!$I$6))),"x",""))</f>
        <v/>
      </c>
      <c r="S1008" s="39" t="str">
        <f>IF(ISERROR(FIND('112'!$M$9,G1008,1)),"",IF((AND(LEFT(G1008,2)=LEFT('112'!$M$9,2),B1008&lt;'112'!$N$8,$L1008='112'!$I$6)),"x",""))</f>
        <v/>
      </c>
      <c r="T1008" s="39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39" t="str">
        <f>IF(OR(TH!L1008=TH!$V$7,M1008=TH!$V$7),"x","")</f>
        <v/>
      </c>
      <c r="W1008" s="39" t="str">
        <f>IF(AND(B1008&gt;='IN-NX'!$P$3,B1008&lt;='IN-NX'!$Q$3,'IN-NX'!$D$7=D1008,OR(LEFT(L1008,2)="15",AND(LEFT(M1008,2)&lt;&gt;"15",LEFT(M1008,2)&lt;&gt;"33"))),"x","")</f>
        <v/>
      </c>
      <c r="X1008" s="39" t="str">
        <f>IF(AND(OR(LEFT(TH!L1008,2)="15",LEFT(TH!M1008,2)="15"),'152-CT'!$J$8=TH!F1008),"x","")</f>
        <v/>
      </c>
      <c r="Y1008" s="39" t="str">
        <f>IF(AND(OR(LEFT(TH!L1008,2)="15",LEFT(TH!M1008,2)="15"),TK!$E$7=TH!F1008),"x","")</f>
        <v/>
      </c>
      <c r="Z1008" s="39" t="str">
        <f>IF(AND(B1008&lt;=NKC!$N$8,B1008&gt;=NKC!$M$8),"x","")</f>
        <v/>
      </c>
      <c r="AA1008" s="894"/>
    </row>
    <row r="1009" spans="1:28" ht="15.75" customHeight="1">
      <c r="A1009" s="199" t="str">
        <f>IF(B1009&lt;&gt;"",IF(AND(B1009&gt;=_TM1,B1009&lt;=_TM2,OR(TH!L1009="1111",TH!M1009="1111")),TH!D1009,""),"")</f>
        <v/>
      </c>
      <c r="B1009" s="36" t="str">
        <f t="shared" si="41"/>
        <v/>
      </c>
      <c r="C1009" s="37"/>
      <c r="D1009" s="37"/>
      <c r="E1009" s="776"/>
      <c r="F1009" s="293"/>
      <c r="G1009" s="40"/>
      <c r="H1009" s="7"/>
      <c r="I1009" s="253"/>
      <c r="J1009" s="253"/>
      <c r="K1009" s="606"/>
      <c r="L1009" s="39"/>
      <c r="M1009" s="39"/>
      <c r="N1009" s="39" t="str">
        <f>IF(AND('331-CT'!$E$7=TH!H1009,OR(L1009="331",M1009="331")),"331",IF(AND(OR(L1009="131",M1009="131"),H1009='131-CT'!$E$7),"131",""))</f>
        <v/>
      </c>
      <c r="O1009" s="39" t="str">
        <f>IF(AND($B1009&gt;='111'!$N$11,$B1009&lt;='111'!$O$11,OR($L1009=$O$7,$M1009=$O$7)),"x","")</f>
        <v/>
      </c>
      <c r="P1009" s="39" t="str">
        <f>IF(AND($L1009=$O$7,$B1009&lt;'111'!$N$11),"x","")</f>
        <v/>
      </c>
      <c r="Q1009" s="39" t="str">
        <f>IF(AND($M1009=$O$7,$B1009&lt;'111'!$N$11),"x","")</f>
        <v/>
      </c>
      <c r="R1009" s="39" t="str">
        <f>IF(ISERROR(FIND('112'!$M$9,G1009,1)),"",IF((AND(FIND('112'!$M$9,G1009,1)&gt;=1,$B1009&gt;='112'!$N$8,$B1009&lt;='112'!$O$8,OR($L1009='112'!$I$6,$M1009='112'!$I$6))),"x",""))</f>
        <v/>
      </c>
      <c r="S1009" s="39" t="str">
        <f>IF(ISERROR(FIND('112'!$M$9,G1009,1)),"",IF((AND(LEFT(G1009,2)=LEFT('112'!$M$9,2),B1009&lt;'112'!$N$8,$L1009='112'!$I$6)),"x",""))</f>
        <v/>
      </c>
      <c r="T1009" s="39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39" t="str">
        <f>IF(OR(TH!L1009=TH!$V$7,M1009=TH!$V$7),"x","")</f>
        <v/>
      </c>
      <c r="W1009" s="39" t="str">
        <f>IF(AND(B1009&gt;='IN-NX'!$P$3,B1009&lt;='IN-NX'!$Q$3,'IN-NX'!$D$7=D1009,OR(LEFT(L1009,2)="15",AND(LEFT(M1009,2)&lt;&gt;"15",LEFT(M1009,2)&lt;&gt;"33"))),"x","")</f>
        <v/>
      </c>
      <c r="X1009" s="39" t="str">
        <f>IF(AND(OR(LEFT(TH!L1009,2)="15",LEFT(TH!M1009,2)="15"),'152-CT'!$J$8=TH!F1009),"x","")</f>
        <v/>
      </c>
      <c r="Y1009" s="39" t="str">
        <f>IF(AND(OR(LEFT(TH!L1009,2)="15",LEFT(TH!M1009,2)="15"),TK!$E$7=TH!F1009),"x","")</f>
        <v/>
      </c>
      <c r="Z1009" s="39" t="str">
        <f>IF(AND(B1009&lt;=NKC!$N$8,B1009&gt;=NKC!$M$8),"x","")</f>
        <v/>
      </c>
      <c r="AA1009" s="894"/>
    </row>
    <row r="1010" spans="1:28" ht="15.75" customHeight="1">
      <c r="A1010" s="199" t="str">
        <f>IF(B1010&lt;&gt;"",IF(AND(B1010&gt;=_TM1,B1010&lt;=_TM2,OR(TH!L1010="1111",TH!M1010="1111")),TH!D1010,""),"")</f>
        <v/>
      </c>
      <c r="B1010" s="36" t="str">
        <f t="shared" si="41"/>
        <v/>
      </c>
      <c r="C1010" s="37"/>
      <c r="D1010" s="37"/>
      <c r="E1010" s="776"/>
      <c r="F1010" s="40"/>
      <c r="G1010" s="40"/>
      <c r="H1010" s="7"/>
      <c r="I1010" s="253"/>
      <c r="J1010" s="253"/>
      <c r="K1010" s="606"/>
      <c r="L1010" s="39"/>
      <c r="M1010" s="39"/>
      <c r="N1010" s="39" t="str">
        <f>IF(AND('331-CT'!$E$7=TH!H1010,OR(L1010="331",M1010="331")),"331",IF(AND(OR(L1010="131",M1010="131"),H1010='131-CT'!$E$7),"131",""))</f>
        <v/>
      </c>
      <c r="O1010" s="39" t="str">
        <f>IF(AND($B1010&gt;='111'!$N$11,$B1010&lt;='111'!$O$11,OR($L1010=$O$7,$M1010=$O$7)),"x","")</f>
        <v/>
      </c>
      <c r="P1010" s="39" t="str">
        <f>IF(AND($L1010=$O$7,$B1010&lt;'111'!$N$11),"x","")</f>
        <v/>
      </c>
      <c r="Q1010" s="39" t="str">
        <f>IF(AND($M1010=$O$7,$B1010&lt;'111'!$N$11),"x","")</f>
        <v/>
      </c>
      <c r="R1010" s="39" t="str">
        <f>IF(ISERROR(FIND('112'!$M$9,G1010,1)),"",IF((AND(FIND('112'!$M$9,G1010,1)&gt;=1,$B1010&gt;='112'!$N$8,$B1010&lt;='112'!$O$8,OR($L1010='112'!$I$6,$M1010='112'!$I$6))),"x",""))</f>
        <v/>
      </c>
      <c r="S1010" s="39" t="str">
        <f>IF(ISERROR(FIND('112'!$M$9,G1010,1)),"",IF((AND(LEFT(G1010,2)=LEFT('112'!$M$9,2),B1010&lt;'112'!$N$8,$L1010='112'!$I$6)),"x",""))</f>
        <v/>
      </c>
      <c r="T1010" s="39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39" t="str">
        <f>IF(OR(TH!L1010=TH!$V$7,M1010=TH!$V$7),"x","")</f>
        <v/>
      </c>
      <c r="W1010" s="39" t="str">
        <f>IF(AND(B1010&gt;='IN-NX'!$P$3,B1010&lt;='IN-NX'!$Q$3,'IN-NX'!$D$7=D1010,OR(LEFT(L1010,2)="15",AND(LEFT(M1010,2)&lt;&gt;"15",LEFT(M1010,2)&lt;&gt;"33"))),"x","")</f>
        <v/>
      </c>
      <c r="X1010" s="39" t="str">
        <f>IF(AND(OR(LEFT(TH!L1010,2)="15",LEFT(TH!M1010,2)="15"),'152-CT'!$J$8=TH!F1010),"x","")</f>
        <v/>
      </c>
      <c r="Y1010" s="39" t="str">
        <f>IF(AND(OR(LEFT(TH!L1010,2)="15",LEFT(TH!M1010,2)="15"),TK!$E$7=TH!F1010),"x","")</f>
        <v/>
      </c>
      <c r="Z1010" s="39" t="str">
        <f>IF(AND(B1010&lt;=NKC!$N$8,B1010&gt;=NKC!$M$8),"x","")</f>
        <v/>
      </c>
      <c r="AA1010" s="894"/>
    </row>
    <row r="1011" spans="1:28" ht="15.75" customHeight="1">
      <c r="A1011" s="199" t="str">
        <f>IF(B1011&lt;&gt;"",IF(AND(B1011&gt;=_TM1,B1011&lt;=_TM2,OR(TH!L1011="1111",TH!M1011="1111")),TH!D1011,""),"")</f>
        <v/>
      </c>
      <c r="B1011" s="36" t="str">
        <f t="shared" si="41"/>
        <v/>
      </c>
      <c r="C1011" s="37"/>
      <c r="D1011" s="37"/>
      <c r="E1011" s="776"/>
      <c r="F1011" s="40"/>
      <c r="G1011" s="40"/>
      <c r="H1011" s="7"/>
      <c r="I1011" s="821"/>
      <c r="J1011" s="253"/>
      <c r="K1011" s="606"/>
      <c r="L1011" s="39"/>
      <c r="M1011" s="39"/>
      <c r="N1011" s="39" t="str">
        <f>IF(AND('331-CT'!$E$7=TH!H1011,OR(L1011="331",M1011="331")),"331",IF(AND(OR(L1011="131",M1011="131"),H1011='131-CT'!$E$7),"131",""))</f>
        <v/>
      </c>
      <c r="O1011" s="39" t="str">
        <f>IF(AND($B1011&gt;='111'!$N$11,$B1011&lt;='111'!$O$11,OR($L1011=$O$7,$M1011=$O$7)),"x","")</f>
        <v/>
      </c>
      <c r="P1011" s="39" t="str">
        <f>IF(AND($L1011=$O$7,$B1011&lt;'111'!$N$11),"x","")</f>
        <v/>
      </c>
      <c r="Q1011" s="39" t="str">
        <f>IF(AND($M1011=$O$7,$B1011&lt;'111'!$N$11),"x","")</f>
        <v/>
      </c>
      <c r="R1011" s="39" t="str">
        <f>IF(ISERROR(FIND('112'!$M$9,G1011,1)),"",IF((AND(FIND('112'!$M$9,G1011,1)&gt;=1,$B1011&gt;='112'!$N$8,$B1011&lt;='112'!$O$8,OR($L1011='112'!$I$6,$M1011='112'!$I$6))),"x",""))</f>
        <v/>
      </c>
      <c r="S1011" s="39" t="str">
        <f>IF(ISERROR(FIND('112'!$M$9,G1011,1)),"",IF((AND(LEFT(G1011,2)=LEFT('112'!$M$9,2),B1011&lt;'112'!$N$8,$L1011='112'!$I$6)),"x",""))</f>
        <v/>
      </c>
      <c r="T1011" s="39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39" t="str">
        <f>IF(OR(TH!L1011=TH!$V$7,M1011=TH!$V$7),"x","")</f>
        <v/>
      </c>
      <c r="W1011" s="39" t="str">
        <f>IF(AND(B1011&gt;='IN-NX'!$P$3,B1011&lt;='IN-NX'!$Q$3,'IN-NX'!$D$7=D1011,OR(LEFT(L1011,2)="15",AND(LEFT(M1011,2)&lt;&gt;"15",LEFT(M1011,2)&lt;&gt;"33"))),"x","")</f>
        <v/>
      </c>
      <c r="X1011" s="39" t="str">
        <f>IF(AND(OR(LEFT(TH!L1011,2)="15",LEFT(TH!M1011,2)="15"),'152-CT'!$J$8=TH!F1011),"x","")</f>
        <v/>
      </c>
      <c r="Y1011" s="39" t="str">
        <f>IF(AND(OR(LEFT(TH!L1011,2)="15",LEFT(TH!M1011,2)="15"),TK!$E$7=TH!F1011),"x","")</f>
        <v/>
      </c>
      <c r="Z1011" s="39" t="str">
        <f>IF(AND(B1011&lt;=NKC!$N$8,B1011&gt;=NKC!$M$8),"x","")</f>
        <v/>
      </c>
      <c r="AA1011" s="894"/>
    </row>
    <row r="1012" spans="1:28" ht="15.75" customHeight="1">
      <c r="A1012" s="199" t="str">
        <f>IF(B1012&lt;&gt;"",IF(AND(B1012&gt;=_TM1,B1012&lt;=_TM2,OR(TH!L1012="1111",TH!M1012="1111")),TH!D1012,""),"")</f>
        <v/>
      </c>
      <c r="B1012" s="36" t="str">
        <f t="shared" si="41"/>
        <v/>
      </c>
      <c r="C1012" s="37"/>
      <c r="D1012" s="37"/>
      <c r="E1012" s="776"/>
      <c r="F1012" s="188"/>
      <c r="G1012" s="40"/>
      <c r="H1012" s="7"/>
      <c r="I1012" s="821"/>
      <c r="J1012" s="253"/>
      <c r="K1012" s="606"/>
      <c r="L1012" s="39"/>
      <c r="M1012" s="39"/>
      <c r="N1012" s="39" t="str">
        <f>IF(AND('331-CT'!$E$7=TH!H1012,OR(L1012="331",M1012="331")),"331",IF(AND(OR(L1012="131",M1012="131"),H1012='131-CT'!$E$7),"131",""))</f>
        <v/>
      </c>
      <c r="O1012" s="39" t="str">
        <f>IF(AND($B1012&gt;='111'!$N$11,$B1012&lt;='111'!$O$11,OR($L1012=$O$7,$M1012=$O$7)),"x","")</f>
        <v/>
      </c>
      <c r="P1012" s="39" t="str">
        <f>IF(AND($L1012=$O$7,$B1012&lt;'111'!$N$11),"x","")</f>
        <v/>
      </c>
      <c r="Q1012" s="39" t="str">
        <f>IF(AND($M1012=$O$7,$B1012&lt;'111'!$N$11),"x","")</f>
        <v/>
      </c>
      <c r="R1012" s="39" t="str">
        <f>IF(ISERROR(FIND('112'!$M$9,G1012,1)),"",IF((AND(FIND('112'!$M$9,G1012,1)&gt;=1,$B1012&gt;='112'!$N$8,$B1012&lt;='112'!$O$8,OR($L1012='112'!$I$6,$M1012='112'!$I$6))),"x",""))</f>
        <v/>
      </c>
      <c r="S1012" s="39" t="str">
        <f>IF(ISERROR(FIND('112'!$M$9,G1012,1)),"",IF((AND(LEFT(G1012,2)=LEFT('112'!$M$9,2),B1012&lt;'112'!$N$8,$L1012='112'!$I$6)),"x",""))</f>
        <v/>
      </c>
      <c r="T1012" s="39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39" t="str">
        <f>IF(OR(TH!L1012=TH!$V$7,M1012=TH!$V$7),"x","")</f>
        <v/>
      </c>
      <c r="W1012" s="39" t="str">
        <f>IF(AND(B1012&gt;='IN-NX'!$P$3,B1012&lt;='IN-NX'!$Q$3,'IN-NX'!$D$7=D1012,OR(LEFT(L1012,2)="15",AND(LEFT(M1012,2)&lt;&gt;"15",LEFT(M1012,2)&lt;&gt;"33"))),"x","")</f>
        <v/>
      </c>
      <c r="X1012" s="39" t="str">
        <f>IF(AND(OR(LEFT(TH!L1012,2)="15",LEFT(TH!M1012,2)="15"),'152-CT'!$J$8=TH!F1012),"x","")</f>
        <v/>
      </c>
      <c r="Y1012" s="39" t="str">
        <f>IF(AND(OR(LEFT(TH!L1012,2)="15",LEFT(TH!M1012,2)="15"),TK!$E$7=TH!F1012),"x","")</f>
        <v/>
      </c>
      <c r="Z1012" s="39" t="str">
        <f>IF(AND(B1012&lt;=NKC!$N$8,B1012&gt;=NKC!$M$8),"x","")</f>
        <v/>
      </c>
      <c r="AA1012" s="894"/>
    </row>
    <row r="1013" spans="1:28" ht="15.75" customHeight="1">
      <c r="A1013" s="199" t="str">
        <f>IF(B1013&lt;&gt;"",IF(AND(B1013&gt;=_TM1,B1013&lt;=_TM2,OR(TH!L1013="1111",TH!M1013="1111")),TH!D1013,""),"")</f>
        <v/>
      </c>
      <c r="B1013" s="36" t="str">
        <f t="shared" si="41"/>
        <v/>
      </c>
      <c r="C1013" s="37"/>
      <c r="D1013" s="37"/>
      <c r="E1013" s="776"/>
      <c r="F1013" s="188"/>
      <c r="G1013" s="40"/>
      <c r="H1013" s="7"/>
      <c r="I1013" s="821"/>
      <c r="J1013" s="253"/>
      <c r="K1013" s="606"/>
      <c r="L1013" s="39"/>
      <c r="M1013" s="39"/>
      <c r="N1013" s="39" t="str">
        <f>IF(AND('331-CT'!$E$7=TH!H1013,OR(L1013="331",M1013="331")),"331",IF(AND(OR(L1013="131",M1013="131"),H1013='131-CT'!$E$7),"131",""))</f>
        <v/>
      </c>
      <c r="O1013" s="39" t="str">
        <f>IF(AND($B1013&gt;='111'!$N$11,$B1013&lt;='111'!$O$11,OR($L1013=$O$7,$M1013=$O$7)),"x","")</f>
        <v/>
      </c>
      <c r="P1013" s="39" t="str">
        <f>IF(AND($L1013=$O$7,$B1013&lt;'111'!$N$11),"x","")</f>
        <v/>
      </c>
      <c r="Q1013" s="39" t="str">
        <f>IF(AND($M1013=$O$7,$B1013&lt;'111'!$N$11),"x","")</f>
        <v/>
      </c>
      <c r="R1013" s="39" t="str">
        <f>IF(ISERROR(FIND('112'!$M$9,G1013,1)),"",IF((AND(FIND('112'!$M$9,G1013,1)&gt;=1,$B1013&gt;='112'!$N$8,$B1013&lt;='112'!$O$8,OR($L1013='112'!$I$6,$M1013='112'!$I$6))),"x",""))</f>
        <v/>
      </c>
      <c r="S1013" s="39" t="str">
        <f>IF(ISERROR(FIND('112'!$M$9,G1013,1)),"",IF((AND(LEFT(G1013,2)=LEFT('112'!$M$9,2),B1013&lt;'112'!$N$8,$L1013='112'!$I$6)),"x",""))</f>
        <v/>
      </c>
      <c r="T1013" s="39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39" t="str">
        <f>IF(OR(TH!L1013=TH!$V$7,M1013=TH!$V$7),"x","")</f>
        <v/>
      </c>
      <c r="W1013" s="39" t="str">
        <f>IF(AND(B1013&gt;='IN-NX'!$P$3,B1013&lt;='IN-NX'!$Q$3,'IN-NX'!$D$7=D1013,OR(LEFT(L1013,2)="15",AND(LEFT(M1013,2)&lt;&gt;"15",LEFT(M1013,2)&lt;&gt;"33"))),"x","")</f>
        <v/>
      </c>
      <c r="X1013" s="39" t="str">
        <f>IF(AND(OR(LEFT(TH!L1013,2)="15",LEFT(TH!M1013,2)="15"),'152-CT'!$J$8=TH!F1013),"x","")</f>
        <v/>
      </c>
      <c r="Y1013" s="39" t="str">
        <f>IF(AND(OR(LEFT(TH!L1013,2)="15",LEFT(TH!M1013,2)="15"),TK!$E$7=TH!F1013),"x","")</f>
        <v/>
      </c>
      <c r="Z1013" s="39" t="str">
        <f>IF(AND(B1013&lt;=NKC!$N$8,B1013&gt;=NKC!$M$8),"x","")</f>
        <v/>
      </c>
      <c r="AA1013" s="894"/>
    </row>
    <row r="1014" spans="1:28" ht="15.75" customHeight="1">
      <c r="A1014" s="199" t="str">
        <f>IF(B1014&lt;&gt;"",IF(AND(B1014&gt;=_TM1,B1014&lt;=_TM2,OR(TH!L1014="1111",TH!M1014="1111")),TH!D1014,""),"")</f>
        <v/>
      </c>
      <c r="B1014" s="36" t="str">
        <f t="shared" si="41"/>
        <v/>
      </c>
      <c r="C1014" s="37"/>
      <c r="D1014" s="37"/>
      <c r="E1014" s="776"/>
      <c r="F1014" s="293"/>
      <c r="G1014" s="40"/>
      <c r="H1014" s="7"/>
      <c r="I1014" s="253"/>
      <c r="J1014" s="253"/>
      <c r="K1014" s="606"/>
      <c r="L1014" s="39"/>
      <c r="M1014" s="39"/>
      <c r="N1014" s="39" t="str">
        <f>IF(AND('331-CT'!$E$7=TH!H1014,OR(L1014="331",M1014="331")),"331",IF(AND(OR(L1014="131",M1014="131"),H1014='131-CT'!$E$7),"131",""))</f>
        <v/>
      </c>
      <c r="O1014" s="39" t="str">
        <f>IF(AND($B1014&gt;='111'!$N$11,$B1014&lt;='111'!$O$11,OR($L1014=$O$7,$M1014=$O$7)),"x","")</f>
        <v/>
      </c>
      <c r="P1014" s="39" t="str">
        <f>IF(AND($L1014=$O$7,$B1014&lt;'111'!$N$11),"x","")</f>
        <v/>
      </c>
      <c r="Q1014" s="39" t="str">
        <f>IF(AND($M1014=$O$7,$B1014&lt;'111'!$N$11),"x","")</f>
        <v/>
      </c>
      <c r="R1014" s="39" t="str">
        <f>IF(ISERROR(FIND('112'!$M$9,G1014,1)),"",IF((AND(FIND('112'!$M$9,G1014,1)&gt;=1,$B1014&gt;='112'!$N$8,$B1014&lt;='112'!$O$8,OR($L1014='112'!$I$6,$M1014='112'!$I$6))),"x",""))</f>
        <v/>
      </c>
      <c r="S1014" s="39" t="str">
        <f>IF(ISERROR(FIND('112'!$M$9,G1014,1)),"",IF((AND(LEFT(G1014,2)=LEFT('112'!$M$9,2),B1014&lt;'112'!$N$8,$L1014='112'!$I$6)),"x",""))</f>
        <v/>
      </c>
      <c r="T1014" s="39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39" t="str">
        <f>IF(OR(TH!L1014=TH!$V$7,M1014=TH!$V$7),"x","")</f>
        <v/>
      </c>
      <c r="W1014" s="39" t="str">
        <f>IF(AND(B1014&gt;='IN-NX'!$P$3,B1014&lt;='IN-NX'!$Q$3,'IN-NX'!$D$7=D1014,OR(LEFT(L1014,2)="15",AND(LEFT(M1014,2)&lt;&gt;"15",LEFT(M1014,2)&lt;&gt;"33"))),"x","")</f>
        <v/>
      </c>
      <c r="X1014" s="39" t="str">
        <f>IF(AND(OR(LEFT(TH!L1014,2)="15",LEFT(TH!M1014,2)="15"),'152-CT'!$J$8=TH!F1014),"x","")</f>
        <v/>
      </c>
      <c r="Y1014" s="39" t="str">
        <f>IF(AND(OR(LEFT(TH!L1014,2)="15",LEFT(TH!M1014,2)="15"),TK!$E$7=TH!F1014),"x","")</f>
        <v/>
      </c>
      <c r="Z1014" s="39" t="str">
        <f>IF(AND(B1014&lt;=NKC!$N$8,B1014&gt;=NKC!$M$8),"x","")</f>
        <v/>
      </c>
      <c r="AA1014" s="894"/>
    </row>
    <row r="1015" spans="1:28" ht="15.75" customHeight="1">
      <c r="A1015" s="199" t="str">
        <f>IF(B1015&lt;&gt;"",IF(AND(B1015&gt;=_TM1,B1015&lt;=_TM2,OR(TH!L1015="1111",TH!M1015="1111")),TH!D1015,""),"")</f>
        <v/>
      </c>
      <c r="B1015" s="36" t="str">
        <f t="shared" si="41"/>
        <v/>
      </c>
      <c r="C1015" s="37"/>
      <c r="D1015" s="37"/>
      <c r="E1015" s="776"/>
      <c r="F1015" s="188"/>
      <c r="G1015" s="40"/>
      <c r="H1015" s="7"/>
      <c r="I1015" s="821"/>
      <c r="J1015" s="253"/>
      <c r="K1015" s="606"/>
      <c r="L1015" s="39"/>
      <c r="M1015" s="39"/>
      <c r="N1015" s="39" t="str">
        <f>IF(AND('331-CT'!$E$7=TH!H1015,OR(L1015="331",M1015="331")),"331",IF(AND(OR(L1015="131",M1015="131"),H1015='131-CT'!$E$7),"131",""))</f>
        <v/>
      </c>
      <c r="O1015" s="39" t="str">
        <f>IF(AND($B1015&gt;='111'!$N$11,$B1015&lt;='111'!$O$11,OR($L1015=$O$7,$M1015=$O$7)),"x","")</f>
        <v/>
      </c>
      <c r="P1015" s="39" t="str">
        <f>IF(AND($L1015=$O$7,$B1015&lt;'111'!$N$11),"x","")</f>
        <v/>
      </c>
      <c r="Q1015" s="39" t="str">
        <f>IF(AND($M1015=$O$7,$B1015&lt;'111'!$N$11),"x","")</f>
        <v/>
      </c>
      <c r="R1015" s="39" t="str">
        <f>IF(ISERROR(FIND('112'!$M$9,G1015,1)),"",IF((AND(FIND('112'!$M$9,G1015,1)&gt;=1,$B1015&gt;='112'!$N$8,$B1015&lt;='112'!$O$8,OR($L1015='112'!$I$6,$M1015='112'!$I$6))),"x",""))</f>
        <v/>
      </c>
      <c r="S1015" s="39" t="str">
        <f>IF(ISERROR(FIND('112'!$M$9,G1015,1)),"",IF((AND(LEFT(G1015,2)=LEFT('112'!$M$9,2),B1015&lt;'112'!$N$8,$L1015='112'!$I$6)),"x",""))</f>
        <v/>
      </c>
      <c r="T1015" s="39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39" t="str">
        <f>IF(OR(TH!L1015=TH!$V$7,M1015=TH!$V$7),"x","")</f>
        <v/>
      </c>
      <c r="W1015" s="39" t="str">
        <f>IF(AND(B1015&gt;='IN-NX'!$P$3,B1015&lt;='IN-NX'!$Q$3,'IN-NX'!$D$7=D1015,OR(LEFT(L1015,2)="15",AND(LEFT(M1015,2)&lt;&gt;"15",LEFT(M1015,2)&lt;&gt;"33"))),"x","")</f>
        <v/>
      </c>
      <c r="X1015" s="39" t="str">
        <f>IF(AND(OR(LEFT(TH!L1015,2)="15",LEFT(TH!M1015,2)="15"),'152-CT'!$J$8=TH!F1015),"x","")</f>
        <v/>
      </c>
      <c r="Y1015" s="39" t="str">
        <f>IF(AND(OR(LEFT(TH!L1015,2)="15",LEFT(TH!M1015,2)="15"),TK!$E$7=TH!F1015),"x","")</f>
        <v/>
      </c>
      <c r="Z1015" s="39" t="str">
        <f>IF(AND(B1015&lt;=NKC!$N$8,B1015&gt;=NKC!$M$8),"x","")</f>
        <v/>
      </c>
      <c r="AA1015" s="894"/>
      <c r="AB1015" s="895"/>
    </row>
    <row r="1016" spans="1:28" ht="15.75" customHeight="1">
      <c r="A1016" s="199" t="str">
        <f>IF(B1016&lt;&gt;"",IF(AND(B1016&gt;=_TM1,B1016&lt;=_TM2,OR(TH!L1016="1111",TH!M1016="1111")),TH!D1016,""),"")</f>
        <v/>
      </c>
      <c r="B1016" s="36" t="str">
        <f t="shared" si="41"/>
        <v/>
      </c>
      <c r="C1016" s="37"/>
      <c r="D1016" s="37"/>
      <c r="E1016" s="776"/>
      <c r="F1016" s="188"/>
      <c r="G1016" s="40"/>
      <c r="H1016" s="7"/>
      <c r="I1016" s="821"/>
      <c r="J1016" s="253"/>
      <c r="K1016" s="606"/>
      <c r="L1016" s="39"/>
      <c r="M1016" s="39"/>
      <c r="N1016" s="39" t="str">
        <f>IF(AND('331-CT'!$E$7=TH!H1016,OR(L1016="331",M1016="331")),"331",IF(AND(OR(L1016="131",M1016="131"),H1016='131-CT'!$E$7),"131",""))</f>
        <v/>
      </c>
      <c r="O1016" s="39" t="str">
        <f>IF(AND($B1016&gt;='111'!$N$11,$B1016&lt;='111'!$O$11,OR($L1016=$O$7,$M1016=$O$7)),"x","")</f>
        <v/>
      </c>
      <c r="P1016" s="39" t="str">
        <f>IF(AND($L1016=$O$7,$B1016&lt;'111'!$N$11),"x","")</f>
        <v/>
      </c>
      <c r="Q1016" s="39" t="str">
        <f>IF(AND($M1016=$O$7,$B1016&lt;'111'!$N$11),"x","")</f>
        <v/>
      </c>
      <c r="R1016" s="39" t="str">
        <f>IF(ISERROR(FIND('112'!$M$9,G1016,1)),"",IF((AND(FIND('112'!$M$9,G1016,1)&gt;=1,$B1016&gt;='112'!$N$8,$B1016&lt;='112'!$O$8,OR($L1016='112'!$I$6,$M1016='112'!$I$6))),"x",""))</f>
        <v/>
      </c>
      <c r="S1016" s="39" t="str">
        <f>IF(ISERROR(FIND('112'!$M$9,G1016,1)),"",IF((AND(LEFT(G1016,2)=LEFT('112'!$M$9,2),B1016&lt;'112'!$N$8,$L1016='112'!$I$6)),"x",""))</f>
        <v/>
      </c>
      <c r="T1016" s="39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39" t="str">
        <f>IF(OR(TH!L1016=TH!$V$7,M1016=TH!$V$7),"x","")</f>
        <v/>
      </c>
      <c r="W1016" s="39" t="str">
        <f>IF(AND(B1016&gt;='IN-NX'!$P$3,B1016&lt;='IN-NX'!$Q$3,'IN-NX'!$D$7=D1016,OR(LEFT(L1016,2)="15",AND(LEFT(M1016,2)&lt;&gt;"15",LEFT(M1016,2)&lt;&gt;"33"))),"x","")</f>
        <v/>
      </c>
      <c r="X1016" s="39" t="str">
        <f>IF(AND(OR(LEFT(TH!L1016,2)="15",LEFT(TH!M1016,2)="15"),'152-CT'!$J$8=TH!F1016),"x","")</f>
        <v/>
      </c>
      <c r="Y1016" s="39" t="str">
        <f>IF(AND(OR(LEFT(TH!L1016,2)="15",LEFT(TH!M1016,2)="15"),TK!$E$7=TH!F1016),"x","")</f>
        <v/>
      </c>
      <c r="Z1016" s="39" t="str">
        <f>IF(AND(B1016&lt;=NKC!$N$8,B1016&gt;=NKC!$M$8),"x","")</f>
        <v/>
      </c>
      <c r="AA1016" s="894"/>
    </row>
    <row r="1017" spans="1:28" ht="15.75" customHeight="1">
      <c r="A1017" s="199" t="str">
        <f>IF(B1017&lt;&gt;"",IF(AND(B1017&gt;=_TM1,B1017&lt;=_TM2,OR(TH!L1017="1111",TH!M1017="1111")),TH!D1017,""),"")</f>
        <v/>
      </c>
      <c r="B1017" s="36" t="str">
        <f t="shared" si="41"/>
        <v/>
      </c>
      <c r="C1017" s="37"/>
      <c r="D1017" s="37"/>
      <c r="E1017" s="776"/>
      <c r="F1017" s="40"/>
      <c r="G1017" s="40"/>
      <c r="H1017" s="7"/>
      <c r="I1017" s="253"/>
      <c r="J1017" s="253"/>
      <c r="K1017" s="606"/>
      <c r="L1017" s="39"/>
      <c r="M1017" s="39"/>
      <c r="N1017" s="39" t="str">
        <f>IF(AND('331-CT'!$E$7=TH!H1017,OR(L1017="331",M1017="331")),"331",IF(AND(OR(L1017="131",M1017="131"),H1017='131-CT'!$E$7),"131",""))</f>
        <v/>
      </c>
      <c r="O1017" s="39" t="str">
        <f>IF(AND($B1017&gt;='111'!$N$11,$B1017&lt;='111'!$O$11,OR($L1017=$O$7,$M1017=$O$7)),"x","")</f>
        <v/>
      </c>
      <c r="P1017" s="39" t="str">
        <f>IF(AND($L1017=$O$7,$B1017&lt;'111'!$N$11),"x","")</f>
        <v/>
      </c>
      <c r="Q1017" s="39" t="str">
        <f>IF(AND($M1017=$O$7,$B1017&lt;'111'!$N$11),"x","")</f>
        <v/>
      </c>
      <c r="R1017" s="39" t="str">
        <f>IF(ISERROR(FIND('112'!$M$9,G1017,1)),"",IF((AND(FIND('112'!$M$9,G1017,1)&gt;=1,$B1017&gt;='112'!$N$8,$B1017&lt;='112'!$O$8,OR($L1017='112'!$I$6,$M1017='112'!$I$6))),"x",""))</f>
        <v/>
      </c>
      <c r="S1017" s="39" t="str">
        <f>IF(ISERROR(FIND('112'!$M$9,G1017,1)),"",IF((AND(LEFT(G1017,2)=LEFT('112'!$M$9,2),B1017&lt;'112'!$N$8,$L1017='112'!$I$6)),"x",""))</f>
        <v/>
      </c>
      <c r="T1017" s="39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39" t="str">
        <f>IF(OR(TH!L1017=TH!$V$7,M1017=TH!$V$7),"x","")</f>
        <v/>
      </c>
      <c r="W1017" s="39" t="str">
        <f>IF(AND(B1017&gt;='IN-NX'!$P$3,B1017&lt;='IN-NX'!$Q$3,'IN-NX'!$D$7=D1017,OR(LEFT(L1017,2)="15",AND(LEFT(M1017,2)&lt;&gt;"15",LEFT(M1017,2)&lt;&gt;"33"))),"x","")</f>
        <v/>
      </c>
      <c r="X1017" s="39" t="str">
        <f>IF(AND(OR(LEFT(TH!L1017,2)="15",LEFT(TH!M1017,2)="15"),'152-CT'!$J$8=TH!F1017),"x","")</f>
        <v/>
      </c>
      <c r="Y1017" s="39" t="str">
        <f>IF(AND(OR(LEFT(TH!L1017,2)="15",LEFT(TH!M1017,2)="15"),TK!$E$7=TH!F1017),"x","")</f>
        <v/>
      </c>
      <c r="Z1017" s="39" t="str">
        <f>IF(AND(B1017&lt;=NKC!$N$8,B1017&gt;=NKC!$M$8),"x","")</f>
        <v/>
      </c>
      <c r="AA1017" s="894"/>
    </row>
    <row r="1018" spans="1:28" ht="15.75" customHeight="1">
      <c r="A1018" s="199" t="str">
        <f>IF(B1018&lt;&gt;"",IF(AND(B1018&gt;=_TM1,B1018&lt;=_TM2,OR(TH!L1018="1111",TH!M1018="1111")),TH!D1018,""),"")</f>
        <v/>
      </c>
      <c r="B1018" s="36" t="str">
        <f t="shared" si="41"/>
        <v/>
      </c>
      <c r="C1018" s="37"/>
      <c r="D1018" s="37"/>
      <c r="E1018" s="776"/>
      <c r="F1018" s="188"/>
      <c r="G1018" s="40"/>
      <c r="H1018" s="7"/>
      <c r="I1018" s="253"/>
      <c r="J1018" s="253"/>
      <c r="K1018" s="606"/>
      <c r="L1018" s="39"/>
      <c r="M1018" s="39"/>
      <c r="N1018" s="39" t="str">
        <f>IF(AND('331-CT'!$E$7=TH!H1018,OR(L1018="331",M1018="331")),"331",IF(AND(OR(L1018="131",M1018="131"),H1018='131-CT'!$E$7),"131",""))</f>
        <v/>
      </c>
      <c r="O1018" s="39" t="str">
        <f>IF(AND($B1018&gt;='111'!$N$11,$B1018&lt;='111'!$O$11,OR($L1018=$O$7,$M1018=$O$7)),"x","")</f>
        <v/>
      </c>
      <c r="P1018" s="39" t="str">
        <f>IF(AND($L1018=$O$7,$B1018&lt;'111'!$N$11),"x","")</f>
        <v/>
      </c>
      <c r="Q1018" s="39" t="str">
        <f>IF(AND($M1018=$O$7,$B1018&lt;'111'!$N$11),"x","")</f>
        <v/>
      </c>
      <c r="R1018" s="39" t="str">
        <f>IF(ISERROR(FIND('112'!$M$9,G1018,1)),"",IF((AND(FIND('112'!$M$9,G1018,1)&gt;=1,$B1018&gt;='112'!$N$8,$B1018&lt;='112'!$O$8,OR($L1018='112'!$I$6,$M1018='112'!$I$6))),"x",""))</f>
        <v/>
      </c>
      <c r="S1018" s="39" t="str">
        <f>IF(ISERROR(FIND('112'!$M$9,G1018,1)),"",IF((AND(LEFT(G1018,2)=LEFT('112'!$M$9,2),B1018&lt;'112'!$N$8,$L1018='112'!$I$6)),"x",""))</f>
        <v/>
      </c>
      <c r="T1018" s="39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39" t="str">
        <f>IF(OR(TH!L1018=TH!$V$7,M1018=TH!$V$7),"x","")</f>
        <v/>
      </c>
      <c r="W1018" s="39" t="str">
        <f>IF(AND(B1018&gt;='IN-NX'!$P$3,B1018&lt;='IN-NX'!$Q$3,'IN-NX'!$D$7=D1018,OR(LEFT(L1018,2)="15",AND(LEFT(M1018,2)&lt;&gt;"15",LEFT(M1018,2)&lt;&gt;"33"))),"x","")</f>
        <v/>
      </c>
      <c r="X1018" s="39" t="str">
        <f>IF(AND(OR(LEFT(TH!L1018,2)="15",LEFT(TH!M1018,2)="15"),'152-CT'!$J$8=TH!F1018),"x","")</f>
        <v/>
      </c>
      <c r="Y1018" s="39" t="str">
        <f>IF(AND(OR(LEFT(TH!L1018,2)="15",LEFT(TH!M1018,2)="15"),TK!$E$7=TH!F1018),"x","")</f>
        <v/>
      </c>
      <c r="Z1018" s="39" t="str">
        <f>IF(AND(B1018&lt;=NKC!$N$8,B1018&gt;=NKC!$M$8),"x","")</f>
        <v/>
      </c>
      <c r="AA1018" s="894"/>
    </row>
    <row r="1019" spans="1:28" ht="15.75" customHeight="1">
      <c r="A1019" s="199" t="str">
        <f>IF(B1019&lt;&gt;"",IF(AND(B1019&gt;=_TM1,B1019&lt;=_TM2,OR(TH!L1019="1111",TH!M1019="1111")),TH!D1019,""),"")</f>
        <v/>
      </c>
      <c r="B1019" s="36" t="str">
        <f t="shared" si="41"/>
        <v/>
      </c>
      <c r="C1019" s="37"/>
      <c r="D1019" s="37"/>
      <c r="E1019" s="776"/>
      <c r="F1019" s="40"/>
      <c r="G1019" s="40"/>
      <c r="H1019" s="7"/>
      <c r="I1019" s="253"/>
      <c r="J1019" s="253"/>
      <c r="K1019" s="606"/>
      <c r="L1019" s="39"/>
      <c r="M1019" s="39"/>
      <c r="N1019" s="39" t="str">
        <f>IF(AND('331-CT'!$E$7=TH!H1019,OR(L1019="331",M1019="331")),"331",IF(AND(OR(L1019="131",M1019="131"),H1019='131-CT'!$E$7),"131",""))</f>
        <v/>
      </c>
      <c r="O1019" s="39" t="str">
        <f>IF(AND($B1019&gt;='111'!$N$11,$B1019&lt;='111'!$O$11,OR($L1019=$O$7,$M1019=$O$7)),"x","")</f>
        <v/>
      </c>
      <c r="P1019" s="39" t="str">
        <f>IF(AND($L1019=$O$7,$B1019&lt;'111'!$N$11),"x","")</f>
        <v/>
      </c>
      <c r="Q1019" s="39" t="str">
        <f>IF(AND($M1019=$O$7,$B1019&lt;'111'!$N$11),"x","")</f>
        <v/>
      </c>
      <c r="R1019" s="39" t="str">
        <f>IF(ISERROR(FIND('112'!$M$9,G1019,1)),"",IF((AND(FIND('112'!$M$9,G1019,1)&gt;=1,$B1019&gt;='112'!$N$8,$B1019&lt;='112'!$O$8,OR($L1019='112'!$I$6,$M1019='112'!$I$6))),"x",""))</f>
        <v/>
      </c>
      <c r="S1019" s="39" t="str">
        <f>IF(ISERROR(FIND('112'!$M$9,G1019,1)),"",IF((AND(LEFT(G1019,2)=LEFT('112'!$M$9,2),B1019&lt;'112'!$N$8,$L1019='112'!$I$6)),"x",""))</f>
        <v/>
      </c>
      <c r="T1019" s="39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39" t="str">
        <f>IF(OR(TH!L1019=TH!$V$7,M1019=TH!$V$7),"x","")</f>
        <v/>
      </c>
      <c r="W1019" s="39" t="str">
        <f>IF(AND(B1019&gt;='IN-NX'!$P$3,B1019&lt;='IN-NX'!$Q$3,'IN-NX'!$D$7=D1019,OR(LEFT(L1019,2)="15",AND(LEFT(M1019,2)&lt;&gt;"15",LEFT(M1019,2)&lt;&gt;"33"))),"x","")</f>
        <v/>
      </c>
      <c r="X1019" s="39" t="str">
        <f>IF(AND(OR(LEFT(TH!L1019,2)="15",LEFT(TH!M1019,2)="15"),'152-CT'!$J$8=TH!F1019),"x","")</f>
        <v/>
      </c>
      <c r="Y1019" s="39" t="str">
        <f>IF(AND(OR(LEFT(TH!L1019,2)="15",LEFT(TH!M1019,2)="15"),TK!$E$7=TH!F1019),"x","")</f>
        <v/>
      </c>
      <c r="Z1019" s="39" t="str">
        <f>IF(AND(B1019&lt;=NKC!$N$8,B1019&gt;=NKC!$M$8),"x","")</f>
        <v/>
      </c>
      <c r="AA1019" s="894"/>
    </row>
    <row r="1020" spans="1:28" ht="15.75" customHeight="1">
      <c r="A1020" s="199" t="str">
        <f>IF(B1020&lt;&gt;"",IF(AND(B1020&gt;=_TM1,B1020&lt;=_TM2,OR(TH!L1020="1111",TH!M1020="1111")),TH!D1020,""),"")</f>
        <v/>
      </c>
      <c r="B1020" s="36" t="str">
        <f t="shared" si="41"/>
        <v/>
      </c>
      <c r="C1020" s="37"/>
      <c r="D1020" s="37"/>
      <c r="E1020" s="776"/>
      <c r="F1020" s="188"/>
      <c r="G1020" s="40"/>
      <c r="H1020" s="7"/>
      <c r="I1020" s="253"/>
      <c r="J1020" s="253"/>
      <c r="K1020" s="606"/>
      <c r="L1020" s="39"/>
      <c r="M1020" s="39"/>
      <c r="N1020" s="39" t="str">
        <f>IF(AND('331-CT'!$E$7=TH!H1020,OR(L1020="331",M1020="331")),"331",IF(AND(OR(L1020="131",M1020="131"),H1020='131-CT'!$E$7),"131",""))</f>
        <v/>
      </c>
      <c r="O1020" s="39" t="str">
        <f>IF(AND($B1020&gt;='111'!$N$11,$B1020&lt;='111'!$O$11,OR($L1020=$O$7,$M1020=$O$7)),"x","")</f>
        <v/>
      </c>
      <c r="P1020" s="39" t="str">
        <f>IF(AND($L1020=$O$7,$B1020&lt;'111'!$N$11),"x","")</f>
        <v/>
      </c>
      <c r="Q1020" s="39" t="str">
        <f>IF(AND($M1020=$O$7,$B1020&lt;'111'!$N$11),"x","")</f>
        <v/>
      </c>
      <c r="R1020" s="39" t="str">
        <f>IF(ISERROR(FIND('112'!$M$9,G1020,1)),"",IF((AND(FIND('112'!$M$9,G1020,1)&gt;=1,$B1020&gt;='112'!$N$8,$B1020&lt;='112'!$O$8,OR($L1020='112'!$I$6,$M1020='112'!$I$6))),"x",""))</f>
        <v/>
      </c>
      <c r="S1020" s="39" t="str">
        <f>IF(ISERROR(FIND('112'!$M$9,G1020,1)),"",IF((AND(LEFT(G1020,2)=LEFT('112'!$M$9,2),B1020&lt;'112'!$N$8,$L1020='112'!$I$6)),"x",""))</f>
        <v/>
      </c>
      <c r="T1020" s="39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39" t="str">
        <f>IF(OR(TH!L1020=TH!$V$7,M1020=TH!$V$7),"x","")</f>
        <v/>
      </c>
      <c r="W1020" s="39" t="str">
        <f>IF(AND(B1020&gt;='IN-NX'!$P$3,B1020&lt;='IN-NX'!$Q$3,'IN-NX'!$D$7=D1020,OR(LEFT(L1020,2)="15",AND(LEFT(M1020,2)&lt;&gt;"15",LEFT(M1020,2)&lt;&gt;"33"))),"x","")</f>
        <v/>
      </c>
      <c r="X1020" s="39" t="str">
        <f>IF(AND(OR(LEFT(TH!L1020,2)="15",LEFT(TH!M1020,2)="15"),'152-CT'!$J$8=TH!F1020),"x","")</f>
        <v/>
      </c>
      <c r="Y1020" s="39" t="str">
        <f>IF(AND(OR(LEFT(TH!L1020,2)="15",LEFT(TH!M1020,2)="15"),TK!$E$7=TH!F1020),"x","")</f>
        <v/>
      </c>
      <c r="Z1020" s="39" t="str">
        <f>IF(AND(B1020&lt;=NKC!$N$8,B1020&gt;=NKC!$M$8),"x","")</f>
        <v/>
      </c>
      <c r="AA1020" s="894"/>
    </row>
    <row r="1021" spans="1:28" ht="15.75" customHeight="1">
      <c r="A1021" s="199" t="str">
        <f>IF(B1021&lt;&gt;"",IF(AND(B1021&gt;=_TM1,B1021&lt;=_TM2,OR(TH!L1021="1111",TH!M1021="1111")),TH!D1021,""),"")</f>
        <v/>
      </c>
      <c r="B1021" s="36" t="str">
        <f t="shared" si="41"/>
        <v/>
      </c>
      <c r="C1021" s="37"/>
      <c r="D1021" s="37"/>
      <c r="E1021" s="776"/>
      <c r="F1021" s="188"/>
      <c r="G1021" s="40"/>
      <c r="H1021" s="7"/>
      <c r="I1021" s="253"/>
      <c r="J1021" s="253"/>
      <c r="K1021" s="606"/>
      <c r="L1021" s="39"/>
      <c r="M1021" s="39"/>
      <c r="N1021" s="39" t="str">
        <f>IF(AND('331-CT'!$E$7=TH!H1021,OR(L1021="331",M1021="331")),"331",IF(AND(OR(L1021="131",M1021="131"),H1021='131-CT'!$E$7),"131",""))</f>
        <v/>
      </c>
      <c r="O1021" s="39" t="str">
        <f>IF(AND($B1021&gt;='111'!$N$11,$B1021&lt;='111'!$O$11,OR($L1021=$O$7,$M1021=$O$7)),"x","")</f>
        <v/>
      </c>
      <c r="P1021" s="39" t="str">
        <f>IF(AND($L1021=$O$7,$B1021&lt;'111'!$N$11),"x","")</f>
        <v/>
      </c>
      <c r="Q1021" s="39" t="str">
        <f>IF(AND($M1021=$O$7,$B1021&lt;'111'!$N$11),"x","")</f>
        <v/>
      </c>
      <c r="R1021" s="39" t="str">
        <f>IF(ISERROR(FIND('112'!$M$9,G1021,1)),"",IF((AND(FIND('112'!$M$9,G1021,1)&gt;=1,$B1021&gt;='112'!$N$8,$B1021&lt;='112'!$O$8,OR($L1021='112'!$I$6,$M1021='112'!$I$6))),"x",""))</f>
        <v/>
      </c>
      <c r="S1021" s="39" t="str">
        <f>IF(ISERROR(FIND('112'!$M$9,G1021,1)),"",IF((AND(LEFT(G1021,2)=LEFT('112'!$M$9,2),B1021&lt;'112'!$N$8,$L1021='112'!$I$6)),"x",""))</f>
        <v/>
      </c>
      <c r="T1021" s="39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39" t="str">
        <f>IF(OR(TH!L1021=TH!$V$7,M1021=TH!$V$7),"x","")</f>
        <v/>
      </c>
      <c r="W1021" s="39" t="str">
        <f>IF(AND(B1021&gt;='IN-NX'!$P$3,B1021&lt;='IN-NX'!$Q$3,'IN-NX'!$D$7=D1021,OR(LEFT(L1021,2)="15",AND(LEFT(M1021,2)&lt;&gt;"15",LEFT(M1021,2)&lt;&gt;"33"))),"x","")</f>
        <v/>
      </c>
      <c r="X1021" s="39" t="str">
        <f>IF(AND(OR(LEFT(TH!L1021,2)="15",LEFT(TH!M1021,2)="15"),'152-CT'!$J$8=TH!F1021),"x","")</f>
        <v/>
      </c>
      <c r="Y1021" s="39" t="str">
        <f>IF(AND(OR(LEFT(TH!L1021,2)="15",LEFT(TH!M1021,2)="15"),TK!$E$7=TH!F1021),"x","")</f>
        <v/>
      </c>
      <c r="Z1021" s="39" t="str">
        <f>IF(AND(B1021&lt;=NKC!$N$8,B1021&gt;=NKC!$M$8),"x","")</f>
        <v/>
      </c>
      <c r="AA1021" s="894"/>
    </row>
    <row r="1022" spans="1:28" ht="15.75" customHeight="1">
      <c r="A1022" s="199" t="str">
        <f>IF(B1022&lt;&gt;"",IF(AND(B1022&gt;=_TM1,B1022&lt;=_TM2,OR(TH!L1022="1111",TH!M1022="1111")),TH!D1022,""),"")</f>
        <v/>
      </c>
      <c r="B1022" s="36" t="str">
        <f t="shared" si="41"/>
        <v/>
      </c>
      <c r="C1022" s="37"/>
      <c r="D1022" s="37"/>
      <c r="E1022" s="776"/>
      <c r="F1022" s="40"/>
      <c r="G1022" s="40"/>
      <c r="H1022" s="7"/>
      <c r="I1022" s="253"/>
      <c r="J1022" s="253"/>
      <c r="K1022" s="606"/>
      <c r="L1022" s="39"/>
      <c r="M1022" s="39"/>
      <c r="N1022" s="39" t="str">
        <f>IF(AND('331-CT'!$E$7=TH!H1022,OR(L1022="331",M1022="331")),"331",IF(AND(OR(L1022="131",M1022="131"),H1022='131-CT'!$E$7),"131",""))</f>
        <v/>
      </c>
      <c r="O1022" s="39" t="str">
        <f>IF(AND($B1022&gt;='111'!$N$11,$B1022&lt;='111'!$O$11,OR($L1022=$O$7,$M1022=$O$7)),"x","")</f>
        <v/>
      </c>
      <c r="P1022" s="39" t="str">
        <f>IF(AND($L1022=$O$7,$B1022&lt;'111'!$N$11),"x","")</f>
        <v/>
      </c>
      <c r="Q1022" s="39" t="str">
        <f>IF(AND($M1022=$O$7,$B1022&lt;'111'!$N$11),"x","")</f>
        <v/>
      </c>
      <c r="R1022" s="39" t="str">
        <f>IF(ISERROR(FIND('112'!$M$9,G1022,1)),"",IF((AND(FIND('112'!$M$9,G1022,1)&gt;=1,$B1022&gt;='112'!$N$8,$B1022&lt;='112'!$O$8,OR($L1022='112'!$I$6,$M1022='112'!$I$6))),"x",""))</f>
        <v/>
      </c>
      <c r="S1022" s="39" t="str">
        <f>IF(ISERROR(FIND('112'!$M$9,G1022,1)),"",IF((AND(LEFT(G1022,2)=LEFT('112'!$M$9,2),B1022&lt;'112'!$N$8,$L1022='112'!$I$6)),"x",""))</f>
        <v/>
      </c>
      <c r="T1022" s="39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39" t="str">
        <f>IF(OR(TH!L1022=TH!$V$7,M1022=TH!$V$7),"x","")</f>
        <v/>
      </c>
      <c r="W1022" s="39" t="str">
        <f>IF(AND(B1022&gt;='IN-NX'!$P$3,B1022&lt;='IN-NX'!$Q$3,'IN-NX'!$D$7=D1022,OR(LEFT(L1022,2)="15",AND(LEFT(M1022,2)&lt;&gt;"15",LEFT(M1022,2)&lt;&gt;"33"))),"x","")</f>
        <v/>
      </c>
      <c r="X1022" s="39" t="str">
        <f>IF(AND(OR(LEFT(TH!L1022,2)="15",LEFT(TH!M1022,2)="15"),'152-CT'!$J$8=TH!F1022),"x","")</f>
        <v/>
      </c>
      <c r="Y1022" s="39" t="str">
        <f>IF(AND(OR(LEFT(TH!L1022,2)="15",LEFT(TH!M1022,2)="15"),TK!$E$7=TH!F1022),"x","")</f>
        <v/>
      </c>
      <c r="Z1022" s="39" t="str">
        <f>IF(AND(B1022&lt;=NKC!$N$8,B1022&gt;=NKC!$M$8),"x","")</f>
        <v/>
      </c>
      <c r="AA1022" s="894"/>
    </row>
    <row r="1023" spans="1:28" ht="15.75" customHeight="1">
      <c r="A1023" s="199" t="str">
        <f>IF(B1023&lt;&gt;"",IF(AND(B1023&gt;=_TM1,B1023&lt;=_TM2,OR(TH!L1023="1111",TH!M1023="1111")),TH!D1023,""),"")</f>
        <v/>
      </c>
      <c r="B1023" s="36" t="str">
        <f t="shared" si="41"/>
        <v/>
      </c>
      <c r="C1023" s="37"/>
      <c r="D1023" s="37"/>
      <c r="E1023" s="776"/>
      <c r="F1023" s="188"/>
      <c r="G1023" s="40"/>
      <c r="H1023" s="7"/>
      <c r="I1023" s="253"/>
      <c r="J1023" s="253"/>
      <c r="K1023" s="606"/>
      <c r="L1023" s="39"/>
      <c r="M1023" s="39"/>
      <c r="N1023" s="39" t="str">
        <f>IF(AND('331-CT'!$E$7=TH!H1023,OR(L1023="331",M1023="331")),"331",IF(AND(OR(L1023="131",M1023="131"),H1023='131-CT'!$E$7),"131",""))</f>
        <v/>
      </c>
      <c r="O1023" s="39" t="str">
        <f>IF(AND($B1023&gt;='111'!$N$11,$B1023&lt;='111'!$O$11,OR($L1023=$O$7,$M1023=$O$7)),"x","")</f>
        <v/>
      </c>
      <c r="P1023" s="39" t="str">
        <f>IF(AND($L1023=$O$7,$B1023&lt;'111'!$N$11),"x","")</f>
        <v/>
      </c>
      <c r="Q1023" s="39" t="str">
        <f>IF(AND($M1023=$O$7,$B1023&lt;'111'!$N$11),"x","")</f>
        <v/>
      </c>
      <c r="R1023" s="39" t="str">
        <f>IF(ISERROR(FIND('112'!$M$9,G1023,1)),"",IF((AND(FIND('112'!$M$9,G1023,1)&gt;=1,$B1023&gt;='112'!$N$8,$B1023&lt;='112'!$O$8,OR($L1023='112'!$I$6,$M1023='112'!$I$6))),"x",""))</f>
        <v/>
      </c>
      <c r="S1023" s="39" t="str">
        <f>IF(ISERROR(FIND('112'!$M$9,G1023,1)),"",IF((AND(LEFT(G1023,2)=LEFT('112'!$M$9,2),B1023&lt;'112'!$N$8,$L1023='112'!$I$6)),"x",""))</f>
        <v/>
      </c>
      <c r="T1023" s="39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39" t="str">
        <f>IF(OR(TH!L1023=TH!$V$7,M1023=TH!$V$7),"x","")</f>
        <v/>
      </c>
      <c r="W1023" s="39" t="str">
        <f>IF(AND(B1023&gt;='IN-NX'!$P$3,B1023&lt;='IN-NX'!$Q$3,'IN-NX'!$D$7=D1023,OR(LEFT(L1023,2)="15",AND(LEFT(M1023,2)&lt;&gt;"15",LEFT(M1023,2)&lt;&gt;"33"))),"x","")</f>
        <v/>
      </c>
      <c r="X1023" s="39" t="str">
        <f>IF(AND(OR(LEFT(TH!L1023,2)="15",LEFT(TH!M1023,2)="15"),'152-CT'!$J$8=TH!F1023),"x","")</f>
        <v/>
      </c>
      <c r="Y1023" s="39" t="str">
        <f>IF(AND(OR(LEFT(TH!L1023,2)="15",LEFT(TH!M1023,2)="15"),TK!$E$7=TH!F1023),"x","")</f>
        <v/>
      </c>
      <c r="Z1023" s="39" t="str">
        <f>IF(AND(B1023&lt;=NKC!$N$8,B1023&gt;=NKC!$M$8),"x","")</f>
        <v/>
      </c>
      <c r="AA1023" s="894"/>
    </row>
    <row r="1024" spans="1:28" ht="15.75" customHeight="1">
      <c r="A1024" s="199" t="str">
        <f>IF(B1024&lt;&gt;"",IF(AND(B1024&gt;=_TM1,B1024&lt;=_TM2,OR(TH!L1024="1111",TH!M1024="1111")),TH!D1024,""),"")</f>
        <v/>
      </c>
      <c r="B1024" s="36" t="str">
        <f t="shared" si="41"/>
        <v/>
      </c>
      <c r="C1024" s="37"/>
      <c r="D1024" s="37"/>
      <c r="E1024" s="776"/>
      <c r="F1024" s="188"/>
      <c r="G1024" s="40"/>
      <c r="H1024" s="7"/>
      <c r="I1024" s="253"/>
      <c r="J1024" s="253"/>
      <c r="K1024" s="606"/>
      <c r="L1024" s="39"/>
      <c r="M1024" s="39"/>
      <c r="N1024" s="39" t="str">
        <f>IF(AND('331-CT'!$E$7=TH!H1024,OR(L1024="331",M1024="331")),"331",IF(AND(OR(L1024="131",M1024="131"),H1024='131-CT'!$E$7),"131",""))</f>
        <v/>
      </c>
      <c r="O1024" s="39" t="str">
        <f>IF(AND($B1024&gt;='111'!$N$11,$B1024&lt;='111'!$O$11,OR($L1024=$O$7,$M1024=$O$7)),"x","")</f>
        <v/>
      </c>
      <c r="P1024" s="39" t="str">
        <f>IF(AND($L1024=$O$7,$B1024&lt;'111'!$N$11),"x","")</f>
        <v/>
      </c>
      <c r="Q1024" s="39" t="str">
        <f>IF(AND($M1024=$O$7,$B1024&lt;'111'!$N$11),"x","")</f>
        <v/>
      </c>
      <c r="R1024" s="39" t="str">
        <f>IF(ISERROR(FIND('112'!$M$9,G1024,1)),"",IF((AND(FIND('112'!$M$9,G1024,1)&gt;=1,$B1024&gt;='112'!$N$8,$B1024&lt;='112'!$O$8,OR($L1024='112'!$I$6,$M1024='112'!$I$6))),"x",""))</f>
        <v/>
      </c>
      <c r="S1024" s="39" t="str">
        <f>IF(ISERROR(FIND('112'!$M$9,G1024,1)),"",IF((AND(LEFT(G1024,2)=LEFT('112'!$M$9,2),B1024&lt;'112'!$N$8,$L1024='112'!$I$6)),"x",""))</f>
        <v/>
      </c>
      <c r="T1024" s="39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39" t="str">
        <f>IF(OR(TH!L1024=TH!$V$7,M1024=TH!$V$7),"x","")</f>
        <v/>
      </c>
      <c r="W1024" s="39" t="str">
        <f>IF(AND(B1024&gt;='IN-NX'!$P$3,B1024&lt;='IN-NX'!$Q$3,'IN-NX'!$D$7=D1024,OR(LEFT(L1024,2)="15",AND(LEFT(M1024,2)&lt;&gt;"15",LEFT(M1024,2)&lt;&gt;"33"))),"x","")</f>
        <v/>
      </c>
      <c r="X1024" s="39" t="str">
        <f>IF(AND(OR(LEFT(TH!L1024,2)="15",LEFT(TH!M1024,2)="15"),'152-CT'!$J$8=TH!F1024),"x","")</f>
        <v/>
      </c>
      <c r="Y1024" s="39" t="str">
        <f>IF(AND(OR(LEFT(TH!L1024,2)="15",LEFT(TH!M1024,2)="15"),TK!$E$7=TH!F1024),"x","")</f>
        <v/>
      </c>
      <c r="Z1024" s="39" t="str">
        <f>IF(AND(B1024&lt;=NKC!$N$8,B1024&gt;=NKC!$M$8),"x","")</f>
        <v/>
      </c>
      <c r="AA1024" s="894"/>
    </row>
    <row r="1025" spans="1:27" ht="15.75" customHeight="1">
      <c r="A1025" s="199" t="str">
        <f>IF(B1025&lt;&gt;"",IF(AND(B1025&gt;=_TM1,B1025&lt;=_TM2,OR(TH!L1025="1111",TH!M1025="1111")),TH!D1025,""),"")</f>
        <v/>
      </c>
      <c r="B1025" s="36" t="str">
        <f t="shared" si="41"/>
        <v/>
      </c>
      <c r="C1025" s="183"/>
      <c r="D1025" s="183"/>
      <c r="E1025" s="183"/>
      <c r="F1025" s="188"/>
      <c r="G1025" s="608"/>
      <c r="H1025" s="192"/>
      <c r="I1025" s="253"/>
      <c r="J1025" s="253"/>
      <c r="K1025" s="606"/>
      <c r="L1025" s="607"/>
      <c r="M1025" s="607"/>
      <c r="N1025" s="39" t="str">
        <f>IF(AND('331-CT'!$E$7=TH!H1025,OR(L1025="331",M1025="331")),"331",IF(AND(OR(L1025="131",M1025="131"),H1025='131-CT'!$E$7),"131",""))</f>
        <v/>
      </c>
      <c r="O1025" s="39" t="str">
        <f>IF(AND($B1025&gt;='111'!$N$11,$B1025&lt;='111'!$O$11,OR($L1025=$O$7,$M1025=$O$7)),"x","")</f>
        <v/>
      </c>
      <c r="P1025" s="39" t="str">
        <f>IF(AND($L1025=$O$7,$B1025&lt;'111'!$N$11),"x","")</f>
        <v/>
      </c>
      <c r="Q1025" s="39" t="str">
        <f>IF(AND($M1025=$O$7,$B1025&lt;'111'!$N$11),"x","")</f>
        <v/>
      </c>
      <c r="R1025" s="39" t="str">
        <f>IF(ISERROR(FIND('112'!$M$9,G1025,1)),"",IF((AND(FIND('112'!$M$9,G1025,1)&gt;=1,$B1025&gt;='112'!$N$8,$B1025&lt;='112'!$O$8,OR($L1025='112'!$I$6,$M1025='112'!$I$6))),"x",""))</f>
        <v/>
      </c>
      <c r="S1025" s="39" t="str">
        <f>IF(ISERROR(FIND('112'!$M$9,G1025,1)),"",IF((AND(LEFT(G1025,2)=LEFT('112'!$M$9,2),B1025&lt;'112'!$N$8,$L1025='112'!$I$6)),"x",""))</f>
        <v/>
      </c>
      <c r="T1025" s="39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39" t="str">
        <f>IF(OR(TH!L1025=TH!$V$7,M1025=TH!$V$7),"x","")</f>
        <v/>
      </c>
      <c r="W1025" s="39" t="str">
        <f>IF(AND(B1025&gt;='IN-NX'!$P$3,B1025&lt;='IN-NX'!$Q$3,'IN-NX'!$D$7=D1025,OR(LEFT(L1025,2)="15",AND(LEFT(M1025,2)&lt;&gt;"15",LEFT(M1025,2)&lt;&gt;"33"))),"x","")</f>
        <v/>
      </c>
      <c r="X1025" s="39" t="str">
        <f>IF(AND(OR(LEFT(TH!L1025,2)="15",LEFT(TH!M1025,2)="15"),'152-CT'!$J$8=TH!F1025),"x","")</f>
        <v/>
      </c>
      <c r="Y1025" s="39" t="str">
        <f>IF(AND(OR(LEFT(TH!L1025,2)="15",LEFT(TH!M1025,2)="15"),TK!$E$7=TH!F1025),"x","")</f>
        <v/>
      </c>
      <c r="Z1025" s="39" t="str">
        <f>IF(AND(B1025&lt;=NKC!$N$8,B1025&gt;=NKC!$M$8),"x","")</f>
        <v/>
      </c>
      <c r="AA1025" s="894"/>
    </row>
    <row r="1026" spans="1:27" ht="15.75" customHeight="1">
      <c r="A1026" s="199" t="str">
        <f>IF(B1026&lt;&gt;"",IF(AND(B1026&gt;=_TM1,B1026&lt;=_TM2,OR(TH!L1026="1111",TH!M1026="1111")),TH!D1026,""),"")</f>
        <v/>
      </c>
      <c r="B1026" s="36" t="str">
        <f t="shared" si="41"/>
        <v/>
      </c>
      <c r="C1026" s="183"/>
      <c r="D1026" s="183"/>
      <c r="E1026" s="183"/>
      <c r="F1026" s="188"/>
      <c r="G1026" s="608"/>
      <c r="H1026" s="192"/>
      <c r="I1026" s="253"/>
      <c r="J1026" s="253"/>
      <c r="K1026" s="606"/>
      <c r="L1026" s="607"/>
      <c r="M1026" s="607"/>
      <c r="N1026" s="39" t="str">
        <f>IF(AND('331-CT'!$E$7=TH!H1026,OR(L1026="331",M1026="331")),"331",IF(AND(OR(L1026="131",M1026="131"),H1026='131-CT'!$E$7),"131",""))</f>
        <v/>
      </c>
      <c r="O1026" s="39" t="str">
        <f>IF(AND($B1026&gt;='111'!$N$11,$B1026&lt;='111'!$O$11,OR($L1026=$O$7,$M1026=$O$7)),"x","")</f>
        <v/>
      </c>
      <c r="P1026" s="39" t="str">
        <f>IF(AND($L1026=$O$7,$B1026&lt;'111'!$N$11),"x","")</f>
        <v/>
      </c>
      <c r="Q1026" s="39" t="str">
        <f>IF(AND($M1026=$O$7,$B1026&lt;'111'!$N$11),"x","")</f>
        <v/>
      </c>
      <c r="R1026" s="39" t="str">
        <f>IF(ISERROR(FIND('112'!$M$9,G1026,1)),"",IF((AND(FIND('112'!$M$9,G1026,1)&gt;=1,$B1026&gt;='112'!$N$8,$B1026&lt;='112'!$O$8,OR($L1026='112'!$I$6,$M1026='112'!$I$6))),"x",""))</f>
        <v/>
      </c>
      <c r="S1026" s="39" t="str">
        <f>IF(ISERROR(FIND('112'!$M$9,G1026,1)),"",IF((AND(LEFT(G1026,2)=LEFT('112'!$M$9,2),B1026&lt;'112'!$N$8,$L1026='112'!$I$6)),"x",""))</f>
        <v/>
      </c>
      <c r="T1026" s="39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39" t="str">
        <f>IF(OR(TH!L1026=TH!$V$7,M1026=TH!$V$7),"x","")</f>
        <v/>
      </c>
      <c r="W1026" s="39" t="str">
        <f>IF(AND(B1026&gt;='IN-NX'!$P$3,B1026&lt;='IN-NX'!$Q$3,'IN-NX'!$D$7=D1026,OR(LEFT(L1026,2)="15",AND(LEFT(M1026,2)&lt;&gt;"15",LEFT(M1026,2)&lt;&gt;"33"))),"x","")</f>
        <v/>
      </c>
      <c r="X1026" s="39" t="str">
        <f>IF(AND(OR(LEFT(TH!L1026,2)="15",LEFT(TH!M1026,2)="15"),'152-CT'!$J$8=TH!F1026),"x","")</f>
        <v/>
      </c>
      <c r="Y1026" s="39" t="str">
        <f>IF(AND(OR(LEFT(TH!L1026,2)="15",LEFT(TH!M1026,2)="15"),TK!$E$7=TH!F1026),"x","")</f>
        <v/>
      </c>
      <c r="Z1026" s="39" t="str">
        <f>IF(AND(B1026&lt;=NKC!$N$8,B1026&gt;=NKC!$M$8),"x","")</f>
        <v/>
      </c>
      <c r="AA1026" s="894"/>
    </row>
    <row r="1027" spans="1:27" ht="15.75" customHeight="1">
      <c r="A1027" s="199" t="str">
        <f>IF(B1027&lt;&gt;"",IF(AND(B1027&gt;=_TM1,B1027&lt;=_TM2,OR(TH!L1027="1111",TH!M1027="1111")),TH!D1027,""),"")</f>
        <v/>
      </c>
      <c r="B1027" s="36" t="str">
        <f t="shared" si="41"/>
        <v/>
      </c>
      <c r="C1027" s="183"/>
      <c r="D1027" s="183"/>
      <c r="E1027" s="183"/>
      <c r="F1027" s="188"/>
      <c r="G1027" s="608"/>
      <c r="H1027" s="7"/>
      <c r="I1027" s="253"/>
      <c r="J1027" s="253"/>
      <c r="K1027" s="606"/>
      <c r="L1027" s="607"/>
      <c r="M1027" s="607"/>
      <c r="N1027" s="39" t="str">
        <f>IF(AND('331-CT'!$E$7=TH!H1027,OR(L1027="331",M1027="331")),"331",IF(AND(OR(L1027="131",M1027="131"),H1027='131-CT'!$E$7),"131",""))</f>
        <v/>
      </c>
      <c r="O1027" s="39" t="str">
        <f>IF(AND($B1027&gt;='111'!$N$11,$B1027&lt;='111'!$O$11,OR($L1027=$O$7,$M1027=$O$7)),"x","")</f>
        <v/>
      </c>
      <c r="P1027" s="39" t="str">
        <f>IF(AND($L1027=$O$7,$B1027&lt;'111'!$N$11),"x","")</f>
        <v/>
      </c>
      <c r="Q1027" s="39" t="str">
        <f>IF(AND($M1027=$O$7,$B1027&lt;'111'!$N$11),"x","")</f>
        <v/>
      </c>
      <c r="R1027" s="39" t="str">
        <f>IF(ISERROR(FIND('112'!$M$9,G1027,1)),"",IF((AND(FIND('112'!$M$9,G1027,1)&gt;=1,$B1027&gt;='112'!$N$8,$B1027&lt;='112'!$O$8,OR($L1027='112'!$I$6,$M1027='112'!$I$6))),"x",""))</f>
        <v/>
      </c>
      <c r="S1027" s="39" t="str">
        <f>IF(ISERROR(FIND('112'!$M$9,G1027,1)),"",IF((AND(LEFT(G1027,2)=LEFT('112'!$M$9,2),B1027&lt;'112'!$N$8,$L1027='112'!$I$6)),"x",""))</f>
        <v/>
      </c>
      <c r="T1027" s="39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39" t="str">
        <f>IF(OR(TH!L1027=TH!$V$7,M1027=TH!$V$7),"x","")</f>
        <v/>
      </c>
      <c r="W1027" s="39" t="str">
        <f>IF(AND(B1027&gt;='IN-NX'!$P$3,B1027&lt;='IN-NX'!$Q$3,'IN-NX'!$D$7=D1027,OR(LEFT(L1027,2)="15",AND(LEFT(M1027,2)&lt;&gt;"15",LEFT(M1027,2)&lt;&gt;"33"))),"x","")</f>
        <v/>
      </c>
      <c r="X1027" s="39" t="str">
        <f>IF(AND(OR(LEFT(TH!L1027,2)="15",LEFT(TH!M1027,2)="15"),'152-CT'!$J$8=TH!F1027),"x","")</f>
        <v/>
      </c>
      <c r="Y1027" s="39" t="str">
        <f>IF(AND(OR(LEFT(TH!L1027,2)="15",LEFT(TH!M1027,2)="15"),TK!$E$7=TH!F1027),"x","")</f>
        <v/>
      </c>
      <c r="Z1027" s="39" t="str">
        <f>IF(AND(B1027&lt;=NKC!$N$8,B1027&gt;=NKC!$M$8),"x","")</f>
        <v/>
      </c>
      <c r="AA1027" s="894"/>
    </row>
    <row r="1028" spans="1:27" ht="15.75" customHeight="1">
      <c r="A1028" s="199" t="str">
        <f>IF(B1028&lt;&gt;"",IF(AND(B1028&gt;=_TM1,B1028&lt;=_TM2,OR(TH!L1028="1111",TH!M1028="1111")),TH!D1028,""),"")</f>
        <v/>
      </c>
      <c r="B1028" s="36" t="str">
        <f t="shared" si="41"/>
        <v/>
      </c>
      <c r="C1028" s="183"/>
      <c r="D1028" s="183"/>
      <c r="E1028" s="183"/>
      <c r="F1028" s="188"/>
      <c r="G1028" s="608"/>
      <c r="H1028" s="7"/>
      <c r="I1028" s="253"/>
      <c r="J1028" s="253"/>
      <c r="K1028" s="606"/>
      <c r="L1028" s="607"/>
      <c r="M1028" s="607"/>
      <c r="N1028" s="39" t="str">
        <f>IF(AND('331-CT'!$E$7=TH!H1028,OR(L1028="331",M1028="331")),"331",IF(AND(OR(L1028="131",M1028="131"),H1028='131-CT'!$E$7),"131",""))</f>
        <v/>
      </c>
      <c r="O1028" s="39" t="str">
        <f>IF(AND($B1028&gt;='111'!$N$11,$B1028&lt;='111'!$O$11,OR($L1028=$O$7,$M1028=$O$7)),"x","")</f>
        <v/>
      </c>
      <c r="P1028" s="39" t="str">
        <f>IF(AND($L1028=$O$7,$B1028&lt;'111'!$N$11),"x","")</f>
        <v/>
      </c>
      <c r="Q1028" s="39" t="str">
        <f>IF(AND($M1028=$O$7,$B1028&lt;'111'!$N$11),"x","")</f>
        <v/>
      </c>
      <c r="R1028" s="39" t="str">
        <f>IF(ISERROR(FIND('112'!$M$9,G1028,1)),"",IF((AND(FIND('112'!$M$9,G1028,1)&gt;=1,$B1028&gt;='112'!$N$8,$B1028&lt;='112'!$O$8,OR($L1028='112'!$I$6,$M1028='112'!$I$6))),"x",""))</f>
        <v/>
      </c>
      <c r="S1028" s="39" t="str">
        <f>IF(ISERROR(FIND('112'!$M$9,G1028,1)),"",IF((AND(LEFT(G1028,2)=LEFT('112'!$M$9,2),B1028&lt;'112'!$N$8,$L1028='112'!$I$6)),"x",""))</f>
        <v/>
      </c>
      <c r="T1028" s="39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39" t="str">
        <f>IF(OR(TH!L1028=TH!$V$7,M1028=TH!$V$7),"x","")</f>
        <v/>
      </c>
      <c r="W1028" s="39" t="str">
        <f>IF(AND(B1028&gt;='IN-NX'!$P$3,B1028&lt;='IN-NX'!$Q$3,'IN-NX'!$D$7=D1028,OR(LEFT(L1028,2)="15",AND(LEFT(M1028,2)&lt;&gt;"15",LEFT(M1028,2)&lt;&gt;"33"))),"x","")</f>
        <v/>
      </c>
      <c r="X1028" s="39" t="str">
        <f>IF(AND(OR(LEFT(TH!L1028,2)="15",LEFT(TH!M1028,2)="15"),'152-CT'!$J$8=TH!F1028),"x","")</f>
        <v/>
      </c>
      <c r="Y1028" s="39" t="str">
        <f>IF(AND(OR(LEFT(TH!L1028,2)="15",LEFT(TH!M1028,2)="15"),TK!$E$7=TH!F1028),"x","")</f>
        <v/>
      </c>
      <c r="Z1028" s="39" t="str">
        <f>IF(AND(B1028&lt;=NKC!$N$8,B1028&gt;=NKC!$M$8),"x","")</f>
        <v/>
      </c>
      <c r="AA1028" s="894"/>
    </row>
    <row r="1029" spans="1:27" ht="15.75" customHeight="1">
      <c r="A1029" s="199" t="str">
        <f>IF(B1029&lt;&gt;"",IF(AND(B1029&gt;=_TM1,B1029&lt;=_TM2,OR(TH!L1029="1111",TH!M1029="1111")),TH!D1029,""),"")</f>
        <v/>
      </c>
      <c r="B1029" s="36" t="str">
        <f t="shared" si="41"/>
        <v/>
      </c>
      <c r="C1029" s="183"/>
      <c r="D1029" s="183"/>
      <c r="E1029" s="183"/>
      <c r="F1029" s="188"/>
      <c r="G1029" s="608"/>
      <c r="H1029" s="7"/>
      <c r="I1029" s="253"/>
      <c r="J1029" s="253"/>
      <c r="K1029" s="606"/>
      <c r="L1029" s="607"/>
      <c r="M1029" s="607"/>
      <c r="N1029" s="39" t="str">
        <f>IF(AND('331-CT'!$E$7=TH!H1029,OR(L1029="331",M1029="331")),"331",IF(AND(OR(L1029="131",M1029="131"),H1029='131-CT'!$E$7),"131",""))</f>
        <v/>
      </c>
      <c r="O1029" s="39" t="str">
        <f>IF(AND($B1029&gt;='111'!$N$11,$B1029&lt;='111'!$O$11,OR($L1029=$O$7,$M1029=$O$7)),"x","")</f>
        <v/>
      </c>
      <c r="P1029" s="39" t="str">
        <f>IF(AND($L1029=$O$7,$B1029&lt;'111'!$N$11),"x","")</f>
        <v/>
      </c>
      <c r="Q1029" s="39" t="str">
        <f>IF(AND($M1029=$O$7,$B1029&lt;'111'!$N$11),"x","")</f>
        <v/>
      </c>
      <c r="R1029" s="39" t="str">
        <f>IF(ISERROR(FIND('112'!$M$9,G1029,1)),"",IF((AND(FIND('112'!$M$9,G1029,1)&gt;=1,$B1029&gt;='112'!$N$8,$B1029&lt;='112'!$O$8,OR($L1029='112'!$I$6,$M1029='112'!$I$6))),"x",""))</f>
        <v/>
      </c>
      <c r="S1029" s="39" t="str">
        <f>IF(ISERROR(FIND('112'!$M$9,G1029,1)),"",IF((AND(LEFT(G1029,2)=LEFT('112'!$M$9,2),B1029&lt;'112'!$N$8,$L1029='112'!$I$6)),"x",""))</f>
        <v/>
      </c>
      <c r="T1029" s="39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39" t="str">
        <f>IF(OR(TH!L1029=TH!$V$7,M1029=TH!$V$7),"x","")</f>
        <v/>
      </c>
      <c r="W1029" s="39" t="str">
        <f>IF(AND(B1029&gt;='IN-NX'!$P$3,B1029&lt;='IN-NX'!$Q$3,'IN-NX'!$D$7=D1029,OR(LEFT(L1029,2)="15",AND(LEFT(M1029,2)&lt;&gt;"15",LEFT(M1029,2)&lt;&gt;"33"))),"x","")</f>
        <v/>
      </c>
      <c r="X1029" s="39" t="str">
        <f>IF(AND(OR(LEFT(TH!L1029,2)="15",LEFT(TH!M1029,2)="15"),'152-CT'!$J$8=TH!F1029),"x","")</f>
        <v/>
      </c>
      <c r="Y1029" s="39" t="str">
        <f>IF(AND(OR(LEFT(TH!L1029,2)="15",LEFT(TH!M1029,2)="15"),TK!$E$7=TH!F1029),"x","")</f>
        <v/>
      </c>
      <c r="Z1029" s="39" t="str">
        <f>IF(AND(B1029&lt;=NKC!$N$8,B1029&gt;=NKC!$M$8),"x","")</f>
        <v/>
      </c>
      <c r="AA1029" s="894"/>
    </row>
    <row r="1030" spans="1:27" ht="15.75" customHeight="1">
      <c r="A1030" s="199" t="str">
        <f>IF(B1030&lt;&gt;"",IF(AND(B1030&gt;=_TM1,B1030&lt;=_TM2,OR(TH!L1030="1111",TH!M1030="1111")),TH!D1030,""),"")</f>
        <v/>
      </c>
      <c r="B1030" s="36" t="str">
        <f t="shared" si="41"/>
        <v/>
      </c>
      <c r="C1030" s="183"/>
      <c r="D1030" s="183"/>
      <c r="E1030" s="183"/>
      <c r="F1030" s="188"/>
      <c r="G1030" s="608"/>
      <c r="H1030" s="7"/>
      <c r="I1030" s="253"/>
      <c r="J1030" s="253"/>
      <c r="K1030" s="606"/>
      <c r="L1030" s="607"/>
      <c r="M1030" s="607"/>
      <c r="N1030" s="39" t="str">
        <f>IF(AND('331-CT'!$E$7=TH!H1030,OR(L1030="331",M1030="331")),"331",IF(AND(OR(L1030="131",M1030="131"),H1030='131-CT'!$E$7),"131",""))</f>
        <v/>
      </c>
      <c r="O1030" s="39" t="str">
        <f>IF(AND($B1030&gt;='111'!$N$11,$B1030&lt;='111'!$O$11,OR($L1030=$O$7,$M1030=$O$7)),"x","")</f>
        <v/>
      </c>
      <c r="P1030" s="39" t="str">
        <f>IF(AND($L1030=$O$7,$B1030&lt;'111'!$N$11),"x","")</f>
        <v/>
      </c>
      <c r="Q1030" s="39" t="str">
        <f>IF(AND($M1030=$O$7,$B1030&lt;'111'!$N$11),"x","")</f>
        <v/>
      </c>
      <c r="R1030" s="39" t="str">
        <f>IF(ISERROR(FIND('112'!$M$9,G1030,1)),"",IF((AND(FIND('112'!$M$9,G1030,1)&gt;=1,$B1030&gt;='112'!$N$8,$B1030&lt;='112'!$O$8,OR($L1030='112'!$I$6,$M1030='112'!$I$6))),"x",""))</f>
        <v/>
      </c>
      <c r="S1030" s="39" t="str">
        <f>IF(ISERROR(FIND('112'!$M$9,G1030,1)),"",IF((AND(LEFT(G1030,2)=LEFT('112'!$M$9,2),B1030&lt;'112'!$N$8,$L1030='112'!$I$6)),"x",""))</f>
        <v/>
      </c>
      <c r="T1030" s="39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39" t="str">
        <f>IF(OR(TH!L1030=TH!$V$7,M1030=TH!$V$7),"x","")</f>
        <v/>
      </c>
      <c r="W1030" s="39" t="str">
        <f>IF(AND(B1030&gt;='IN-NX'!$P$3,B1030&lt;='IN-NX'!$Q$3,'IN-NX'!$D$7=D1030,OR(LEFT(L1030,2)="15",AND(LEFT(M1030,2)&lt;&gt;"15",LEFT(M1030,2)&lt;&gt;"33"))),"x","")</f>
        <v/>
      </c>
      <c r="X1030" s="39" t="str">
        <f>IF(AND(OR(LEFT(TH!L1030,2)="15",LEFT(TH!M1030,2)="15"),'152-CT'!$J$8=TH!F1030),"x","")</f>
        <v/>
      </c>
      <c r="Y1030" s="39" t="str">
        <f>IF(AND(OR(LEFT(TH!L1030,2)="15",LEFT(TH!M1030,2)="15"),TK!$E$7=TH!F1030),"x","")</f>
        <v/>
      </c>
      <c r="Z1030" s="39" t="str">
        <f>IF(AND(B1030&lt;=NKC!$N$8,B1030&gt;=NKC!$M$8),"x","")</f>
        <v/>
      </c>
      <c r="AA1030" s="894"/>
    </row>
    <row r="1031" spans="1:27" ht="15.75" customHeight="1">
      <c r="A1031" s="199" t="str">
        <f>IF(B1031&lt;&gt;"",IF(AND(B1031&gt;=_TM1,B1031&lt;=_TM2,OR(TH!L1031="1111",TH!M1031="1111")),TH!D1031,""),"")</f>
        <v/>
      </c>
      <c r="B1031" s="36" t="str">
        <f t="shared" si="41"/>
        <v/>
      </c>
      <c r="C1031" s="183"/>
      <c r="D1031" s="183"/>
      <c r="E1031" s="183"/>
      <c r="F1031" s="188"/>
      <c r="G1031" s="608"/>
      <c r="H1031" s="192"/>
      <c r="I1031" s="253"/>
      <c r="J1031" s="253"/>
      <c r="K1031" s="606"/>
      <c r="L1031" s="607"/>
      <c r="M1031" s="607"/>
      <c r="N1031" s="39" t="str">
        <f>IF(AND('331-CT'!$E$7=TH!H1031,OR(L1031="331",M1031="331")),"331",IF(AND(OR(L1031="131",M1031="131"),H1031='131-CT'!$E$7),"131",""))</f>
        <v/>
      </c>
      <c r="O1031" s="39" t="str">
        <f>IF(AND($B1031&gt;='111'!$N$11,$B1031&lt;='111'!$O$11,OR($L1031=$O$7,$M1031=$O$7)),"x","")</f>
        <v/>
      </c>
      <c r="P1031" s="39" t="str">
        <f>IF(AND($L1031=$O$7,$B1031&lt;'111'!$N$11),"x","")</f>
        <v/>
      </c>
      <c r="Q1031" s="39" t="str">
        <f>IF(AND($M1031=$O$7,$B1031&lt;'111'!$N$11),"x","")</f>
        <v/>
      </c>
      <c r="R1031" s="39" t="str">
        <f>IF(ISERROR(FIND('112'!$M$9,G1031,1)),"",IF((AND(FIND('112'!$M$9,G1031,1)&gt;=1,$B1031&gt;='112'!$N$8,$B1031&lt;='112'!$O$8,OR($L1031='112'!$I$6,$M1031='112'!$I$6))),"x",""))</f>
        <v/>
      </c>
      <c r="S1031" s="39" t="str">
        <f>IF(ISERROR(FIND('112'!$M$9,G1031,1)),"",IF((AND(LEFT(G1031,2)=LEFT('112'!$M$9,2),B1031&lt;'112'!$N$8,$L1031='112'!$I$6)),"x",""))</f>
        <v/>
      </c>
      <c r="T1031" s="39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39" t="str">
        <f>IF(OR(TH!L1031=TH!$V$7,M1031=TH!$V$7),"x","")</f>
        <v/>
      </c>
      <c r="W1031" s="39" t="str">
        <f>IF(AND(B1031&gt;='IN-NX'!$P$3,B1031&lt;='IN-NX'!$Q$3,'IN-NX'!$D$7=D1031,OR(LEFT(L1031,2)="15",AND(LEFT(M1031,2)&lt;&gt;"15",LEFT(M1031,2)&lt;&gt;"33"))),"x","")</f>
        <v/>
      </c>
      <c r="X1031" s="39" t="str">
        <f>IF(AND(OR(LEFT(TH!L1031,2)="15",LEFT(TH!M1031,2)="15"),'152-CT'!$J$8=TH!F1031),"x","")</f>
        <v/>
      </c>
      <c r="Y1031" s="39" t="str">
        <f>IF(AND(OR(LEFT(TH!L1031,2)="15",LEFT(TH!M1031,2)="15"),TK!$E$7=TH!F1031),"x","")</f>
        <v/>
      </c>
      <c r="Z1031" s="39" t="str">
        <f>IF(AND(B1031&lt;=NKC!$N$8,B1031&gt;=NKC!$M$8),"x","")</f>
        <v/>
      </c>
      <c r="AA1031" s="894"/>
    </row>
    <row r="1032" spans="1:27" ht="15.75" customHeight="1">
      <c r="A1032" s="199" t="str">
        <f>IF(B1032&lt;&gt;"",IF(AND(B1032&gt;=_TM1,B1032&lt;=_TM2,OR(TH!L1032="1111",TH!M1032="1111")),TH!D1032,""),"")</f>
        <v/>
      </c>
      <c r="B1032" s="36" t="str">
        <f t="shared" si="41"/>
        <v/>
      </c>
      <c r="C1032" s="37"/>
      <c r="D1032" s="37"/>
      <c r="E1032" s="776"/>
      <c r="F1032" s="188"/>
      <c r="G1032" s="40"/>
      <c r="H1032" s="7"/>
      <c r="I1032" s="253"/>
      <c r="J1032" s="253"/>
      <c r="K1032" s="606"/>
      <c r="L1032" s="39"/>
      <c r="M1032" s="39"/>
      <c r="N1032" s="39" t="str">
        <f>IF(AND('331-CT'!$E$7=TH!H1032,OR(L1032="331",M1032="331")),"331",IF(AND(OR(L1032="131",M1032="131"),H1032='131-CT'!$E$7),"131",""))</f>
        <v/>
      </c>
      <c r="O1032" s="39" t="str">
        <f>IF(AND($B1032&gt;='111'!$N$11,$B1032&lt;='111'!$O$11,OR($L1032=$O$7,$M1032=$O$7)),"x","")</f>
        <v/>
      </c>
      <c r="P1032" s="39" t="str">
        <f>IF(AND($L1032=$O$7,$B1032&lt;'111'!$N$11),"x","")</f>
        <v/>
      </c>
      <c r="Q1032" s="39" t="str">
        <f>IF(AND($M1032=$O$7,$B1032&lt;'111'!$N$11),"x","")</f>
        <v/>
      </c>
      <c r="R1032" s="39" t="str">
        <f>IF(ISERROR(FIND('112'!$M$9,G1032,1)),"",IF((AND(FIND('112'!$M$9,G1032,1)&gt;=1,$B1032&gt;='112'!$N$8,$B1032&lt;='112'!$O$8,OR($L1032='112'!$I$6,$M1032='112'!$I$6))),"x",""))</f>
        <v/>
      </c>
      <c r="S1032" s="39" t="str">
        <f>IF(ISERROR(FIND('112'!$M$9,G1032,1)),"",IF((AND(LEFT(G1032,2)=LEFT('112'!$M$9,2),B1032&lt;'112'!$N$8,$L1032='112'!$I$6)),"x",""))</f>
        <v/>
      </c>
      <c r="T1032" s="39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39" t="str">
        <f>IF(OR(TH!L1032=TH!$V$7,M1032=TH!$V$7),"x","")</f>
        <v/>
      </c>
      <c r="W1032" s="39" t="str">
        <f>IF(AND(B1032&gt;='IN-NX'!$P$3,B1032&lt;='IN-NX'!$Q$3,'IN-NX'!$D$7=D1032,OR(LEFT(L1032,2)="15",AND(LEFT(M1032,2)&lt;&gt;"15",LEFT(M1032,2)&lt;&gt;"33"))),"x","")</f>
        <v/>
      </c>
      <c r="X1032" s="39" t="str">
        <f>IF(AND(OR(LEFT(TH!L1032,2)="15",LEFT(TH!M1032,2)="15"),'152-CT'!$J$8=TH!F1032),"x","")</f>
        <v/>
      </c>
      <c r="Y1032" s="39" t="str">
        <f>IF(AND(OR(LEFT(TH!L1032,2)="15",LEFT(TH!M1032,2)="15"),TK!$E$7=TH!F1032),"x","")</f>
        <v/>
      </c>
      <c r="Z1032" s="39" t="str">
        <f>IF(AND(B1032&lt;=NKC!$N$8,B1032&gt;=NKC!$M$8),"x","")</f>
        <v/>
      </c>
      <c r="AA1032" s="894"/>
    </row>
    <row r="1033" spans="1:27" ht="15.75" customHeight="1">
      <c r="A1033" s="199" t="str">
        <f>IF(B1033&lt;&gt;"",IF(AND(B1033&gt;=_TM1,B1033&lt;=_TM2,OR(TH!L1033="1111",TH!M1033="1111")),TH!D1033,""),"")</f>
        <v/>
      </c>
      <c r="B1033" s="36" t="str">
        <f t="shared" si="41"/>
        <v/>
      </c>
      <c r="C1033" s="37"/>
      <c r="D1033" s="37"/>
      <c r="E1033" s="776"/>
      <c r="F1033" s="188"/>
      <c r="G1033" s="40"/>
      <c r="H1033" s="7"/>
      <c r="I1033" s="253"/>
      <c r="J1033" s="253"/>
      <c r="K1033" s="606"/>
      <c r="L1033" s="39"/>
      <c r="M1033" s="39"/>
      <c r="N1033" s="39" t="str">
        <f>IF(AND('331-CT'!$E$7=TH!H1033,OR(L1033="331",M1033="331")),"331",IF(AND(OR(L1033="131",M1033="131"),H1033='131-CT'!$E$7),"131",""))</f>
        <v/>
      </c>
      <c r="O1033" s="39" t="str">
        <f>IF(AND($B1033&gt;='111'!$N$11,$B1033&lt;='111'!$O$11,OR($L1033=$O$7,$M1033=$O$7)),"x","")</f>
        <v/>
      </c>
      <c r="P1033" s="39" t="str">
        <f>IF(AND($L1033=$O$7,$B1033&lt;'111'!$N$11),"x","")</f>
        <v/>
      </c>
      <c r="Q1033" s="39" t="str">
        <f>IF(AND($M1033=$O$7,$B1033&lt;'111'!$N$11),"x","")</f>
        <v/>
      </c>
      <c r="R1033" s="39" t="str">
        <f>IF(ISERROR(FIND('112'!$M$9,G1033,1)),"",IF((AND(FIND('112'!$M$9,G1033,1)&gt;=1,$B1033&gt;='112'!$N$8,$B1033&lt;='112'!$O$8,OR($L1033='112'!$I$6,$M1033='112'!$I$6))),"x",""))</f>
        <v/>
      </c>
      <c r="S1033" s="39" t="str">
        <f>IF(ISERROR(FIND('112'!$M$9,G1033,1)),"",IF((AND(LEFT(G1033,2)=LEFT('112'!$M$9,2),B1033&lt;'112'!$N$8,$L1033='112'!$I$6)),"x",""))</f>
        <v/>
      </c>
      <c r="T1033" s="39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39" t="str">
        <f>IF(OR(TH!L1033=TH!$V$7,M1033=TH!$V$7),"x","")</f>
        <v/>
      </c>
      <c r="W1033" s="39" t="str">
        <f>IF(AND(B1033&gt;='IN-NX'!$P$3,B1033&lt;='IN-NX'!$Q$3,'IN-NX'!$D$7=D1033,OR(LEFT(L1033,2)="15",AND(LEFT(M1033,2)&lt;&gt;"15",LEFT(M1033,2)&lt;&gt;"33"))),"x","")</f>
        <v/>
      </c>
      <c r="X1033" s="39" t="str">
        <f>IF(AND(OR(LEFT(TH!L1033,2)="15",LEFT(TH!M1033,2)="15"),'152-CT'!$J$8=TH!F1033),"x","")</f>
        <v/>
      </c>
      <c r="Y1033" s="39" t="str">
        <f>IF(AND(OR(LEFT(TH!L1033,2)="15",LEFT(TH!M1033,2)="15"),TK!$E$7=TH!F1033),"x","")</f>
        <v/>
      </c>
      <c r="Z1033" s="39" t="str">
        <f>IF(AND(B1033&lt;=NKC!$N$8,B1033&gt;=NKC!$M$8),"x","")</f>
        <v/>
      </c>
      <c r="AA1033" s="894"/>
    </row>
    <row r="1034" spans="1:27" ht="15.75" customHeight="1">
      <c r="A1034" s="199" t="str">
        <f>IF(B1034&lt;&gt;"",IF(AND(B1034&gt;=_TM1,B1034&lt;=_TM2,OR(TH!L1034="1111",TH!M1034="1111")),TH!D1034,""),"")</f>
        <v/>
      </c>
      <c r="B1034" s="36" t="str">
        <f t="shared" si="41"/>
        <v/>
      </c>
      <c r="C1034" s="37"/>
      <c r="D1034" s="37"/>
      <c r="E1034" s="776"/>
      <c r="F1034" s="188"/>
      <c r="G1034" s="40"/>
      <c r="H1034" s="7"/>
      <c r="I1034" s="821"/>
      <c r="J1034" s="253"/>
      <c r="K1034" s="606"/>
      <c r="L1034" s="39"/>
      <c r="M1034" s="39"/>
      <c r="N1034" s="39" t="str">
        <f>IF(AND('331-CT'!$E$7=TH!H1034,OR(L1034="331",M1034="331")),"331",IF(AND(OR(L1034="131",M1034="131"),H1034='131-CT'!$E$7),"131",""))</f>
        <v/>
      </c>
      <c r="O1034" s="39" t="str">
        <f>IF(AND($B1034&gt;='111'!$N$11,$B1034&lt;='111'!$O$11,OR($L1034=$O$7,$M1034=$O$7)),"x","")</f>
        <v/>
      </c>
      <c r="P1034" s="39" t="str">
        <f>IF(AND($L1034=$O$7,$B1034&lt;'111'!$N$11),"x","")</f>
        <v/>
      </c>
      <c r="Q1034" s="39" t="str">
        <f>IF(AND($M1034=$O$7,$B1034&lt;'111'!$N$11),"x","")</f>
        <v/>
      </c>
      <c r="R1034" s="39" t="str">
        <f>IF(ISERROR(FIND('112'!$M$9,G1034,1)),"",IF((AND(FIND('112'!$M$9,G1034,1)&gt;=1,$B1034&gt;='112'!$N$8,$B1034&lt;='112'!$O$8,OR($L1034='112'!$I$6,$M1034='112'!$I$6))),"x",""))</f>
        <v/>
      </c>
      <c r="S1034" s="39" t="str">
        <f>IF(ISERROR(FIND('112'!$M$9,G1034,1)),"",IF((AND(LEFT(G1034,2)=LEFT('112'!$M$9,2),B1034&lt;'112'!$N$8,$L1034='112'!$I$6)),"x",""))</f>
        <v/>
      </c>
      <c r="T1034" s="39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39" t="str">
        <f>IF(OR(TH!L1034=TH!$V$7,M1034=TH!$V$7),"x","")</f>
        <v/>
      </c>
      <c r="W1034" s="39" t="str">
        <f>IF(AND(B1034&gt;='IN-NX'!$P$3,B1034&lt;='IN-NX'!$Q$3,'IN-NX'!$D$7=D1034,OR(LEFT(L1034,2)="15",AND(LEFT(M1034,2)&lt;&gt;"15",LEFT(M1034,2)&lt;&gt;"33"))),"x","")</f>
        <v/>
      </c>
      <c r="X1034" s="39" t="str">
        <f>IF(AND(OR(LEFT(TH!L1034,2)="15",LEFT(TH!M1034,2)="15"),'152-CT'!$J$8=TH!F1034),"x","")</f>
        <v/>
      </c>
      <c r="Y1034" s="39" t="str">
        <f>IF(AND(OR(LEFT(TH!L1034,2)="15",LEFT(TH!M1034,2)="15"),TK!$E$7=TH!F1034),"x","")</f>
        <v/>
      </c>
      <c r="Z1034" s="39" t="str">
        <f>IF(AND(B1034&lt;=NKC!$N$8,B1034&gt;=NKC!$M$8),"x","")</f>
        <v/>
      </c>
      <c r="AA1034" s="894"/>
    </row>
    <row r="1035" spans="1:27" ht="15.75" customHeight="1">
      <c r="A1035" s="199" t="str">
        <f>IF(B1035&lt;&gt;"",IF(AND(B1035&gt;=_TM1,B1035&lt;=_TM2,OR(TH!L1035="1111",TH!M1035="1111")),TH!D1035,""),"")</f>
        <v/>
      </c>
      <c r="B1035" s="36" t="str">
        <f t="shared" si="41"/>
        <v/>
      </c>
      <c r="C1035" s="37"/>
      <c r="D1035" s="37"/>
      <c r="E1035" s="776"/>
      <c r="F1035" s="188"/>
      <c r="G1035" s="40"/>
      <c r="H1035" s="7"/>
      <c r="I1035" s="821"/>
      <c r="J1035" s="253"/>
      <c r="K1035" s="606"/>
      <c r="L1035" s="39"/>
      <c r="M1035" s="39"/>
      <c r="N1035" s="39" t="str">
        <f>IF(AND('331-CT'!$E$7=TH!H1035,OR(L1035="331",M1035="331")),"331",IF(AND(OR(L1035="131",M1035="131"),H1035='131-CT'!$E$7),"131",""))</f>
        <v/>
      </c>
      <c r="O1035" s="39" t="str">
        <f>IF(AND($B1035&gt;='111'!$N$11,$B1035&lt;='111'!$O$11,OR($L1035=$O$7,$M1035=$O$7)),"x","")</f>
        <v/>
      </c>
      <c r="P1035" s="39" t="str">
        <f>IF(AND($L1035=$O$7,$B1035&lt;'111'!$N$11),"x","")</f>
        <v/>
      </c>
      <c r="Q1035" s="39" t="str">
        <f>IF(AND($M1035=$O$7,$B1035&lt;'111'!$N$11),"x","")</f>
        <v/>
      </c>
      <c r="R1035" s="39" t="str">
        <f>IF(ISERROR(FIND('112'!$M$9,G1035,1)),"",IF((AND(FIND('112'!$M$9,G1035,1)&gt;=1,$B1035&gt;='112'!$N$8,$B1035&lt;='112'!$O$8,OR($L1035='112'!$I$6,$M1035='112'!$I$6))),"x",""))</f>
        <v/>
      </c>
      <c r="S1035" s="39" t="str">
        <f>IF(ISERROR(FIND('112'!$M$9,G1035,1)),"",IF((AND(LEFT(G1035,2)=LEFT('112'!$M$9,2),B1035&lt;'112'!$N$8,$L1035='112'!$I$6)),"x",""))</f>
        <v/>
      </c>
      <c r="T1035" s="39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39" t="str">
        <f>IF(OR(TH!L1035=TH!$V$7,M1035=TH!$V$7),"x","")</f>
        <v/>
      </c>
      <c r="W1035" s="39" t="str">
        <f>IF(AND(B1035&gt;='IN-NX'!$P$3,B1035&lt;='IN-NX'!$Q$3,'IN-NX'!$D$7=D1035,OR(LEFT(L1035,2)="15",AND(LEFT(M1035,2)&lt;&gt;"15",LEFT(M1035,2)&lt;&gt;"33"))),"x","")</f>
        <v/>
      </c>
      <c r="X1035" s="39" t="str">
        <f>IF(AND(OR(LEFT(TH!L1035,2)="15",LEFT(TH!M1035,2)="15"),'152-CT'!$J$8=TH!F1035),"x","")</f>
        <v/>
      </c>
      <c r="Y1035" s="39" t="str">
        <f>IF(AND(OR(LEFT(TH!L1035,2)="15",LEFT(TH!M1035,2)="15"),TK!$E$7=TH!F1035),"x","")</f>
        <v/>
      </c>
      <c r="Z1035" s="39" t="str">
        <f>IF(AND(B1035&lt;=NKC!$N$8,B1035&gt;=NKC!$M$8),"x","")</f>
        <v/>
      </c>
      <c r="AA1035" s="894"/>
    </row>
    <row r="1036" spans="1:27" ht="15.75" customHeight="1">
      <c r="A1036" s="199" t="str">
        <f>IF(B1036&lt;&gt;"",IF(AND(B1036&gt;=_TM1,B1036&lt;=_TM2,OR(TH!L1036="1111",TH!M1036="1111")),TH!D1036,""),"")</f>
        <v/>
      </c>
      <c r="B1036" s="36" t="str">
        <f t="shared" si="41"/>
        <v/>
      </c>
      <c r="C1036" s="37"/>
      <c r="D1036" s="37"/>
      <c r="E1036" s="776"/>
      <c r="F1036" s="188"/>
      <c r="G1036" s="40"/>
      <c r="H1036" s="7"/>
      <c r="I1036" s="253"/>
      <c r="J1036" s="253"/>
      <c r="K1036" s="606"/>
      <c r="L1036" s="39"/>
      <c r="M1036" s="39"/>
      <c r="N1036" s="39" t="str">
        <f>IF(AND('331-CT'!$E$7=TH!H1036,OR(L1036="331",M1036="331")),"331",IF(AND(OR(L1036="131",M1036="131"),H1036='131-CT'!$E$7),"131",""))</f>
        <v/>
      </c>
      <c r="O1036" s="39" t="str">
        <f>IF(AND($B1036&gt;='111'!$N$11,$B1036&lt;='111'!$O$11,OR($L1036=$O$7,$M1036=$O$7)),"x","")</f>
        <v/>
      </c>
      <c r="P1036" s="39" t="str">
        <f>IF(AND($L1036=$O$7,$B1036&lt;'111'!$N$11),"x","")</f>
        <v/>
      </c>
      <c r="Q1036" s="39" t="str">
        <f>IF(AND($M1036=$O$7,$B1036&lt;'111'!$N$11),"x","")</f>
        <v/>
      </c>
      <c r="R1036" s="39" t="str">
        <f>IF(ISERROR(FIND('112'!$M$9,G1036,1)),"",IF((AND(FIND('112'!$M$9,G1036,1)&gt;=1,$B1036&gt;='112'!$N$8,$B1036&lt;='112'!$O$8,OR($L1036='112'!$I$6,$M1036='112'!$I$6))),"x",""))</f>
        <v/>
      </c>
      <c r="S1036" s="39" t="str">
        <f>IF(ISERROR(FIND('112'!$M$9,G1036,1)),"",IF((AND(LEFT(G1036,2)=LEFT('112'!$M$9,2),B1036&lt;'112'!$N$8,$L1036='112'!$I$6)),"x",""))</f>
        <v/>
      </c>
      <c r="T1036" s="39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39" t="str">
        <f>IF(OR(TH!L1036=TH!$V$7,M1036=TH!$V$7),"x","")</f>
        <v/>
      </c>
      <c r="W1036" s="39" t="str">
        <f>IF(AND(B1036&gt;='IN-NX'!$P$3,B1036&lt;='IN-NX'!$Q$3,'IN-NX'!$D$7=D1036,OR(LEFT(L1036,2)="15",AND(LEFT(M1036,2)&lt;&gt;"15",LEFT(M1036,2)&lt;&gt;"33"))),"x","")</f>
        <v/>
      </c>
      <c r="X1036" s="39" t="str">
        <f>IF(AND(OR(LEFT(TH!L1036,2)="15",LEFT(TH!M1036,2)="15"),'152-CT'!$J$8=TH!F1036),"x","")</f>
        <v/>
      </c>
      <c r="Y1036" s="39" t="str">
        <f>IF(AND(OR(LEFT(TH!L1036,2)="15",LEFT(TH!M1036,2)="15"),TK!$E$7=TH!F1036),"x","")</f>
        <v/>
      </c>
      <c r="Z1036" s="39" t="str">
        <f>IF(AND(B1036&lt;=NKC!$N$8,B1036&gt;=NKC!$M$8),"x","")</f>
        <v/>
      </c>
      <c r="AA1036" s="894"/>
    </row>
    <row r="1037" spans="1:27" ht="15.75" customHeight="1">
      <c r="A1037" s="199" t="str">
        <f>IF(B1037&lt;&gt;"",IF(AND(B1037&gt;=_TM1,B1037&lt;=_TM2,OR(TH!L1037="1111",TH!M1037="1111")),TH!D1037,""),"")</f>
        <v/>
      </c>
      <c r="B1037" s="36" t="str">
        <f t="shared" si="41"/>
        <v/>
      </c>
      <c r="C1037" s="37"/>
      <c r="D1037" s="37"/>
      <c r="E1037" s="776"/>
      <c r="F1037" s="188"/>
      <c r="G1037" s="40"/>
      <c r="H1037" s="7"/>
      <c r="I1037" s="821"/>
      <c r="J1037" s="253"/>
      <c r="K1037" s="606"/>
      <c r="L1037" s="39"/>
      <c r="M1037" s="39"/>
      <c r="N1037" s="39" t="str">
        <f>IF(AND('331-CT'!$E$7=TH!H1037,OR(L1037="331",M1037="331")),"331",IF(AND(OR(L1037="131",M1037="131"),H1037='131-CT'!$E$7),"131",""))</f>
        <v/>
      </c>
      <c r="O1037" s="39" t="str">
        <f>IF(AND($B1037&gt;='111'!$N$11,$B1037&lt;='111'!$O$11,OR($L1037=$O$7,$M1037=$O$7)),"x","")</f>
        <v/>
      </c>
      <c r="P1037" s="39" t="str">
        <f>IF(AND($L1037=$O$7,$B1037&lt;'111'!$N$11),"x","")</f>
        <v/>
      </c>
      <c r="Q1037" s="39" t="str">
        <f>IF(AND($M1037=$O$7,$B1037&lt;'111'!$N$11),"x","")</f>
        <v/>
      </c>
      <c r="R1037" s="39" t="str">
        <f>IF(ISERROR(FIND('112'!$M$9,G1037,1)),"",IF((AND(FIND('112'!$M$9,G1037,1)&gt;=1,$B1037&gt;='112'!$N$8,$B1037&lt;='112'!$O$8,OR($L1037='112'!$I$6,$M1037='112'!$I$6))),"x",""))</f>
        <v/>
      </c>
      <c r="S1037" s="39" t="str">
        <f>IF(ISERROR(FIND('112'!$M$9,G1037,1)),"",IF((AND(LEFT(G1037,2)=LEFT('112'!$M$9,2),B1037&lt;'112'!$N$8,$L1037='112'!$I$6)),"x",""))</f>
        <v/>
      </c>
      <c r="T1037" s="39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39" t="str">
        <f>IF(OR(TH!L1037=TH!$V$7,M1037=TH!$V$7),"x","")</f>
        <v/>
      </c>
      <c r="W1037" s="39" t="str">
        <f>IF(AND(B1037&gt;='IN-NX'!$P$3,B1037&lt;='IN-NX'!$Q$3,'IN-NX'!$D$7=D1037,OR(LEFT(L1037,2)="15",AND(LEFT(M1037,2)&lt;&gt;"15",LEFT(M1037,2)&lt;&gt;"33"))),"x","")</f>
        <v/>
      </c>
      <c r="X1037" s="39" t="str">
        <f>IF(AND(OR(LEFT(TH!L1037,2)="15",LEFT(TH!M1037,2)="15"),'152-CT'!$J$8=TH!F1037),"x","")</f>
        <v/>
      </c>
      <c r="Y1037" s="39" t="str">
        <f>IF(AND(OR(LEFT(TH!L1037,2)="15",LEFT(TH!M1037,2)="15"),TK!$E$7=TH!F1037),"x","")</f>
        <v/>
      </c>
      <c r="Z1037" s="39" t="str">
        <f>IF(AND(B1037&lt;=NKC!$N$8,B1037&gt;=NKC!$M$8),"x","")</f>
        <v/>
      </c>
      <c r="AA1037" s="894"/>
    </row>
    <row r="1038" spans="1:27" ht="15.75" customHeight="1">
      <c r="A1038" s="199" t="str">
        <f>IF(B1038&lt;&gt;"",IF(AND(B1038&gt;=_TM1,B1038&lt;=_TM2,OR(TH!L1038="1111",TH!M1038="1111")),TH!D1038,""),"")</f>
        <v/>
      </c>
      <c r="B1038" s="36" t="str">
        <f t="shared" si="41"/>
        <v/>
      </c>
      <c r="C1038" s="37"/>
      <c r="D1038" s="37"/>
      <c r="E1038" s="776"/>
      <c r="F1038" s="293"/>
      <c r="G1038" s="40"/>
      <c r="H1038" s="7"/>
      <c r="I1038" s="253"/>
      <c r="J1038" s="253"/>
      <c r="K1038" s="606"/>
      <c r="L1038" s="39"/>
      <c r="M1038" s="39"/>
      <c r="N1038" s="39" t="str">
        <f>IF(AND('331-CT'!$E$7=TH!H1038,OR(L1038="331",M1038="331")),"331",IF(AND(OR(L1038="131",M1038="131"),H1038='131-CT'!$E$7),"131",""))</f>
        <v/>
      </c>
      <c r="O1038" s="39" t="str">
        <f>IF(AND($B1038&gt;='111'!$N$11,$B1038&lt;='111'!$O$11,OR($L1038=$O$7,$M1038=$O$7)),"x","")</f>
        <v/>
      </c>
      <c r="P1038" s="39" t="str">
        <f>IF(AND($L1038=$O$7,$B1038&lt;'111'!$N$11),"x","")</f>
        <v/>
      </c>
      <c r="Q1038" s="39" t="str">
        <f>IF(AND($M1038=$O$7,$B1038&lt;'111'!$N$11),"x","")</f>
        <v/>
      </c>
      <c r="R1038" s="39" t="str">
        <f>IF(ISERROR(FIND('112'!$M$9,G1038,1)),"",IF((AND(FIND('112'!$M$9,G1038,1)&gt;=1,$B1038&gt;='112'!$N$8,$B1038&lt;='112'!$O$8,OR($L1038='112'!$I$6,$M1038='112'!$I$6))),"x",""))</f>
        <v/>
      </c>
      <c r="S1038" s="39" t="str">
        <f>IF(ISERROR(FIND('112'!$M$9,G1038,1)),"",IF((AND(LEFT(G1038,2)=LEFT('112'!$M$9,2),B1038&lt;'112'!$N$8,$L1038='112'!$I$6)),"x",""))</f>
        <v/>
      </c>
      <c r="T1038" s="39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39" t="str">
        <f>IF(OR(TH!L1038=TH!$V$7,M1038=TH!$V$7),"x","")</f>
        <v/>
      </c>
      <c r="W1038" s="39" t="str">
        <f>IF(AND(B1038&gt;='IN-NX'!$P$3,B1038&lt;='IN-NX'!$Q$3,'IN-NX'!$D$7=D1038,OR(LEFT(L1038,2)="15",AND(LEFT(M1038,2)&lt;&gt;"15",LEFT(M1038,2)&lt;&gt;"33"))),"x","")</f>
        <v/>
      </c>
      <c r="X1038" s="39" t="str">
        <f>IF(AND(OR(LEFT(TH!L1038,2)="15",LEFT(TH!M1038,2)="15"),'152-CT'!$J$8=TH!F1038),"x","")</f>
        <v/>
      </c>
      <c r="Y1038" s="39" t="str">
        <f>IF(AND(OR(LEFT(TH!L1038,2)="15",LEFT(TH!M1038,2)="15"),TK!$E$7=TH!F1038),"x","")</f>
        <v/>
      </c>
      <c r="Z1038" s="39" t="str">
        <f>IF(AND(B1038&lt;=NKC!$N$8,B1038&gt;=NKC!$M$8),"x","")</f>
        <v/>
      </c>
      <c r="AA1038" s="894"/>
    </row>
    <row r="1039" spans="1:27" ht="15.75" customHeight="1">
      <c r="A1039" s="199" t="str">
        <f>IF(B1039&lt;&gt;"",IF(AND(B1039&gt;=_TM1,B1039&lt;=_TM2,OR(TH!L1039="1111",TH!M1039="1111")),TH!D1039,""),"")</f>
        <v/>
      </c>
      <c r="B1039" s="36" t="str">
        <f t="shared" si="41"/>
        <v/>
      </c>
      <c r="C1039" s="37"/>
      <c r="D1039" s="37"/>
      <c r="E1039" s="776"/>
      <c r="F1039" s="40"/>
      <c r="G1039" s="40"/>
      <c r="H1039" s="7"/>
      <c r="I1039" s="253"/>
      <c r="J1039" s="253"/>
      <c r="K1039" s="606"/>
      <c r="L1039" s="39"/>
      <c r="M1039" s="39"/>
      <c r="N1039" s="39" t="str">
        <f>IF(AND('331-CT'!$E$7=TH!H1039,OR(L1039="331",M1039="331")),"331",IF(AND(OR(L1039="131",M1039="131"),H1039='131-CT'!$E$7),"131",""))</f>
        <v/>
      </c>
      <c r="O1039" s="39" t="str">
        <f>IF(AND($B1039&gt;='111'!$N$11,$B1039&lt;='111'!$O$11,OR($L1039=$O$7,$M1039=$O$7)),"x","")</f>
        <v/>
      </c>
      <c r="P1039" s="39" t="str">
        <f>IF(AND($L1039=$O$7,$B1039&lt;'111'!$N$11),"x","")</f>
        <v/>
      </c>
      <c r="Q1039" s="39" t="str">
        <f>IF(AND($M1039=$O$7,$B1039&lt;'111'!$N$11),"x","")</f>
        <v/>
      </c>
      <c r="R1039" s="39" t="str">
        <f>IF(ISERROR(FIND('112'!$M$9,G1039,1)),"",IF((AND(FIND('112'!$M$9,G1039,1)&gt;=1,$B1039&gt;='112'!$N$8,$B1039&lt;='112'!$O$8,OR($L1039='112'!$I$6,$M1039='112'!$I$6))),"x",""))</f>
        <v/>
      </c>
      <c r="S1039" s="39" t="str">
        <f>IF(ISERROR(FIND('112'!$M$9,G1039,1)),"",IF((AND(LEFT(G1039,2)=LEFT('112'!$M$9,2),B1039&lt;'112'!$N$8,$L1039='112'!$I$6)),"x",""))</f>
        <v/>
      </c>
      <c r="T1039" s="39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39" t="str">
        <f>IF(OR(TH!L1039=TH!$V$7,M1039=TH!$V$7),"x","")</f>
        <v/>
      </c>
      <c r="W1039" s="39" t="str">
        <f>IF(AND(B1039&gt;='IN-NX'!$P$3,B1039&lt;='IN-NX'!$Q$3,'IN-NX'!$D$7=D1039,OR(LEFT(L1039,2)="15",AND(LEFT(M1039,2)&lt;&gt;"15",LEFT(M1039,2)&lt;&gt;"33"))),"x","")</f>
        <v/>
      </c>
      <c r="X1039" s="39" t="str">
        <f>IF(AND(OR(LEFT(TH!L1039,2)="15",LEFT(TH!M1039,2)="15"),'152-CT'!$J$8=TH!F1039),"x","")</f>
        <v/>
      </c>
      <c r="Y1039" s="39" t="str">
        <f>IF(AND(OR(LEFT(TH!L1039,2)="15",LEFT(TH!M1039,2)="15"),TK!$E$7=TH!F1039),"x","")</f>
        <v/>
      </c>
      <c r="Z1039" s="39" t="str">
        <f>IF(AND(B1039&lt;=NKC!$N$8,B1039&gt;=NKC!$M$8),"x","")</f>
        <v/>
      </c>
      <c r="AA1039" s="894"/>
    </row>
    <row r="1040" spans="1:27" ht="15.75" customHeight="1">
      <c r="A1040" s="199" t="str">
        <f>IF(B1040&lt;&gt;"",IF(AND(B1040&gt;=_TM1,B1040&lt;=_TM2,OR(TH!L1040="1111",TH!M1040="1111")),TH!D1040,""),"")</f>
        <v/>
      </c>
      <c r="B1040" s="36" t="str">
        <f t="shared" si="41"/>
        <v/>
      </c>
      <c r="C1040" s="190"/>
      <c r="D1040" s="183"/>
      <c r="E1040" s="190"/>
      <c r="F1040" s="191"/>
      <c r="G1040" s="491"/>
      <c r="H1040" s="818"/>
      <c r="I1040" s="255"/>
      <c r="J1040" s="255"/>
      <c r="K1040" s="606"/>
      <c r="L1040" s="193"/>
      <c r="M1040" s="193"/>
      <c r="N1040" s="39" t="str">
        <f>IF(AND('331-CT'!$E$7=TH!H1040,OR(L1040="331",M1040="331")),"331",IF(AND(OR(L1040="131",M1040="131"),H1040='131-CT'!$E$7),"131",""))</f>
        <v/>
      </c>
      <c r="O1040" s="39" t="str">
        <f>IF(AND($B1040&gt;='111'!$N$11,$B1040&lt;='111'!$O$11,OR($L1040=$O$7,$M1040=$O$7)),"x","")</f>
        <v/>
      </c>
      <c r="P1040" s="39" t="str">
        <f>IF(AND($L1040=$O$7,$B1040&lt;'111'!$N$11),"x","")</f>
        <v/>
      </c>
      <c r="Q1040" s="39" t="str">
        <f>IF(AND($M1040=$O$7,$B1040&lt;'111'!$N$11),"x","")</f>
        <v/>
      </c>
      <c r="R1040" s="39" t="str">
        <f>IF(ISERROR(FIND('112'!$M$9,G1040,1)),"",IF((AND(FIND('112'!$M$9,G1040,1)&gt;=1,$B1040&gt;='112'!$N$8,$B1040&lt;='112'!$O$8,OR($L1040='112'!$I$6,$M1040='112'!$I$6))),"x",""))</f>
        <v/>
      </c>
      <c r="S1040" s="39" t="str">
        <f>IF(ISERROR(FIND('112'!$M$9,G1040,1)),"",IF((AND(LEFT(G1040,2)=LEFT('112'!$M$9,2),B1040&lt;'112'!$N$8,$L1040='112'!$I$6)),"x",""))</f>
        <v/>
      </c>
      <c r="T1040" s="39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39" t="str">
        <f>IF(OR(TH!L1040=TH!$V$7,M1040=TH!$V$7),"x","")</f>
        <v/>
      </c>
      <c r="W1040" s="39" t="str">
        <f>IF(AND(B1040&gt;='IN-NX'!$P$3,B1040&lt;='IN-NX'!$Q$3,'IN-NX'!$D$7=D1040,OR(LEFT(L1040,2)="15",AND(LEFT(M1040,2)&lt;&gt;"15",LEFT(M1040,2)&lt;&gt;"33"))),"x","")</f>
        <v/>
      </c>
      <c r="X1040" s="39" t="str">
        <f>IF(AND(OR(LEFT(TH!L1040,2)="15",LEFT(TH!M1040,2)="15"),'152-CT'!$J$8=TH!F1040),"x","")</f>
        <v/>
      </c>
      <c r="Y1040" s="39" t="str">
        <f>IF(AND(OR(LEFT(TH!L1040,2)="15",LEFT(TH!M1040,2)="15"),TK!$E$7=TH!F1040),"x","")</f>
        <v/>
      </c>
      <c r="Z1040" s="39" t="str">
        <f>IF(AND(B1040&lt;=NKC!$N$8,B1040&gt;=NKC!$M$8),"x","")</f>
        <v/>
      </c>
      <c r="AA1040" s="894"/>
    </row>
    <row r="1041" spans="1:27" ht="15.75" customHeight="1">
      <c r="A1041" s="199" t="str">
        <f>IF(B1041&lt;&gt;"",IF(AND(B1041&gt;=_TM1,B1041&lt;=_TM2,OR(TH!L1041="1111",TH!M1041="1111")),TH!D1041,""),"")</f>
        <v/>
      </c>
      <c r="B1041" s="36" t="str">
        <f t="shared" si="41"/>
        <v/>
      </c>
      <c r="C1041" s="190"/>
      <c r="D1041" s="183"/>
      <c r="E1041" s="190"/>
      <c r="F1041" s="191"/>
      <c r="G1041" s="491"/>
      <c r="H1041" s="818"/>
      <c r="I1041" s="255"/>
      <c r="J1041" s="255"/>
      <c r="K1041" s="38"/>
      <c r="L1041" s="193"/>
      <c r="M1041" s="193"/>
      <c r="N1041" s="39" t="str">
        <f>IF(AND('331-CT'!$E$7=TH!H1041,OR(L1041="331",M1041="331")),"331",IF(AND(OR(L1041="131",M1041="131"),H1041='131-CT'!$E$7),"131",""))</f>
        <v/>
      </c>
      <c r="O1041" s="39" t="str">
        <f>IF(AND($B1041&gt;='111'!$N$11,$B1041&lt;='111'!$O$11,OR($L1041=$O$7,$M1041=$O$7)),"x","")</f>
        <v/>
      </c>
      <c r="P1041" s="39" t="str">
        <f>IF(AND($L1041=$O$7,$B1041&lt;'111'!$N$11),"x","")</f>
        <v/>
      </c>
      <c r="Q1041" s="39" t="str">
        <f>IF(AND($M1041=$O$7,$B1041&lt;'111'!$N$11),"x","")</f>
        <v/>
      </c>
      <c r="R1041" s="39" t="str">
        <f>IF(ISERROR(FIND('112'!$M$9,G1041,1)),"",IF((AND(FIND('112'!$M$9,G1041,1)&gt;=1,$B1041&gt;='112'!$N$8,$B1041&lt;='112'!$O$8,OR($L1041='112'!$I$6,$M1041='112'!$I$6))),"x",""))</f>
        <v/>
      </c>
      <c r="S1041" s="39" t="str">
        <f>IF(ISERROR(FIND('112'!$M$9,G1041,1)),"",IF((AND(LEFT(G1041,2)=LEFT('112'!$M$9,2),B1041&lt;'112'!$N$8,$L1041='112'!$I$6)),"x",""))</f>
        <v/>
      </c>
      <c r="T1041" s="39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39" t="str">
        <f>IF(OR(TH!L1041=TH!$V$7,M1041=TH!$V$7),"x","")</f>
        <v/>
      </c>
      <c r="W1041" s="39" t="str">
        <f>IF(AND(B1041&gt;='IN-NX'!$P$3,B1041&lt;='IN-NX'!$Q$3,'IN-NX'!$D$7=D1041,OR(LEFT(L1041,2)="15",AND(LEFT(M1041,2)&lt;&gt;"15",LEFT(M1041,2)&lt;&gt;"33"))),"x","")</f>
        <v/>
      </c>
      <c r="X1041" s="39" t="str">
        <f>IF(AND(OR(LEFT(TH!L1041,2)="15",LEFT(TH!M1041,2)="15"),'152-CT'!$J$8=TH!F1041),"x","")</f>
        <v/>
      </c>
      <c r="Y1041" s="39" t="str">
        <f>IF(AND(OR(LEFT(TH!L1041,2)="15",LEFT(TH!M1041,2)="15"),TK!$E$7=TH!F1041),"x","")</f>
        <v/>
      </c>
      <c r="Z1041" s="39" t="str">
        <f>IF(AND(B1041&lt;=NKC!$N$8,B1041&gt;=NKC!$M$8),"x","")</f>
        <v/>
      </c>
      <c r="AA1041" s="894"/>
    </row>
    <row r="1042" spans="1:27" ht="15.75" customHeight="1">
      <c r="A1042" s="199" t="str">
        <f>IF(B1042&lt;&gt;"",IF(AND(B1042&gt;=_TM1,B1042&lt;=_TM2,OR(TH!L1042="1111",TH!M1042="1111")),TH!D1042,""),"")</f>
        <v/>
      </c>
      <c r="B1042" s="36" t="str">
        <f t="shared" si="41"/>
        <v/>
      </c>
      <c r="C1042" s="183"/>
      <c r="D1042" s="183"/>
      <c r="E1042" s="183"/>
      <c r="F1042" s="188"/>
      <c r="G1042" s="608"/>
      <c r="H1042" s="192"/>
      <c r="I1042" s="253"/>
      <c r="J1042" s="253"/>
      <c r="K1042" s="606"/>
      <c r="L1042" s="607"/>
      <c r="M1042" s="607"/>
      <c r="N1042" s="39" t="str">
        <f>IF(AND('331-CT'!$E$7=TH!H1042,OR(L1042="331",M1042="331")),"331",IF(AND(OR(L1042="131",M1042="131"),H1042='131-CT'!$E$7),"131",""))</f>
        <v/>
      </c>
      <c r="O1042" s="39" t="str">
        <f>IF(AND($B1042&gt;='111'!$N$11,$B1042&lt;='111'!$O$11,OR($L1042=$O$7,$M1042=$O$7)),"x","")</f>
        <v/>
      </c>
      <c r="P1042" s="39" t="str">
        <f>IF(AND($L1042=$O$7,$B1042&lt;'111'!$N$11),"x","")</f>
        <v/>
      </c>
      <c r="Q1042" s="39" t="str">
        <f>IF(AND($M1042=$O$7,$B1042&lt;'111'!$N$11),"x","")</f>
        <v/>
      </c>
      <c r="R1042" s="39" t="str">
        <f>IF(ISERROR(FIND('112'!$M$9,G1042,1)),"",IF((AND(FIND('112'!$M$9,G1042,1)&gt;=1,$B1042&gt;='112'!$N$8,$B1042&lt;='112'!$O$8,OR($L1042='112'!$I$6,$M1042='112'!$I$6))),"x",""))</f>
        <v/>
      </c>
      <c r="S1042" s="39" t="str">
        <f>IF(ISERROR(FIND('112'!$M$9,G1042,1)),"",IF((AND(LEFT(G1042,2)=LEFT('112'!$M$9,2),B1042&lt;'112'!$N$8,$L1042='112'!$I$6)),"x",""))</f>
        <v/>
      </c>
      <c r="T1042" s="39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39" t="str">
        <f>IF(OR(TH!L1042=TH!$V$7,M1042=TH!$V$7),"x","")</f>
        <v/>
      </c>
      <c r="W1042" s="39" t="str">
        <f>IF(AND(B1042&gt;='IN-NX'!$P$3,B1042&lt;='IN-NX'!$Q$3,'IN-NX'!$D$7=D1042,OR(LEFT(L1042,2)="15",AND(LEFT(M1042,2)&lt;&gt;"15",LEFT(M1042,2)&lt;&gt;"33"))),"x","")</f>
        <v/>
      </c>
      <c r="X1042" s="39" t="str">
        <f>IF(AND(OR(LEFT(TH!L1042,2)="15",LEFT(TH!M1042,2)="15"),'152-CT'!$J$8=TH!F1042),"x","")</f>
        <v/>
      </c>
      <c r="Y1042" s="39" t="str">
        <f>IF(AND(OR(LEFT(TH!L1042,2)="15",LEFT(TH!M1042,2)="15"),TK!$E$7=TH!F1042),"x","")</f>
        <v/>
      </c>
      <c r="Z1042" s="39" t="str">
        <f>IF(AND(B1042&lt;=NKC!$N$8,B1042&gt;=NKC!$M$8),"x","")</f>
        <v/>
      </c>
      <c r="AA1042" s="894"/>
    </row>
    <row r="1043" spans="1:27" ht="15.75" customHeight="1">
      <c r="A1043" s="199" t="str">
        <f>IF(B1043&lt;&gt;"",IF(AND(B1043&gt;=_TM1,B1043&lt;=_TM2,OR(TH!L1043="1111",TH!M1043="1111")),TH!D1043,""),"")</f>
        <v/>
      </c>
      <c r="B1043" s="36" t="str">
        <f t="shared" si="41"/>
        <v/>
      </c>
      <c r="C1043" s="183"/>
      <c r="D1043" s="183"/>
      <c r="E1043" s="183"/>
      <c r="F1043" s="188"/>
      <c r="G1043" s="608"/>
      <c r="H1043" s="7"/>
      <c r="I1043" s="253"/>
      <c r="J1043" s="253"/>
      <c r="K1043" s="606"/>
      <c r="L1043" s="607"/>
      <c r="M1043" s="607"/>
      <c r="N1043" s="39" t="str">
        <f>IF(AND('331-CT'!$E$7=TH!H1043,OR(L1043="331",M1043="331")),"331",IF(AND(OR(L1043="131",M1043="131"),H1043='131-CT'!$E$7),"131",""))</f>
        <v/>
      </c>
      <c r="O1043" s="39" t="str">
        <f>IF(AND($B1043&gt;='111'!$N$11,$B1043&lt;='111'!$O$11,OR($L1043=$O$7,$M1043=$O$7)),"x","")</f>
        <v/>
      </c>
      <c r="P1043" s="39" t="str">
        <f>IF(AND($L1043=$O$7,$B1043&lt;'111'!$N$11),"x","")</f>
        <v/>
      </c>
      <c r="Q1043" s="39" t="str">
        <f>IF(AND($M1043=$O$7,$B1043&lt;'111'!$N$11),"x","")</f>
        <v/>
      </c>
      <c r="R1043" s="39" t="str">
        <f>IF(ISERROR(FIND('112'!$M$9,G1043,1)),"",IF((AND(FIND('112'!$M$9,G1043,1)&gt;=1,$B1043&gt;='112'!$N$8,$B1043&lt;='112'!$O$8,OR($L1043='112'!$I$6,$M1043='112'!$I$6))),"x",""))</f>
        <v/>
      </c>
      <c r="S1043" s="39" t="str">
        <f>IF(ISERROR(FIND('112'!$M$9,G1043,1)),"",IF((AND(LEFT(G1043,2)=LEFT('112'!$M$9,2),B1043&lt;'112'!$N$8,$L1043='112'!$I$6)),"x",""))</f>
        <v/>
      </c>
      <c r="T1043" s="39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39" t="str">
        <f>IF(OR(TH!L1043=TH!$V$7,M1043=TH!$V$7),"x","")</f>
        <v/>
      </c>
      <c r="W1043" s="39" t="str">
        <f>IF(AND(B1043&gt;='IN-NX'!$P$3,B1043&lt;='IN-NX'!$Q$3,'IN-NX'!$D$7=D1043,OR(LEFT(L1043,2)="15",AND(LEFT(M1043,2)&lt;&gt;"15",LEFT(M1043,2)&lt;&gt;"33"))),"x","")</f>
        <v/>
      </c>
      <c r="X1043" s="39" t="str">
        <f>IF(AND(OR(LEFT(TH!L1043,2)="15",LEFT(TH!M1043,2)="15"),'152-CT'!$J$8=TH!F1043),"x","")</f>
        <v/>
      </c>
      <c r="Y1043" s="39" t="str">
        <f>IF(AND(OR(LEFT(TH!L1043,2)="15",LEFT(TH!M1043,2)="15"),TK!$E$7=TH!F1043),"x","")</f>
        <v/>
      </c>
      <c r="Z1043" s="39" t="str">
        <f>IF(AND(B1043&lt;=NKC!$N$8,B1043&gt;=NKC!$M$8),"x","")</f>
        <v/>
      </c>
      <c r="AA1043" s="894"/>
    </row>
    <row r="1044" spans="1:27" ht="15.75" customHeight="1">
      <c r="A1044" s="199" t="str">
        <f>IF(B1044&lt;&gt;"",IF(AND(B1044&gt;=_TM1,B1044&lt;=_TM2,OR(TH!L1044="1111",TH!M1044="1111")),TH!D1044,""),"")</f>
        <v/>
      </c>
      <c r="B1044" s="36" t="str">
        <f t="shared" si="41"/>
        <v/>
      </c>
      <c r="C1044" s="190"/>
      <c r="D1044" s="190"/>
      <c r="E1044" s="190"/>
      <c r="F1044" s="191"/>
      <c r="G1044" s="491"/>
      <c r="H1044" s="192"/>
      <c r="I1044" s="253"/>
      <c r="J1044" s="253"/>
      <c r="K1044" s="606"/>
      <c r="L1044" s="193"/>
      <c r="M1044" s="193"/>
      <c r="N1044" s="39" t="str">
        <f>IF(AND('331-CT'!$E$7=TH!H1044,OR(L1044="331",M1044="331")),"331",IF(AND(OR(L1044="131",M1044="131"),H1044='131-CT'!$E$7),"131",""))</f>
        <v/>
      </c>
      <c r="O1044" s="39" t="str">
        <f>IF(AND($B1044&gt;='111'!$N$11,$B1044&lt;='111'!$O$11,OR($L1044=$O$7,$M1044=$O$7)),"x","")</f>
        <v/>
      </c>
      <c r="P1044" s="39" t="str">
        <f>IF(AND($L1044=$O$7,$B1044&lt;'111'!$N$11),"x","")</f>
        <v/>
      </c>
      <c r="Q1044" s="39" t="str">
        <f>IF(AND($M1044=$O$7,$B1044&lt;'111'!$N$11),"x","")</f>
        <v/>
      </c>
      <c r="R1044" s="39" t="str">
        <f>IF(ISERROR(FIND('112'!$M$9,G1044,1)),"",IF((AND(FIND('112'!$M$9,G1044,1)&gt;=1,$B1044&gt;='112'!$N$8,$B1044&lt;='112'!$O$8,OR($L1044='112'!$I$6,$M1044='112'!$I$6))),"x",""))</f>
        <v/>
      </c>
      <c r="S1044" s="39" t="str">
        <f>IF(ISERROR(FIND('112'!$M$9,G1044,1)),"",IF((AND(LEFT(G1044,2)=LEFT('112'!$M$9,2),B1044&lt;'112'!$N$8,$L1044='112'!$I$6)),"x",""))</f>
        <v/>
      </c>
      <c r="T1044" s="39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39" t="str">
        <f>IF(OR(TH!L1044=TH!$V$7,M1044=TH!$V$7),"x","")</f>
        <v/>
      </c>
      <c r="W1044" s="39" t="str">
        <f>IF(AND(B1044&gt;='IN-NX'!$P$3,B1044&lt;='IN-NX'!$Q$3,'IN-NX'!$D$7=D1044,OR(LEFT(L1044,2)="15",AND(LEFT(M1044,2)&lt;&gt;"15",LEFT(M1044,2)&lt;&gt;"33"))),"x","")</f>
        <v/>
      </c>
      <c r="X1044" s="39" t="str">
        <f>IF(AND(OR(LEFT(TH!L1044,2)="15",LEFT(TH!M1044,2)="15"),'152-CT'!$J$8=TH!F1044),"x","")</f>
        <v/>
      </c>
      <c r="Y1044" s="39" t="str">
        <f>IF(AND(OR(LEFT(TH!L1044,2)="15",LEFT(TH!M1044,2)="15"),TK!$E$7=TH!F1044),"x","")</f>
        <v/>
      </c>
      <c r="Z1044" s="39" t="str">
        <f>IF(AND(B1044&lt;=NKC!$N$8,B1044&gt;=NKC!$M$8),"x","")</f>
        <v/>
      </c>
      <c r="AA1044" s="894"/>
    </row>
    <row r="1045" spans="1:27" ht="15.75" customHeight="1">
      <c r="A1045" s="199" t="str">
        <f>IF(B1045&lt;&gt;"",IF(AND(B1045&gt;=_TM1,B1045&lt;=_TM2,OR(TH!L1045="1111",TH!M1045="1111")),TH!D1045,""),"")</f>
        <v/>
      </c>
      <c r="B1045" s="36" t="str">
        <f t="shared" si="41"/>
        <v/>
      </c>
      <c r="C1045" s="190"/>
      <c r="D1045" s="190"/>
      <c r="E1045" s="190"/>
      <c r="F1045" s="191"/>
      <c r="G1045" s="491"/>
      <c r="H1045" s="192"/>
      <c r="I1045" s="253"/>
      <c r="J1045" s="253"/>
      <c r="K1045" s="606"/>
      <c r="L1045" s="193"/>
      <c r="M1045" s="193"/>
      <c r="N1045" s="39" t="str">
        <f>IF(AND('331-CT'!$E$7=TH!H1045,OR(L1045="331",M1045="331")),"331",IF(AND(OR(L1045="131",M1045="131"),H1045='131-CT'!$E$7),"131",""))</f>
        <v/>
      </c>
      <c r="O1045" s="39" t="str">
        <f>IF(AND($B1045&gt;='111'!$N$11,$B1045&lt;='111'!$O$11,OR($L1045=$O$7,$M1045=$O$7)),"x","")</f>
        <v/>
      </c>
      <c r="P1045" s="39" t="str">
        <f>IF(AND($L1045=$O$7,$B1045&lt;'111'!$N$11),"x","")</f>
        <v/>
      </c>
      <c r="Q1045" s="39" t="str">
        <f>IF(AND($M1045=$O$7,$B1045&lt;'111'!$N$11),"x","")</f>
        <v/>
      </c>
      <c r="R1045" s="39" t="str">
        <f>IF(ISERROR(FIND('112'!$M$9,G1045,1)),"",IF((AND(FIND('112'!$M$9,G1045,1)&gt;=1,$B1045&gt;='112'!$N$8,$B1045&lt;='112'!$O$8,OR($L1045='112'!$I$6,$M1045='112'!$I$6))),"x",""))</f>
        <v/>
      </c>
      <c r="S1045" s="39" t="str">
        <f>IF(ISERROR(FIND('112'!$M$9,G1045,1)),"",IF((AND(LEFT(G1045,2)=LEFT('112'!$M$9,2),B1045&lt;'112'!$N$8,$L1045='112'!$I$6)),"x",""))</f>
        <v/>
      </c>
      <c r="T1045" s="39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39" t="str">
        <f>IF(OR(TH!L1045=TH!$V$7,M1045=TH!$V$7),"x","")</f>
        <v/>
      </c>
      <c r="W1045" s="39" t="str">
        <f>IF(AND(B1045&gt;='IN-NX'!$P$3,B1045&lt;='IN-NX'!$Q$3,'IN-NX'!$D$7=D1045,OR(LEFT(L1045,2)="15",AND(LEFT(M1045,2)&lt;&gt;"15",LEFT(M1045,2)&lt;&gt;"33"))),"x","")</f>
        <v/>
      </c>
      <c r="X1045" s="39" t="str">
        <f>IF(AND(OR(LEFT(TH!L1045,2)="15",LEFT(TH!M1045,2)="15"),'152-CT'!$J$8=TH!F1045),"x","")</f>
        <v/>
      </c>
      <c r="Y1045" s="39" t="str">
        <f>IF(AND(OR(LEFT(TH!L1045,2)="15",LEFT(TH!M1045,2)="15"),TK!$E$7=TH!F1045),"x","")</f>
        <v/>
      </c>
      <c r="Z1045" s="39" t="str">
        <f>IF(AND(B1045&lt;=NKC!$N$8,B1045&gt;=NKC!$M$8),"x","")</f>
        <v/>
      </c>
      <c r="AA1045" s="894"/>
    </row>
    <row r="1046" spans="1:27" ht="15.75" customHeight="1">
      <c r="A1046" s="199" t="str">
        <f>IF(B1046&lt;&gt;"",IF(AND(B1046&gt;=_TM1,B1046&lt;=_TM2,OR(TH!L1046="1111",TH!M1046="1111")),TH!D1046,""),"")</f>
        <v/>
      </c>
      <c r="B1046" s="36" t="str">
        <f t="shared" si="41"/>
        <v/>
      </c>
      <c r="C1046" s="190"/>
      <c r="D1046" s="190"/>
      <c r="E1046" s="190"/>
      <c r="F1046" s="191"/>
      <c r="G1046" s="491"/>
      <c r="H1046" s="192"/>
      <c r="I1046" s="253"/>
      <c r="J1046" s="253"/>
      <c r="K1046" s="606"/>
      <c r="L1046" s="193"/>
      <c r="M1046" s="193"/>
      <c r="N1046" s="39" t="str">
        <f>IF(AND('331-CT'!$E$7=TH!H1046,OR(L1046="331",M1046="331")),"331",IF(AND(OR(L1046="131",M1046="131"),H1046='131-CT'!$E$7),"131",""))</f>
        <v/>
      </c>
      <c r="O1046" s="39" t="str">
        <f>IF(AND($B1046&gt;='111'!$N$11,$B1046&lt;='111'!$O$11,OR($L1046=$O$7,$M1046=$O$7)),"x","")</f>
        <v/>
      </c>
      <c r="P1046" s="39" t="str">
        <f>IF(AND($L1046=$O$7,$B1046&lt;'111'!$N$11),"x","")</f>
        <v/>
      </c>
      <c r="Q1046" s="39" t="str">
        <f>IF(AND($M1046=$O$7,$B1046&lt;'111'!$N$11),"x","")</f>
        <v/>
      </c>
      <c r="R1046" s="39" t="str">
        <f>IF(ISERROR(FIND('112'!$M$9,G1046,1)),"",IF((AND(FIND('112'!$M$9,G1046,1)&gt;=1,$B1046&gt;='112'!$N$8,$B1046&lt;='112'!$O$8,OR($L1046='112'!$I$6,$M1046='112'!$I$6))),"x",""))</f>
        <v/>
      </c>
      <c r="S1046" s="39" t="str">
        <f>IF(ISERROR(FIND('112'!$M$9,G1046,1)),"",IF((AND(LEFT(G1046,2)=LEFT('112'!$M$9,2),B1046&lt;'112'!$N$8,$L1046='112'!$I$6)),"x",""))</f>
        <v/>
      </c>
      <c r="T1046" s="39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39" t="str">
        <f>IF(OR(TH!L1046=TH!$V$7,M1046=TH!$V$7),"x","")</f>
        <v/>
      </c>
      <c r="W1046" s="39" t="str">
        <f>IF(AND(B1046&gt;='IN-NX'!$P$3,B1046&lt;='IN-NX'!$Q$3,'IN-NX'!$D$7=D1046,OR(LEFT(L1046,2)="15",AND(LEFT(M1046,2)&lt;&gt;"15",LEFT(M1046,2)&lt;&gt;"33"))),"x","")</f>
        <v/>
      </c>
      <c r="X1046" s="39" t="str">
        <f>IF(AND(OR(LEFT(TH!L1046,2)="15",LEFT(TH!M1046,2)="15"),'152-CT'!$J$8=TH!F1046),"x","")</f>
        <v/>
      </c>
      <c r="Y1046" s="39" t="str">
        <f>IF(AND(OR(LEFT(TH!L1046,2)="15",LEFT(TH!M1046,2)="15"),TK!$E$7=TH!F1046),"x","")</f>
        <v/>
      </c>
      <c r="Z1046" s="39" t="str">
        <f>IF(AND(B1046&lt;=NKC!$N$8,B1046&gt;=NKC!$M$8),"x","")</f>
        <v/>
      </c>
      <c r="AA1046" s="894"/>
    </row>
    <row r="1047" spans="1:27" ht="15.75" customHeight="1">
      <c r="A1047" s="199" t="str">
        <f>IF(B1047&lt;&gt;"",IF(AND(B1047&gt;=_TM1,B1047&lt;=_TM2,OR(TH!L1047="1111",TH!M1047="1111")),TH!D1047,""),"")</f>
        <v/>
      </c>
      <c r="B1047" s="36" t="str">
        <f t="shared" si="41"/>
        <v/>
      </c>
      <c r="C1047" s="190"/>
      <c r="D1047" s="190"/>
      <c r="E1047" s="190"/>
      <c r="F1047" s="191"/>
      <c r="G1047" s="491"/>
      <c r="H1047" s="192"/>
      <c r="I1047" s="253"/>
      <c r="J1047" s="253"/>
      <c r="K1047" s="606"/>
      <c r="L1047" s="193"/>
      <c r="M1047" s="193"/>
      <c r="N1047" s="39" t="str">
        <f>IF(AND('331-CT'!$E$7=TH!H1047,OR(L1047="331",M1047="331")),"331",IF(AND(OR(L1047="131",M1047="131"),H1047='131-CT'!$E$7),"131",""))</f>
        <v/>
      </c>
      <c r="O1047" s="39" t="str">
        <f>IF(AND($B1047&gt;='111'!$N$11,$B1047&lt;='111'!$O$11,OR($L1047=$O$7,$M1047=$O$7)),"x","")</f>
        <v/>
      </c>
      <c r="P1047" s="39" t="str">
        <f>IF(AND($L1047=$O$7,$B1047&lt;'111'!$N$11),"x","")</f>
        <v/>
      </c>
      <c r="Q1047" s="39" t="str">
        <f>IF(AND($M1047=$O$7,$B1047&lt;'111'!$N$11),"x","")</f>
        <v/>
      </c>
      <c r="R1047" s="39" t="str">
        <f>IF(ISERROR(FIND('112'!$M$9,G1047,1)),"",IF((AND(FIND('112'!$M$9,G1047,1)&gt;=1,$B1047&gt;='112'!$N$8,$B1047&lt;='112'!$O$8,OR($L1047='112'!$I$6,$M1047='112'!$I$6))),"x",""))</f>
        <v/>
      </c>
      <c r="S1047" s="39" t="str">
        <f>IF(ISERROR(FIND('112'!$M$9,G1047,1)),"",IF((AND(LEFT(G1047,2)=LEFT('112'!$M$9,2),B1047&lt;'112'!$N$8,$L1047='112'!$I$6)),"x",""))</f>
        <v/>
      </c>
      <c r="T1047" s="39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39" t="str">
        <f>IF(OR(TH!L1047=TH!$V$7,M1047=TH!$V$7),"x","")</f>
        <v/>
      </c>
      <c r="W1047" s="39" t="str">
        <f>IF(AND(B1047&gt;='IN-NX'!$P$3,B1047&lt;='IN-NX'!$Q$3,'IN-NX'!$D$7=D1047,OR(LEFT(L1047,2)="15",AND(LEFT(M1047,2)&lt;&gt;"15",LEFT(M1047,2)&lt;&gt;"33"))),"x","")</f>
        <v/>
      </c>
      <c r="X1047" s="39" t="str">
        <f>IF(AND(OR(LEFT(TH!L1047,2)="15",LEFT(TH!M1047,2)="15"),'152-CT'!$J$8=TH!F1047),"x","")</f>
        <v/>
      </c>
      <c r="Y1047" s="39" t="str">
        <f>IF(AND(OR(LEFT(TH!L1047,2)="15",LEFT(TH!M1047,2)="15"),TK!$E$7=TH!F1047),"x","")</f>
        <v/>
      </c>
      <c r="Z1047" s="39" t="str">
        <f>IF(AND(B1047&lt;=NKC!$N$8,B1047&gt;=NKC!$M$8),"x","")</f>
        <v/>
      </c>
      <c r="AA1047" s="894"/>
    </row>
    <row r="1048" spans="1:27" ht="15.75" customHeight="1">
      <c r="A1048" s="199" t="str">
        <f>IF(B1048&lt;&gt;"",IF(AND(B1048&gt;=_TM1,B1048&lt;=_TM2,OR(TH!L1048="1111",TH!M1048="1111")),TH!D1048,""),"")</f>
        <v/>
      </c>
      <c r="B1048" s="36" t="str">
        <f t="shared" si="41"/>
        <v/>
      </c>
      <c r="C1048" s="190"/>
      <c r="D1048" s="190"/>
      <c r="E1048" s="190"/>
      <c r="F1048" s="191"/>
      <c r="G1048" s="491"/>
      <c r="H1048" s="192"/>
      <c r="I1048" s="256"/>
      <c r="J1048" s="256"/>
      <c r="K1048" s="606"/>
      <c r="L1048" s="193"/>
      <c r="M1048" s="193"/>
      <c r="N1048" s="39" t="str">
        <f>IF(AND('331-CT'!$E$7=TH!H1048,OR(L1048="331",M1048="331")),"331",IF(AND(OR(L1048="131",M1048="131"),H1048='131-CT'!$E$7),"131",""))</f>
        <v/>
      </c>
      <c r="O1048" s="39" t="str">
        <f>IF(AND($B1048&gt;='111'!$N$11,$B1048&lt;='111'!$O$11,OR($L1048=$O$7,$M1048=$O$7)),"x","")</f>
        <v/>
      </c>
      <c r="P1048" s="39" t="str">
        <f>IF(AND($L1048=$O$7,$B1048&lt;'111'!$N$11),"x","")</f>
        <v/>
      </c>
      <c r="Q1048" s="39" t="str">
        <f>IF(AND($M1048=$O$7,$B1048&lt;'111'!$N$11),"x","")</f>
        <v/>
      </c>
      <c r="R1048" s="39" t="str">
        <f>IF(ISERROR(FIND('112'!$M$9,G1048,1)),"",IF((AND(FIND('112'!$M$9,G1048,1)&gt;=1,$B1048&gt;='112'!$N$8,$B1048&lt;='112'!$O$8,OR($L1048='112'!$I$6,$M1048='112'!$I$6))),"x",""))</f>
        <v/>
      </c>
      <c r="S1048" s="39" t="str">
        <f>IF(ISERROR(FIND('112'!$M$9,G1048,1)),"",IF((AND(LEFT(G1048,2)=LEFT('112'!$M$9,2),B1048&lt;'112'!$N$8,$L1048='112'!$I$6)),"x",""))</f>
        <v/>
      </c>
      <c r="T1048" s="39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39" t="str">
        <f>IF(OR(TH!L1048=TH!$V$7,M1048=TH!$V$7),"x","")</f>
        <v/>
      </c>
      <c r="W1048" s="39" t="str">
        <f>IF(AND(B1048&gt;='IN-NX'!$P$3,B1048&lt;='IN-NX'!$Q$3,'IN-NX'!$D$7=D1048,OR(LEFT(L1048,2)="15",AND(LEFT(M1048,2)&lt;&gt;"15",LEFT(M1048,2)&lt;&gt;"33"))),"x","")</f>
        <v/>
      </c>
      <c r="X1048" s="39" t="str">
        <f>IF(AND(OR(LEFT(TH!L1048,2)="15",LEFT(TH!M1048,2)="15"),'152-CT'!$J$8=TH!F1048),"x","")</f>
        <v/>
      </c>
      <c r="Y1048" s="39" t="str">
        <f>IF(AND(OR(LEFT(TH!L1048,2)="15",LEFT(TH!M1048,2)="15"),TK!$E$7=TH!F1048),"x","")</f>
        <v/>
      </c>
      <c r="Z1048" s="39" t="str">
        <f>IF(AND(B1048&lt;=NKC!$N$8,B1048&gt;=NKC!$M$8),"x","")</f>
        <v/>
      </c>
      <c r="AA1048" s="894"/>
    </row>
    <row r="1049" spans="1:27" ht="15.75" customHeight="1">
      <c r="A1049" s="199" t="str">
        <f>IF(B1049&lt;&gt;"",IF(AND(B1049&gt;=_TM1,B1049&lt;=_TM2,OR(TH!L1049="1111",TH!M1049="1111")),TH!D1049,""),"")</f>
        <v/>
      </c>
      <c r="B1049" s="36" t="str">
        <f t="shared" ref="B1049:B1112" si="42">IF(C1049&lt;&gt;"",MONTH(C1049),"")</f>
        <v/>
      </c>
      <c r="C1049" s="190"/>
      <c r="D1049" s="190"/>
      <c r="E1049" s="190"/>
      <c r="F1049" s="191"/>
      <c r="G1049" s="491"/>
      <c r="H1049" s="192"/>
      <c r="I1049" s="256"/>
      <c r="J1049" s="256"/>
      <c r="K1049" s="606"/>
      <c r="L1049" s="193"/>
      <c r="M1049" s="193"/>
      <c r="N1049" s="39" t="str">
        <f>IF(AND('331-CT'!$E$7=TH!H1049,OR(L1049="331",M1049="331")),"331",IF(AND(OR(L1049="131",M1049="131"),H1049='131-CT'!$E$7),"131",""))</f>
        <v/>
      </c>
      <c r="O1049" s="39" t="str">
        <f>IF(AND($B1049&gt;='111'!$N$11,$B1049&lt;='111'!$O$11,OR($L1049=$O$7,$M1049=$O$7)),"x","")</f>
        <v/>
      </c>
      <c r="P1049" s="39" t="str">
        <f>IF(AND($L1049=$O$7,$B1049&lt;'111'!$N$11),"x","")</f>
        <v/>
      </c>
      <c r="Q1049" s="39" t="str">
        <f>IF(AND($M1049=$O$7,$B1049&lt;'111'!$N$11),"x","")</f>
        <v/>
      </c>
      <c r="R1049" s="39" t="str">
        <f>IF(ISERROR(FIND('112'!$M$9,G1049,1)),"",IF((AND(FIND('112'!$M$9,G1049,1)&gt;=1,$B1049&gt;='112'!$N$8,$B1049&lt;='112'!$O$8,OR($L1049='112'!$I$6,$M1049='112'!$I$6))),"x",""))</f>
        <v/>
      </c>
      <c r="S1049" s="39" t="str">
        <f>IF(ISERROR(FIND('112'!$M$9,G1049,1)),"",IF((AND(LEFT(G1049,2)=LEFT('112'!$M$9,2),B1049&lt;'112'!$N$8,$L1049='112'!$I$6)),"x",""))</f>
        <v/>
      </c>
      <c r="T1049" s="39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39" t="str">
        <f>IF(OR(TH!L1049=TH!$V$7,M1049=TH!$V$7),"x","")</f>
        <v/>
      </c>
      <c r="W1049" s="39" t="str">
        <f>IF(AND(B1049&gt;='IN-NX'!$P$3,B1049&lt;='IN-NX'!$Q$3,'IN-NX'!$D$7=D1049,OR(LEFT(L1049,2)="15",AND(LEFT(M1049,2)&lt;&gt;"15",LEFT(M1049,2)&lt;&gt;"33"))),"x","")</f>
        <v/>
      </c>
      <c r="X1049" s="39" t="str">
        <f>IF(AND(OR(LEFT(TH!L1049,2)="15",LEFT(TH!M1049,2)="15"),'152-CT'!$J$8=TH!F1049),"x","")</f>
        <v/>
      </c>
      <c r="Y1049" s="39" t="str">
        <f>IF(AND(OR(LEFT(TH!L1049,2)="15",LEFT(TH!M1049,2)="15"),TK!$E$7=TH!F1049),"x","")</f>
        <v/>
      </c>
      <c r="Z1049" s="39" t="str">
        <f>IF(AND(B1049&lt;=NKC!$N$8,B1049&gt;=NKC!$M$8),"x","")</f>
        <v/>
      </c>
      <c r="AA1049" s="894"/>
    </row>
    <row r="1050" spans="1:27" ht="15.75" customHeight="1">
      <c r="A1050" s="199" t="str">
        <f>IF(B1050&lt;&gt;"",IF(AND(B1050&gt;=_TM1,B1050&lt;=_TM2,OR(TH!L1050="1111",TH!M1050="1111")),TH!D1050,""),"")</f>
        <v/>
      </c>
      <c r="B1050" s="36" t="str">
        <f t="shared" si="42"/>
        <v/>
      </c>
      <c r="C1050" s="190"/>
      <c r="D1050" s="190"/>
      <c r="E1050" s="190"/>
      <c r="F1050" s="191"/>
      <c r="G1050" s="491"/>
      <c r="H1050" s="192"/>
      <c r="I1050" s="253"/>
      <c r="J1050" s="253"/>
      <c r="K1050" s="606"/>
      <c r="L1050" s="193"/>
      <c r="M1050" s="193"/>
      <c r="N1050" s="39" t="str">
        <f>IF(AND('331-CT'!$E$7=TH!H1050,OR(L1050="331",M1050="331")),"331",IF(AND(OR(L1050="131",M1050="131"),H1050='131-CT'!$E$7),"131",""))</f>
        <v/>
      </c>
      <c r="O1050" s="39" t="str">
        <f>IF(AND($B1050&gt;='111'!$N$11,$B1050&lt;='111'!$O$11,OR($L1050=$O$7,$M1050=$O$7)),"x","")</f>
        <v/>
      </c>
      <c r="P1050" s="39" t="str">
        <f>IF(AND($L1050=$O$7,$B1050&lt;'111'!$N$11),"x","")</f>
        <v/>
      </c>
      <c r="Q1050" s="39" t="str">
        <f>IF(AND($M1050=$O$7,$B1050&lt;'111'!$N$11),"x","")</f>
        <v/>
      </c>
      <c r="R1050" s="39" t="str">
        <f>IF(ISERROR(FIND('112'!$M$9,G1050,1)),"",IF((AND(FIND('112'!$M$9,G1050,1)&gt;=1,$B1050&gt;='112'!$N$8,$B1050&lt;='112'!$O$8,OR($L1050='112'!$I$6,$M1050='112'!$I$6))),"x",""))</f>
        <v/>
      </c>
      <c r="S1050" s="39" t="str">
        <f>IF(ISERROR(FIND('112'!$M$9,G1050,1)),"",IF((AND(LEFT(G1050,2)=LEFT('112'!$M$9,2),B1050&lt;'112'!$N$8,$L1050='112'!$I$6)),"x",""))</f>
        <v/>
      </c>
      <c r="T1050" s="39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39" t="str">
        <f>IF(OR(TH!L1050=TH!$V$7,M1050=TH!$V$7),"x","")</f>
        <v/>
      </c>
      <c r="W1050" s="39" t="str">
        <f>IF(AND(B1050&gt;='IN-NX'!$P$3,B1050&lt;='IN-NX'!$Q$3,'IN-NX'!$D$7=D1050,OR(LEFT(L1050,2)="15",AND(LEFT(M1050,2)&lt;&gt;"15",LEFT(M1050,2)&lt;&gt;"33"))),"x","")</f>
        <v/>
      </c>
      <c r="X1050" s="39" t="str">
        <f>IF(AND(OR(LEFT(TH!L1050,2)="15",LEFT(TH!M1050,2)="15"),'152-CT'!$J$8=TH!F1050),"x","")</f>
        <v/>
      </c>
      <c r="Y1050" s="39" t="str">
        <f>IF(AND(OR(LEFT(TH!L1050,2)="15",LEFT(TH!M1050,2)="15"),TK!$E$7=TH!F1050),"x","")</f>
        <v/>
      </c>
      <c r="Z1050" s="39" t="str">
        <f>IF(AND(B1050&lt;=NKC!$N$8,B1050&gt;=NKC!$M$8),"x","")</f>
        <v/>
      </c>
      <c r="AA1050" s="894"/>
    </row>
    <row r="1051" spans="1:27" ht="15.75" customHeight="1">
      <c r="A1051" s="199" t="str">
        <f>IF(B1051&lt;&gt;"",IF(AND(B1051&gt;=_TM1,B1051&lt;=_TM2,OR(TH!L1051="1111",TH!M1051="1111")),TH!D1051,""),"")</f>
        <v/>
      </c>
      <c r="B1051" s="36" t="str">
        <f t="shared" si="42"/>
        <v/>
      </c>
      <c r="C1051" s="190"/>
      <c r="D1051" s="190"/>
      <c r="E1051" s="190"/>
      <c r="F1051" s="191"/>
      <c r="G1051" s="491"/>
      <c r="H1051" s="192"/>
      <c r="I1051" s="254"/>
      <c r="J1051" s="254"/>
      <c r="K1051" s="606"/>
      <c r="L1051" s="193"/>
      <c r="M1051" s="193"/>
      <c r="N1051" s="39" t="str">
        <f>IF(AND('331-CT'!$E$7=TH!H1051,OR(L1051="331",M1051="331")),"331",IF(AND(OR(L1051="131",M1051="131"),H1051='131-CT'!$E$7),"131",""))</f>
        <v/>
      </c>
      <c r="O1051" s="39" t="str">
        <f>IF(AND($B1051&gt;='111'!$N$11,$B1051&lt;='111'!$O$11,OR($L1051=$O$7,$M1051=$O$7)),"x","")</f>
        <v/>
      </c>
      <c r="P1051" s="39" t="str">
        <f>IF(AND($L1051=$O$7,$B1051&lt;'111'!$N$11),"x","")</f>
        <v/>
      </c>
      <c r="Q1051" s="39" t="str">
        <f>IF(AND($M1051=$O$7,$B1051&lt;'111'!$N$11),"x","")</f>
        <v/>
      </c>
      <c r="R1051" s="39" t="str">
        <f>IF(ISERROR(FIND('112'!$M$9,G1051,1)),"",IF((AND(FIND('112'!$M$9,G1051,1)&gt;=1,$B1051&gt;='112'!$N$8,$B1051&lt;='112'!$O$8,OR($L1051='112'!$I$6,$M1051='112'!$I$6))),"x",""))</f>
        <v/>
      </c>
      <c r="S1051" s="39" t="str">
        <f>IF(ISERROR(FIND('112'!$M$9,G1051,1)),"",IF((AND(LEFT(G1051,2)=LEFT('112'!$M$9,2),B1051&lt;'112'!$N$8,$L1051='112'!$I$6)),"x",""))</f>
        <v/>
      </c>
      <c r="T1051" s="39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39" t="str">
        <f>IF(OR(TH!L1051=TH!$V$7,M1051=TH!$V$7),"x","")</f>
        <v/>
      </c>
      <c r="W1051" s="39" t="str">
        <f>IF(AND(B1051&gt;='IN-NX'!$P$3,B1051&lt;='IN-NX'!$Q$3,'IN-NX'!$D$7=D1051,OR(LEFT(L1051,2)="15",AND(LEFT(M1051,2)&lt;&gt;"15",LEFT(M1051,2)&lt;&gt;"33"))),"x","")</f>
        <v/>
      </c>
      <c r="X1051" s="39" t="str">
        <f>IF(AND(OR(LEFT(TH!L1051,2)="15",LEFT(TH!M1051,2)="15"),'152-CT'!$J$8=TH!F1051),"x","")</f>
        <v/>
      </c>
      <c r="Y1051" s="39" t="str">
        <f>IF(AND(OR(LEFT(TH!L1051,2)="15",LEFT(TH!M1051,2)="15"),TK!$E$7=TH!F1051),"x","")</f>
        <v/>
      </c>
      <c r="Z1051" s="39" t="str">
        <f>IF(AND(B1051&lt;=NKC!$N$8,B1051&gt;=NKC!$M$8),"x","")</f>
        <v/>
      </c>
      <c r="AA1051" s="894"/>
    </row>
    <row r="1052" spans="1:27" ht="15.75" customHeight="1">
      <c r="A1052" s="199" t="str">
        <f>IF(B1052&lt;&gt;"",IF(AND(B1052&gt;=_TM1,B1052&lt;=_TM2,OR(TH!L1052="1111",TH!M1052="1111")),TH!D1052,""),"")</f>
        <v/>
      </c>
      <c r="B1052" s="36" t="str">
        <f t="shared" si="42"/>
        <v/>
      </c>
      <c r="C1052" s="190"/>
      <c r="D1052" s="190"/>
      <c r="E1052" s="190"/>
      <c r="F1052" s="191"/>
      <c r="G1052" s="491"/>
      <c r="H1052" s="192"/>
      <c r="I1052" s="253"/>
      <c r="J1052" s="253"/>
      <c r="K1052" s="606"/>
      <c r="L1052" s="193"/>
      <c r="M1052" s="193"/>
      <c r="N1052" s="39" t="str">
        <f>IF(AND('331-CT'!$E$7=TH!H1052,OR(L1052="331",M1052="331")),"331",IF(AND(OR(L1052="131",M1052="131"),H1052='131-CT'!$E$7),"131",""))</f>
        <v/>
      </c>
      <c r="O1052" s="39" t="str">
        <f>IF(AND($B1052&gt;='111'!$N$11,$B1052&lt;='111'!$O$11,OR($L1052=$O$7,$M1052=$O$7)),"x","")</f>
        <v/>
      </c>
      <c r="P1052" s="39" t="str">
        <f>IF(AND($L1052=$O$7,$B1052&lt;'111'!$N$11),"x","")</f>
        <v/>
      </c>
      <c r="Q1052" s="39" t="str">
        <f>IF(AND($M1052=$O$7,$B1052&lt;'111'!$N$11),"x","")</f>
        <v/>
      </c>
      <c r="R1052" s="39" t="str">
        <f>IF(ISERROR(FIND('112'!$M$9,G1052,1)),"",IF((AND(FIND('112'!$M$9,G1052,1)&gt;=1,$B1052&gt;='112'!$N$8,$B1052&lt;='112'!$O$8,OR($L1052='112'!$I$6,$M1052='112'!$I$6))),"x",""))</f>
        <v/>
      </c>
      <c r="S1052" s="39" t="str">
        <f>IF(ISERROR(FIND('112'!$M$9,G1052,1)),"",IF((AND(LEFT(G1052,2)=LEFT('112'!$M$9,2),B1052&lt;'112'!$N$8,$L1052='112'!$I$6)),"x",""))</f>
        <v/>
      </c>
      <c r="T1052" s="39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39" t="str">
        <f>IF(OR(TH!L1052=TH!$V$7,M1052=TH!$V$7),"x","")</f>
        <v/>
      </c>
      <c r="W1052" s="39" t="str">
        <f>IF(AND(B1052&gt;='IN-NX'!$P$3,B1052&lt;='IN-NX'!$Q$3,'IN-NX'!$D$7=D1052,OR(LEFT(L1052,2)="15",AND(LEFT(M1052,2)&lt;&gt;"15",LEFT(M1052,2)&lt;&gt;"33"))),"x","")</f>
        <v/>
      </c>
      <c r="X1052" s="39" t="str">
        <f>IF(AND(OR(LEFT(TH!L1052,2)="15",LEFT(TH!M1052,2)="15"),'152-CT'!$J$8=TH!F1052),"x","")</f>
        <v/>
      </c>
      <c r="Y1052" s="39" t="str">
        <f>IF(AND(OR(LEFT(TH!L1052,2)="15",LEFT(TH!M1052,2)="15"),TK!$E$7=TH!F1052),"x","")</f>
        <v/>
      </c>
      <c r="Z1052" s="39" t="str">
        <f>IF(AND(B1052&lt;=NKC!$N$8,B1052&gt;=NKC!$M$8),"x","")</f>
        <v/>
      </c>
      <c r="AA1052" s="894"/>
    </row>
    <row r="1053" spans="1:27" ht="15.75" customHeight="1">
      <c r="A1053" s="199" t="str">
        <f>IF(B1053&lt;&gt;"",IF(AND(B1053&gt;=_TM1,B1053&lt;=_TM2,OR(TH!L1053="1111",TH!M1053="1111")),TH!D1053,""),"")</f>
        <v/>
      </c>
      <c r="B1053" s="36" t="str">
        <f t="shared" si="42"/>
        <v/>
      </c>
      <c r="C1053" s="37"/>
      <c r="D1053" s="37"/>
      <c r="E1053" s="776"/>
      <c r="F1053" s="40"/>
      <c r="G1053" s="40"/>
      <c r="H1053" s="7"/>
      <c r="I1053" s="253"/>
      <c r="J1053" s="253"/>
      <c r="K1053" s="606"/>
      <c r="L1053" s="39"/>
      <c r="M1053" s="39"/>
      <c r="N1053" s="39" t="str">
        <f>IF(AND('331-CT'!$E$7=TH!H1053,OR(L1053="331",M1053="331")),"331",IF(AND(OR(L1053="131",M1053="131"),H1053='131-CT'!$E$7),"131",""))</f>
        <v/>
      </c>
      <c r="O1053" s="39" t="str">
        <f>IF(AND($B1053&gt;='111'!$N$11,$B1053&lt;='111'!$O$11,OR($L1053=$O$7,$M1053=$O$7)),"x","")</f>
        <v/>
      </c>
      <c r="P1053" s="39" t="str">
        <f>IF(AND($L1053=$O$7,$B1053&lt;'111'!$N$11),"x","")</f>
        <v/>
      </c>
      <c r="Q1053" s="39" t="str">
        <f>IF(AND($M1053=$O$7,$B1053&lt;'111'!$N$11),"x","")</f>
        <v/>
      </c>
      <c r="R1053" s="39" t="str">
        <f>IF(ISERROR(FIND('112'!$M$9,G1053,1)),"",IF((AND(FIND('112'!$M$9,G1053,1)&gt;=1,$B1053&gt;='112'!$N$8,$B1053&lt;='112'!$O$8,OR($L1053='112'!$I$6,$M1053='112'!$I$6))),"x",""))</f>
        <v/>
      </c>
      <c r="S1053" s="39" t="str">
        <f>IF(ISERROR(FIND('112'!$M$9,G1053,1)),"",IF((AND(LEFT(G1053,2)=LEFT('112'!$M$9,2),B1053&lt;'112'!$N$8,$L1053='112'!$I$6)),"x",""))</f>
        <v/>
      </c>
      <c r="T1053" s="39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39" t="str">
        <f>IF(OR(TH!L1053=TH!$V$7,M1053=TH!$V$7),"x","")</f>
        <v/>
      </c>
      <c r="W1053" s="39" t="str">
        <f>IF(AND(B1053&gt;='IN-NX'!$P$3,B1053&lt;='IN-NX'!$Q$3,'IN-NX'!$D$7=D1053,OR(LEFT(L1053,2)="15",AND(LEFT(M1053,2)&lt;&gt;"15",LEFT(M1053,2)&lt;&gt;"33"))),"x","")</f>
        <v/>
      </c>
      <c r="X1053" s="39" t="str">
        <f>IF(AND(OR(LEFT(TH!L1053,2)="15",LEFT(TH!M1053,2)="15"),'152-CT'!$J$8=TH!F1053),"x","")</f>
        <v/>
      </c>
      <c r="Y1053" s="39" t="str">
        <f>IF(AND(OR(LEFT(TH!L1053,2)="15",LEFT(TH!M1053,2)="15"),TK!$E$7=TH!F1053),"x","")</f>
        <v/>
      </c>
      <c r="Z1053" s="39" t="str">
        <f>IF(AND(B1053&lt;=NKC!$N$8,B1053&gt;=NKC!$M$8),"x","")</f>
        <v/>
      </c>
      <c r="AA1053" s="894"/>
    </row>
    <row r="1054" spans="1:27" ht="15.75" customHeight="1">
      <c r="A1054" s="199" t="str">
        <f>IF(B1054&lt;&gt;"",IF(AND(B1054&gt;=_TM1,B1054&lt;=_TM2,OR(TH!L1054="1111",TH!M1054="1111")),TH!D1054,""),"")</f>
        <v/>
      </c>
      <c r="B1054" s="36" t="str">
        <f t="shared" si="42"/>
        <v/>
      </c>
      <c r="C1054" s="37"/>
      <c r="D1054" s="37"/>
      <c r="E1054" s="776"/>
      <c r="F1054" s="40"/>
      <c r="G1054" s="40"/>
      <c r="H1054" s="7"/>
      <c r="I1054" s="253"/>
      <c r="J1054" s="253"/>
      <c r="K1054" s="606"/>
      <c r="L1054" s="39"/>
      <c r="M1054" s="39"/>
      <c r="N1054" s="39" t="str">
        <f>IF(AND('331-CT'!$E$7=TH!H1054,OR(L1054="331",M1054="331")),"331",IF(AND(OR(L1054="131",M1054="131"),H1054='131-CT'!$E$7),"131",""))</f>
        <v/>
      </c>
      <c r="O1054" s="39" t="str">
        <f>IF(AND($B1054&gt;='111'!$N$11,$B1054&lt;='111'!$O$11,OR($L1054=$O$7,$M1054=$O$7)),"x","")</f>
        <v/>
      </c>
      <c r="P1054" s="39" t="str">
        <f>IF(AND($L1054=$O$7,$B1054&lt;'111'!$N$11),"x","")</f>
        <v/>
      </c>
      <c r="Q1054" s="39" t="str">
        <f>IF(AND($M1054=$O$7,$B1054&lt;'111'!$N$11),"x","")</f>
        <v/>
      </c>
      <c r="R1054" s="39" t="str">
        <f>IF(ISERROR(FIND('112'!$M$9,G1054,1)),"",IF((AND(FIND('112'!$M$9,G1054,1)&gt;=1,$B1054&gt;='112'!$N$8,$B1054&lt;='112'!$O$8,OR($L1054='112'!$I$6,$M1054='112'!$I$6))),"x",""))</f>
        <v/>
      </c>
      <c r="S1054" s="39" t="str">
        <f>IF(ISERROR(FIND('112'!$M$9,G1054,1)),"",IF((AND(LEFT(G1054,2)=LEFT('112'!$M$9,2),B1054&lt;'112'!$N$8,$L1054='112'!$I$6)),"x",""))</f>
        <v/>
      </c>
      <c r="T1054" s="39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39" t="str">
        <f>IF(OR(TH!L1054=TH!$V$7,M1054=TH!$V$7),"x","")</f>
        <v/>
      </c>
      <c r="W1054" s="39" t="str">
        <f>IF(AND(B1054&gt;='IN-NX'!$P$3,B1054&lt;='IN-NX'!$Q$3,'IN-NX'!$D$7=D1054,OR(LEFT(L1054,2)="15",AND(LEFT(M1054,2)&lt;&gt;"15",LEFT(M1054,2)&lt;&gt;"33"))),"x","")</f>
        <v/>
      </c>
      <c r="X1054" s="39" t="str">
        <f>IF(AND(OR(LEFT(TH!L1054,2)="15",LEFT(TH!M1054,2)="15"),'152-CT'!$J$8=TH!F1054),"x","")</f>
        <v/>
      </c>
      <c r="Y1054" s="39" t="str">
        <f>IF(AND(OR(LEFT(TH!L1054,2)="15",LEFT(TH!M1054,2)="15"),TK!$E$7=TH!F1054),"x","")</f>
        <v/>
      </c>
      <c r="Z1054" s="39" t="str">
        <f>IF(AND(B1054&lt;=NKC!$N$8,B1054&gt;=NKC!$M$8),"x","")</f>
        <v/>
      </c>
      <c r="AA1054" s="894"/>
    </row>
    <row r="1055" spans="1:27" ht="15.75" customHeight="1">
      <c r="A1055" s="199" t="str">
        <f>IF(B1055&lt;&gt;"",IF(AND(B1055&gt;=_TM1,B1055&lt;=_TM2,OR(TH!L1055="1111",TH!M1055="1111")),TH!D1055,""),"")</f>
        <v/>
      </c>
      <c r="B1055" s="36" t="str">
        <f t="shared" si="42"/>
        <v/>
      </c>
      <c r="C1055" s="37"/>
      <c r="D1055" s="37"/>
      <c r="E1055" s="776"/>
      <c r="F1055" s="188"/>
      <c r="G1055" s="40"/>
      <c r="H1055" s="7"/>
      <c r="I1055" s="253"/>
      <c r="J1055" s="253"/>
      <c r="K1055" s="606"/>
      <c r="L1055" s="39"/>
      <c r="M1055" s="39"/>
      <c r="N1055" s="39" t="str">
        <f>IF(AND('331-CT'!$E$7=TH!H1055,OR(L1055="331",M1055="331")),"331",IF(AND(OR(L1055="131",M1055="131"),H1055='131-CT'!$E$7),"131",""))</f>
        <v/>
      </c>
      <c r="O1055" s="39" t="str">
        <f>IF(AND($B1055&gt;='111'!$N$11,$B1055&lt;='111'!$O$11,OR($L1055=$O$7,$M1055=$O$7)),"x","")</f>
        <v/>
      </c>
      <c r="P1055" s="39" t="str">
        <f>IF(AND($L1055=$O$7,$B1055&lt;'111'!$N$11),"x","")</f>
        <v/>
      </c>
      <c r="Q1055" s="39" t="str">
        <f>IF(AND($M1055=$O$7,$B1055&lt;'111'!$N$11),"x","")</f>
        <v/>
      </c>
      <c r="R1055" s="39" t="str">
        <f>IF(ISERROR(FIND('112'!$M$9,G1055,1)),"",IF((AND(FIND('112'!$M$9,G1055,1)&gt;=1,$B1055&gt;='112'!$N$8,$B1055&lt;='112'!$O$8,OR($L1055='112'!$I$6,$M1055='112'!$I$6))),"x",""))</f>
        <v/>
      </c>
      <c r="S1055" s="39" t="str">
        <f>IF(ISERROR(FIND('112'!$M$9,G1055,1)),"",IF((AND(LEFT(G1055,2)=LEFT('112'!$M$9,2),B1055&lt;'112'!$N$8,$L1055='112'!$I$6)),"x",""))</f>
        <v/>
      </c>
      <c r="T1055" s="39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39" t="str">
        <f>IF(OR(TH!L1055=TH!$V$7,M1055=TH!$V$7),"x","")</f>
        <v/>
      </c>
      <c r="W1055" s="39" t="str">
        <f>IF(AND(B1055&gt;='IN-NX'!$P$3,B1055&lt;='IN-NX'!$Q$3,'IN-NX'!$D$7=D1055,OR(LEFT(L1055,2)="15",AND(LEFT(M1055,2)&lt;&gt;"15",LEFT(M1055,2)&lt;&gt;"33"))),"x","")</f>
        <v/>
      </c>
      <c r="X1055" s="39" t="str">
        <f>IF(AND(OR(LEFT(TH!L1055,2)="15",LEFT(TH!M1055,2)="15"),'152-CT'!$J$8=TH!F1055),"x","")</f>
        <v/>
      </c>
      <c r="Y1055" s="39" t="str">
        <f>IF(AND(OR(LEFT(TH!L1055,2)="15",LEFT(TH!M1055,2)="15"),TK!$E$7=TH!F1055),"x","")</f>
        <v/>
      </c>
      <c r="Z1055" s="39" t="str">
        <f>IF(AND(B1055&lt;=NKC!$N$8,B1055&gt;=NKC!$M$8),"x","")</f>
        <v/>
      </c>
      <c r="AA1055" s="894"/>
    </row>
    <row r="1056" spans="1:27" ht="15.75" customHeight="1">
      <c r="A1056" s="199" t="str">
        <f>IF(B1056&lt;&gt;"",IF(AND(B1056&gt;=_TM1,B1056&lt;=_TM2,OR(TH!L1056="1111",TH!M1056="1111")),TH!D1056,""),"")</f>
        <v/>
      </c>
      <c r="B1056" s="36" t="str">
        <f t="shared" si="42"/>
        <v/>
      </c>
      <c r="C1056" s="37"/>
      <c r="D1056" s="37"/>
      <c r="E1056" s="776"/>
      <c r="F1056" s="40"/>
      <c r="G1056" s="40"/>
      <c r="H1056" s="7"/>
      <c r="I1056" s="253"/>
      <c r="J1056" s="253"/>
      <c r="K1056" s="606"/>
      <c r="L1056" s="39"/>
      <c r="M1056" s="39"/>
      <c r="N1056" s="39" t="str">
        <f>IF(AND('331-CT'!$E$7=TH!H1056,OR(L1056="331",M1056="331")),"331",IF(AND(OR(L1056="131",M1056="131"),H1056='131-CT'!$E$7),"131",""))</f>
        <v/>
      </c>
      <c r="O1056" s="39" t="str">
        <f>IF(AND($B1056&gt;='111'!$N$11,$B1056&lt;='111'!$O$11,OR($L1056=$O$7,$M1056=$O$7)),"x","")</f>
        <v/>
      </c>
      <c r="P1056" s="39" t="str">
        <f>IF(AND($L1056=$O$7,$B1056&lt;'111'!$N$11),"x","")</f>
        <v/>
      </c>
      <c r="Q1056" s="39" t="str">
        <f>IF(AND($M1056=$O$7,$B1056&lt;'111'!$N$11),"x","")</f>
        <v/>
      </c>
      <c r="R1056" s="39" t="str">
        <f>IF(ISERROR(FIND('112'!$M$9,G1056,1)),"",IF((AND(FIND('112'!$M$9,G1056,1)&gt;=1,$B1056&gt;='112'!$N$8,$B1056&lt;='112'!$O$8,OR($L1056='112'!$I$6,$M1056='112'!$I$6))),"x",""))</f>
        <v/>
      </c>
      <c r="S1056" s="39" t="str">
        <f>IF(ISERROR(FIND('112'!$M$9,G1056,1)),"",IF((AND(LEFT(G1056,2)=LEFT('112'!$M$9,2),B1056&lt;'112'!$N$8,$L1056='112'!$I$6)),"x",""))</f>
        <v/>
      </c>
      <c r="T1056" s="39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39" t="str">
        <f>IF(OR(TH!L1056=TH!$V$7,M1056=TH!$V$7),"x","")</f>
        <v/>
      </c>
      <c r="W1056" s="39" t="str">
        <f>IF(AND(B1056&gt;='IN-NX'!$P$3,B1056&lt;='IN-NX'!$Q$3,'IN-NX'!$D$7=D1056,OR(LEFT(L1056,2)="15",AND(LEFT(M1056,2)&lt;&gt;"15",LEFT(M1056,2)&lt;&gt;"33"))),"x","")</f>
        <v/>
      </c>
      <c r="X1056" s="39" t="str">
        <f>IF(AND(OR(LEFT(TH!L1056,2)="15",LEFT(TH!M1056,2)="15"),'152-CT'!$J$8=TH!F1056),"x","")</f>
        <v/>
      </c>
      <c r="Y1056" s="39" t="str">
        <f>IF(AND(OR(LEFT(TH!L1056,2)="15",LEFT(TH!M1056,2)="15"),TK!$E$7=TH!F1056),"x","")</f>
        <v/>
      </c>
      <c r="Z1056" s="39" t="str">
        <f>IF(AND(B1056&lt;=NKC!$N$8,B1056&gt;=NKC!$M$8),"x","")</f>
        <v/>
      </c>
      <c r="AA1056" s="894"/>
    </row>
    <row r="1057" spans="1:27" ht="15.75" customHeight="1">
      <c r="A1057" s="199" t="str">
        <f>IF(B1057&lt;&gt;"",IF(AND(B1057&gt;=_TM1,B1057&lt;=_TM2,OR(TH!L1057="1111",TH!M1057="1111")),TH!D1057,""),"")</f>
        <v/>
      </c>
      <c r="B1057" s="36" t="str">
        <f t="shared" si="42"/>
        <v/>
      </c>
      <c r="C1057" s="37"/>
      <c r="D1057" s="37"/>
      <c r="E1057" s="776"/>
      <c r="F1057" s="188"/>
      <c r="G1057" s="40"/>
      <c r="H1057" s="7"/>
      <c r="I1057" s="253"/>
      <c r="J1057" s="253"/>
      <c r="K1057" s="606"/>
      <c r="L1057" s="39"/>
      <c r="M1057" s="39"/>
      <c r="N1057" s="39" t="str">
        <f>IF(AND('331-CT'!$E$7=TH!H1057,OR(L1057="331",M1057="331")),"331",IF(AND(OR(L1057="131",M1057="131"),H1057='131-CT'!$E$7),"131",""))</f>
        <v/>
      </c>
      <c r="O1057" s="39" t="str">
        <f>IF(AND($B1057&gt;='111'!$N$11,$B1057&lt;='111'!$O$11,OR($L1057=$O$7,$M1057=$O$7)),"x","")</f>
        <v/>
      </c>
      <c r="P1057" s="39" t="str">
        <f>IF(AND($L1057=$O$7,$B1057&lt;'111'!$N$11),"x","")</f>
        <v/>
      </c>
      <c r="Q1057" s="39" t="str">
        <f>IF(AND($M1057=$O$7,$B1057&lt;'111'!$N$11),"x","")</f>
        <v/>
      </c>
      <c r="R1057" s="39" t="str">
        <f>IF(ISERROR(FIND('112'!$M$9,G1057,1)),"",IF((AND(FIND('112'!$M$9,G1057,1)&gt;=1,$B1057&gt;='112'!$N$8,$B1057&lt;='112'!$O$8,OR($L1057='112'!$I$6,$M1057='112'!$I$6))),"x",""))</f>
        <v/>
      </c>
      <c r="S1057" s="39" t="str">
        <f>IF(ISERROR(FIND('112'!$M$9,G1057,1)),"",IF((AND(LEFT(G1057,2)=LEFT('112'!$M$9,2),B1057&lt;'112'!$N$8,$L1057='112'!$I$6)),"x",""))</f>
        <v/>
      </c>
      <c r="T1057" s="39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39" t="str">
        <f>IF(OR(TH!L1057=TH!$V$7,M1057=TH!$V$7),"x","")</f>
        <v/>
      </c>
      <c r="W1057" s="39" t="str">
        <f>IF(AND(B1057&gt;='IN-NX'!$P$3,B1057&lt;='IN-NX'!$Q$3,'IN-NX'!$D$7=D1057,OR(LEFT(L1057,2)="15",AND(LEFT(M1057,2)&lt;&gt;"15",LEFT(M1057,2)&lt;&gt;"33"))),"x","")</f>
        <v/>
      </c>
      <c r="X1057" s="39" t="str">
        <f>IF(AND(OR(LEFT(TH!L1057,2)="15",LEFT(TH!M1057,2)="15"),'152-CT'!$J$8=TH!F1057),"x","")</f>
        <v/>
      </c>
      <c r="Y1057" s="39" t="str">
        <f>IF(AND(OR(LEFT(TH!L1057,2)="15",LEFT(TH!M1057,2)="15"),TK!$E$7=TH!F1057),"x","")</f>
        <v/>
      </c>
      <c r="Z1057" s="39" t="str">
        <f>IF(AND(B1057&lt;=NKC!$N$8,B1057&gt;=NKC!$M$8),"x","")</f>
        <v/>
      </c>
      <c r="AA1057" s="894"/>
    </row>
    <row r="1058" spans="1:27" ht="15.75" customHeight="1">
      <c r="A1058" s="199" t="str">
        <f>IF(B1058&lt;&gt;"",IF(AND(B1058&gt;=_TM1,B1058&lt;=_TM2,OR(TH!L1058="1111",TH!M1058="1111")),TH!D1058,""),"")</f>
        <v/>
      </c>
      <c r="B1058" s="36" t="str">
        <f t="shared" si="42"/>
        <v/>
      </c>
      <c r="C1058" s="37"/>
      <c r="D1058" s="37"/>
      <c r="E1058" s="776"/>
      <c r="F1058" s="40"/>
      <c r="G1058" s="40"/>
      <c r="H1058" s="7"/>
      <c r="I1058" s="253"/>
      <c r="J1058" s="253"/>
      <c r="K1058" s="606"/>
      <c r="L1058" s="39"/>
      <c r="M1058" s="39"/>
      <c r="N1058" s="39" t="str">
        <f>IF(AND('331-CT'!$E$7=TH!H1058,OR(L1058="331",M1058="331")),"331",IF(AND(OR(L1058="131",M1058="131"),H1058='131-CT'!$E$7),"131",""))</f>
        <v/>
      </c>
      <c r="O1058" s="39" t="str">
        <f>IF(AND($B1058&gt;='111'!$N$11,$B1058&lt;='111'!$O$11,OR($L1058=$O$7,$M1058=$O$7)),"x","")</f>
        <v/>
      </c>
      <c r="P1058" s="39" t="str">
        <f>IF(AND($L1058=$O$7,$B1058&lt;'111'!$N$11),"x","")</f>
        <v/>
      </c>
      <c r="Q1058" s="39" t="str">
        <f>IF(AND($M1058=$O$7,$B1058&lt;'111'!$N$11),"x","")</f>
        <v/>
      </c>
      <c r="R1058" s="39" t="str">
        <f>IF(ISERROR(FIND('112'!$M$9,G1058,1)),"",IF((AND(FIND('112'!$M$9,G1058,1)&gt;=1,$B1058&gt;='112'!$N$8,$B1058&lt;='112'!$O$8,OR($L1058='112'!$I$6,$M1058='112'!$I$6))),"x",""))</f>
        <v/>
      </c>
      <c r="S1058" s="39" t="str">
        <f>IF(ISERROR(FIND('112'!$M$9,G1058,1)),"",IF((AND(LEFT(G1058,2)=LEFT('112'!$M$9,2),B1058&lt;'112'!$N$8,$L1058='112'!$I$6)),"x",""))</f>
        <v/>
      </c>
      <c r="T1058" s="39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39" t="str">
        <f>IF(OR(TH!L1058=TH!$V$7,M1058=TH!$V$7),"x","")</f>
        <v/>
      </c>
      <c r="W1058" s="39" t="str">
        <f>IF(AND(B1058&gt;='IN-NX'!$P$3,B1058&lt;='IN-NX'!$Q$3,'IN-NX'!$D$7=D1058,OR(LEFT(L1058,2)="15",AND(LEFT(M1058,2)&lt;&gt;"15",LEFT(M1058,2)&lt;&gt;"33"))),"x","")</f>
        <v/>
      </c>
      <c r="X1058" s="39" t="str">
        <f>IF(AND(OR(LEFT(TH!L1058,2)="15",LEFT(TH!M1058,2)="15"),'152-CT'!$J$8=TH!F1058),"x","")</f>
        <v/>
      </c>
      <c r="Y1058" s="39" t="str">
        <f>IF(AND(OR(LEFT(TH!L1058,2)="15",LEFT(TH!M1058,2)="15"),TK!$E$7=TH!F1058),"x","")</f>
        <v/>
      </c>
      <c r="Z1058" s="39" t="str">
        <f>IF(AND(B1058&lt;=NKC!$N$8,B1058&gt;=NKC!$M$8),"x","")</f>
        <v/>
      </c>
      <c r="AA1058" s="894"/>
    </row>
    <row r="1059" spans="1:27" ht="15.75" customHeight="1">
      <c r="A1059" s="199" t="str">
        <f>IF(B1059&lt;&gt;"",IF(AND(B1059&gt;=_TM1,B1059&lt;=_TM2,OR(TH!L1059="1111",TH!M1059="1111")),TH!D1059,""),"")</f>
        <v/>
      </c>
      <c r="B1059" s="36" t="str">
        <f t="shared" si="42"/>
        <v/>
      </c>
      <c r="C1059" s="37"/>
      <c r="D1059" s="37"/>
      <c r="E1059" s="776"/>
      <c r="F1059" s="40"/>
      <c r="G1059" s="40"/>
      <c r="H1059" s="7"/>
      <c r="I1059" s="253"/>
      <c r="J1059" s="253"/>
      <c r="K1059" s="606"/>
      <c r="L1059" s="39"/>
      <c r="M1059" s="39"/>
      <c r="N1059" s="39" t="str">
        <f>IF(AND('331-CT'!$E$7=TH!H1059,OR(L1059="331",M1059="331")),"331",IF(AND(OR(L1059="131",M1059="131"),H1059='131-CT'!$E$7),"131",""))</f>
        <v/>
      </c>
      <c r="O1059" s="39" t="str">
        <f>IF(AND($B1059&gt;='111'!$N$11,$B1059&lt;='111'!$O$11,OR($L1059=$O$7,$M1059=$O$7)),"x","")</f>
        <v/>
      </c>
      <c r="P1059" s="39" t="str">
        <f>IF(AND($L1059=$O$7,$B1059&lt;'111'!$N$11),"x","")</f>
        <v/>
      </c>
      <c r="Q1059" s="39" t="str">
        <f>IF(AND($M1059=$O$7,$B1059&lt;'111'!$N$11),"x","")</f>
        <v/>
      </c>
      <c r="R1059" s="39" t="str">
        <f>IF(ISERROR(FIND('112'!$M$9,G1059,1)),"",IF((AND(FIND('112'!$M$9,G1059,1)&gt;=1,$B1059&gt;='112'!$N$8,$B1059&lt;='112'!$O$8,OR($L1059='112'!$I$6,$M1059='112'!$I$6))),"x",""))</f>
        <v/>
      </c>
      <c r="S1059" s="39" t="str">
        <f>IF(ISERROR(FIND('112'!$M$9,G1059,1)),"",IF((AND(LEFT(G1059,2)=LEFT('112'!$M$9,2),B1059&lt;'112'!$N$8,$L1059='112'!$I$6)),"x",""))</f>
        <v/>
      </c>
      <c r="T1059" s="39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39" t="str">
        <f>IF(OR(TH!L1059=TH!$V$7,M1059=TH!$V$7),"x","")</f>
        <v/>
      </c>
      <c r="W1059" s="39" t="str">
        <f>IF(AND(B1059&gt;='IN-NX'!$P$3,B1059&lt;='IN-NX'!$Q$3,'IN-NX'!$D$7=D1059,OR(LEFT(L1059,2)="15",AND(LEFT(M1059,2)&lt;&gt;"15",LEFT(M1059,2)&lt;&gt;"33"))),"x","")</f>
        <v/>
      </c>
      <c r="X1059" s="39" t="str">
        <f>IF(AND(OR(LEFT(TH!L1059,2)="15",LEFT(TH!M1059,2)="15"),'152-CT'!$J$8=TH!F1059),"x","")</f>
        <v/>
      </c>
      <c r="Y1059" s="39" t="str">
        <f>IF(AND(OR(LEFT(TH!L1059,2)="15",LEFT(TH!M1059,2)="15"),TK!$E$7=TH!F1059),"x","")</f>
        <v/>
      </c>
      <c r="Z1059" s="39" t="str">
        <f>IF(AND(B1059&lt;=NKC!$N$8,B1059&gt;=NKC!$M$8),"x","")</f>
        <v/>
      </c>
      <c r="AA1059" s="894"/>
    </row>
    <row r="1060" spans="1:27" ht="15.75" customHeight="1">
      <c r="A1060" s="199" t="str">
        <f>IF(B1060&lt;&gt;"",IF(AND(B1060&gt;=_TM1,B1060&lt;=_TM2,OR(TH!L1060="1111",TH!M1060="1111")),TH!D1060,""),"")</f>
        <v/>
      </c>
      <c r="B1060" s="36" t="str">
        <f t="shared" si="42"/>
        <v/>
      </c>
      <c r="C1060" s="37"/>
      <c r="D1060" s="37"/>
      <c r="E1060" s="776"/>
      <c r="F1060" s="188"/>
      <c r="G1060" s="40"/>
      <c r="H1060" s="7"/>
      <c r="I1060" s="253"/>
      <c r="J1060" s="253"/>
      <c r="K1060" s="606"/>
      <c r="L1060" s="39"/>
      <c r="M1060" s="39"/>
      <c r="N1060" s="39" t="str">
        <f>IF(AND('331-CT'!$E$7=TH!H1060,OR(L1060="331",M1060="331")),"331",IF(AND(OR(L1060="131",M1060="131"),H1060='131-CT'!$E$7),"131",""))</f>
        <v/>
      </c>
      <c r="O1060" s="39" t="str">
        <f>IF(AND($B1060&gt;='111'!$N$11,$B1060&lt;='111'!$O$11,OR($L1060=$O$7,$M1060=$O$7)),"x","")</f>
        <v/>
      </c>
      <c r="P1060" s="39" t="str">
        <f>IF(AND($L1060=$O$7,$B1060&lt;'111'!$N$11),"x","")</f>
        <v/>
      </c>
      <c r="Q1060" s="39" t="str">
        <f>IF(AND($M1060=$O$7,$B1060&lt;'111'!$N$11),"x","")</f>
        <v/>
      </c>
      <c r="R1060" s="39" t="str">
        <f>IF(ISERROR(FIND('112'!$M$9,G1060,1)),"",IF((AND(FIND('112'!$M$9,G1060,1)&gt;=1,$B1060&gt;='112'!$N$8,$B1060&lt;='112'!$O$8,OR($L1060='112'!$I$6,$M1060='112'!$I$6))),"x",""))</f>
        <v/>
      </c>
      <c r="S1060" s="39" t="str">
        <f>IF(ISERROR(FIND('112'!$M$9,G1060,1)),"",IF((AND(LEFT(G1060,2)=LEFT('112'!$M$9,2),B1060&lt;'112'!$N$8,$L1060='112'!$I$6)),"x",""))</f>
        <v/>
      </c>
      <c r="T1060" s="39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39" t="str">
        <f>IF(OR(TH!L1060=TH!$V$7,M1060=TH!$V$7),"x","")</f>
        <v/>
      </c>
      <c r="W1060" s="39" t="str">
        <f>IF(AND(B1060&gt;='IN-NX'!$P$3,B1060&lt;='IN-NX'!$Q$3,'IN-NX'!$D$7=D1060,OR(LEFT(L1060,2)="15",AND(LEFT(M1060,2)&lt;&gt;"15",LEFT(M1060,2)&lt;&gt;"33"))),"x","")</f>
        <v/>
      </c>
      <c r="X1060" s="39" t="str">
        <f>IF(AND(OR(LEFT(TH!L1060,2)="15",LEFT(TH!M1060,2)="15"),'152-CT'!$J$8=TH!F1060),"x","")</f>
        <v/>
      </c>
      <c r="Y1060" s="39" t="str">
        <f>IF(AND(OR(LEFT(TH!L1060,2)="15",LEFT(TH!M1060,2)="15"),TK!$E$7=TH!F1060),"x","")</f>
        <v/>
      </c>
      <c r="Z1060" s="39" t="str">
        <f>IF(AND(B1060&lt;=NKC!$N$8,B1060&gt;=NKC!$M$8),"x","")</f>
        <v/>
      </c>
      <c r="AA1060" s="894"/>
    </row>
    <row r="1061" spans="1:27" ht="15.75" customHeight="1">
      <c r="A1061" s="199" t="str">
        <f>IF(B1061&lt;&gt;"",IF(AND(B1061&gt;=_TM1,B1061&lt;=_TM2,OR(TH!L1061="1111",TH!M1061="1111")),TH!D1061,""),"")</f>
        <v/>
      </c>
      <c r="B1061" s="36" t="str">
        <f t="shared" si="42"/>
        <v/>
      </c>
      <c r="C1061" s="37"/>
      <c r="D1061" s="37"/>
      <c r="E1061" s="776"/>
      <c r="F1061" s="188"/>
      <c r="G1061" s="40"/>
      <c r="H1061" s="7"/>
      <c r="I1061" s="253"/>
      <c r="J1061" s="253"/>
      <c r="K1061" s="606"/>
      <c r="L1061" s="39"/>
      <c r="M1061" s="39"/>
      <c r="N1061" s="39" t="str">
        <f>IF(AND('331-CT'!$E$7=TH!H1061,OR(L1061="331",M1061="331")),"331",IF(AND(OR(L1061="131",M1061="131"),H1061='131-CT'!$E$7),"131",""))</f>
        <v/>
      </c>
      <c r="O1061" s="39" t="str">
        <f>IF(AND($B1061&gt;='111'!$N$11,$B1061&lt;='111'!$O$11,OR($L1061=$O$7,$M1061=$O$7)),"x","")</f>
        <v/>
      </c>
      <c r="P1061" s="39" t="str">
        <f>IF(AND($L1061=$O$7,$B1061&lt;'111'!$N$11),"x","")</f>
        <v/>
      </c>
      <c r="Q1061" s="39" t="str">
        <f>IF(AND($M1061=$O$7,$B1061&lt;'111'!$N$11),"x","")</f>
        <v/>
      </c>
      <c r="R1061" s="39" t="str">
        <f>IF(ISERROR(FIND('112'!$M$9,G1061,1)),"",IF((AND(FIND('112'!$M$9,G1061,1)&gt;=1,$B1061&gt;='112'!$N$8,$B1061&lt;='112'!$O$8,OR($L1061='112'!$I$6,$M1061='112'!$I$6))),"x",""))</f>
        <v/>
      </c>
      <c r="S1061" s="39" t="str">
        <f>IF(ISERROR(FIND('112'!$M$9,G1061,1)),"",IF((AND(LEFT(G1061,2)=LEFT('112'!$M$9,2),B1061&lt;'112'!$N$8,$L1061='112'!$I$6)),"x",""))</f>
        <v/>
      </c>
      <c r="T1061" s="39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39" t="str">
        <f>IF(OR(TH!L1061=TH!$V$7,M1061=TH!$V$7),"x","")</f>
        <v/>
      </c>
      <c r="W1061" s="39" t="str">
        <f>IF(AND(B1061&gt;='IN-NX'!$P$3,B1061&lt;='IN-NX'!$Q$3,'IN-NX'!$D$7=D1061,OR(LEFT(L1061,2)="15",AND(LEFT(M1061,2)&lt;&gt;"15",LEFT(M1061,2)&lt;&gt;"33"))),"x","")</f>
        <v/>
      </c>
      <c r="X1061" s="39" t="str">
        <f>IF(AND(OR(LEFT(TH!L1061,2)="15",LEFT(TH!M1061,2)="15"),'152-CT'!$J$8=TH!F1061),"x","")</f>
        <v/>
      </c>
      <c r="Y1061" s="39" t="str">
        <f>IF(AND(OR(LEFT(TH!L1061,2)="15",LEFT(TH!M1061,2)="15"),TK!$E$7=TH!F1061),"x","")</f>
        <v/>
      </c>
      <c r="Z1061" s="39" t="str">
        <f>IF(AND(B1061&lt;=NKC!$N$8,B1061&gt;=NKC!$M$8),"x","")</f>
        <v/>
      </c>
      <c r="AA1061" s="894"/>
    </row>
    <row r="1062" spans="1:27" ht="15.75" customHeight="1">
      <c r="A1062" s="199" t="str">
        <f>IF(B1062&lt;&gt;"",IF(AND(B1062&gt;=_TM1,B1062&lt;=_TM2,OR(TH!L1062="1111",TH!M1062="1111")),TH!D1062,""),"")</f>
        <v/>
      </c>
      <c r="B1062" s="36" t="str">
        <f t="shared" si="42"/>
        <v/>
      </c>
      <c r="C1062" s="37"/>
      <c r="D1062" s="37"/>
      <c r="E1062" s="776"/>
      <c r="F1062" s="188"/>
      <c r="G1062" s="40"/>
      <c r="H1062" s="7"/>
      <c r="I1062" s="253"/>
      <c r="J1062" s="253"/>
      <c r="K1062" s="606"/>
      <c r="L1062" s="39"/>
      <c r="M1062" s="39"/>
      <c r="N1062" s="39" t="str">
        <f>IF(AND('331-CT'!$E$7=TH!H1062,OR(L1062="331",M1062="331")),"331",IF(AND(OR(L1062="131",M1062="131"),H1062='131-CT'!$E$7),"131",""))</f>
        <v/>
      </c>
      <c r="O1062" s="39" t="str">
        <f>IF(AND($B1062&gt;='111'!$N$11,$B1062&lt;='111'!$O$11,OR($L1062=$O$7,$M1062=$O$7)),"x","")</f>
        <v/>
      </c>
      <c r="P1062" s="39" t="str">
        <f>IF(AND($L1062=$O$7,$B1062&lt;'111'!$N$11),"x","")</f>
        <v/>
      </c>
      <c r="Q1062" s="39" t="str">
        <f>IF(AND($M1062=$O$7,$B1062&lt;'111'!$N$11),"x","")</f>
        <v/>
      </c>
      <c r="R1062" s="39" t="str">
        <f>IF(ISERROR(FIND('112'!$M$9,G1062,1)),"",IF((AND(FIND('112'!$M$9,G1062,1)&gt;=1,$B1062&gt;='112'!$N$8,$B1062&lt;='112'!$O$8,OR($L1062='112'!$I$6,$M1062='112'!$I$6))),"x",""))</f>
        <v/>
      </c>
      <c r="S1062" s="39" t="str">
        <f>IF(ISERROR(FIND('112'!$M$9,G1062,1)),"",IF((AND(LEFT(G1062,2)=LEFT('112'!$M$9,2),B1062&lt;'112'!$N$8,$L1062='112'!$I$6)),"x",""))</f>
        <v/>
      </c>
      <c r="T1062" s="39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39" t="str">
        <f>IF(OR(TH!L1062=TH!$V$7,M1062=TH!$V$7),"x","")</f>
        <v/>
      </c>
      <c r="W1062" s="39" t="str">
        <f>IF(AND(B1062&gt;='IN-NX'!$P$3,B1062&lt;='IN-NX'!$Q$3,'IN-NX'!$D$7=D1062,OR(LEFT(L1062,2)="15",AND(LEFT(M1062,2)&lt;&gt;"15",LEFT(M1062,2)&lt;&gt;"33"))),"x","")</f>
        <v/>
      </c>
      <c r="X1062" s="39" t="str">
        <f>IF(AND(OR(LEFT(TH!L1062,2)="15",LEFT(TH!M1062,2)="15"),'152-CT'!$J$8=TH!F1062),"x","")</f>
        <v/>
      </c>
      <c r="Y1062" s="39" t="str">
        <f>IF(AND(OR(LEFT(TH!L1062,2)="15",LEFT(TH!M1062,2)="15"),TK!$E$7=TH!F1062),"x","")</f>
        <v/>
      </c>
      <c r="Z1062" s="39" t="str">
        <f>IF(AND(B1062&lt;=NKC!$N$8,B1062&gt;=NKC!$M$8),"x","")</f>
        <v/>
      </c>
      <c r="AA1062" s="894"/>
    </row>
    <row r="1063" spans="1:27" ht="15.75" customHeight="1">
      <c r="A1063" s="199" t="str">
        <f>IF(B1063&lt;&gt;"",IF(AND(B1063&gt;=_TM1,B1063&lt;=_TM2,OR(TH!L1063="1111",TH!M1063="1111")),TH!D1063,""),"")</f>
        <v/>
      </c>
      <c r="B1063" s="36" t="str">
        <f t="shared" si="42"/>
        <v/>
      </c>
      <c r="C1063" s="37"/>
      <c r="D1063" s="37"/>
      <c r="E1063" s="37"/>
      <c r="F1063" s="40"/>
      <c r="G1063" s="40"/>
      <c r="H1063" s="7"/>
      <c r="I1063" s="253"/>
      <c r="J1063" s="253"/>
      <c r="K1063" s="606"/>
      <c r="L1063" s="39"/>
      <c r="M1063" s="39"/>
      <c r="N1063" s="39" t="str">
        <f>IF(AND('331-CT'!$E$7=TH!H1063,OR(L1063="331",M1063="331")),"331",IF(AND(OR(L1063="131",M1063="131"),H1063='131-CT'!$E$7),"131",""))</f>
        <v/>
      </c>
      <c r="O1063" s="39" t="str">
        <f>IF(AND($B1063&gt;='111'!$N$11,$B1063&lt;='111'!$O$11,OR($L1063=$O$7,$M1063=$O$7)),"x","")</f>
        <v/>
      </c>
      <c r="P1063" s="39" t="str">
        <f>IF(AND($L1063=$O$7,$B1063&lt;'111'!$N$11),"x","")</f>
        <v/>
      </c>
      <c r="Q1063" s="39" t="str">
        <f>IF(AND($M1063=$O$7,$B1063&lt;'111'!$N$11),"x","")</f>
        <v/>
      </c>
      <c r="R1063" s="39" t="str">
        <f>IF(ISERROR(FIND('112'!$M$9,G1063,1)),"",IF((AND(FIND('112'!$M$9,G1063,1)&gt;=1,$B1063&gt;='112'!$N$8,$B1063&lt;='112'!$O$8,OR($L1063='112'!$I$6,$M1063='112'!$I$6))),"x",""))</f>
        <v/>
      </c>
      <c r="S1063" s="39" t="str">
        <f>IF(ISERROR(FIND('112'!$M$9,G1063,1)),"",IF((AND(LEFT(G1063,2)=LEFT('112'!$M$9,2),B1063&lt;'112'!$N$8,$L1063='112'!$I$6)),"x",""))</f>
        <v/>
      </c>
      <c r="T1063" s="39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39" t="str">
        <f>IF(OR(TH!L1063=TH!$V$7,M1063=TH!$V$7),"x","")</f>
        <v/>
      </c>
      <c r="W1063" s="39" t="str">
        <f>IF(AND(B1063&gt;='IN-NX'!$P$3,B1063&lt;='IN-NX'!$Q$3,'IN-NX'!$D$7=D1063,OR(LEFT(L1063,2)="15",AND(LEFT(M1063,2)&lt;&gt;"15",LEFT(M1063,2)&lt;&gt;"33"))),"x","")</f>
        <v/>
      </c>
      <c r="X1063" s="39" t="str">
        <f>IF(AND(OR(LEFT(TH!L1063,2)="15",LEFT(TH!M1063,2)="15"),'152-CT'!$J$8=TH!F1063),"x","")</f>
        <v/>
      </c>
      <c r="Y1063" s="39" t="str">
        <f>IF(AND(OR(LEFT(TH!L1063,2)="15",LEFT(TH!M1063,2)="15"),TK!$E$7=TH!F1063),"x","")</f>
        <v/>
      </c>
      <c r="Z1063" s="39" t="str">
        <f>IF(AND(B1063&lt;=NKC!$N$8,B1063&gt;=NKC!$M$8),"x","")</f>
        <v/>
      </c>
      <c r="AA1063" s="894"/>
    </row>
    <row r="1064" spans="1:27" ht="15.75" customHeight="1">
      <c r="A1064" s="199" t="str">
        <f>IF(B1064&lt;&gt;"",IF(AND(B1064&gt;=_TM1,B1064&lt;=_TM2,OR(TH!L1064="1111",TH!M1064="1111")),TH!D1064,""),"")</f>
        <v/>
      </c>
      <c r="B1064" s="36" t="str">
        <f t="shared" si="42"/>
        <v/>
      </c>
      <c r="C1064" s="37"/>
      <c r="D1064" s="37"/>
      <c r="E1064" s="37"/>
      <c r="F1064" s="40"/>
      <c r="G1064" s="40"/>
      <c r="H1064" s="7"/>
      <c r="I1064" s="253"/>
      <c r="J1064" s="253"/>
      <c r="K1064" s="606"/>
      <c r="L1064" s="39"/>
      <c r="M1064" s="39"/>
      <c r="N1064" s="39" t="str">
        <f>IF(AND('331-CT'!$E$7=TH!H1064,OR(L1064="331",M1064="331")),"331",IF(AND(OR(L1064="131",M1064="131"),H1064='131-CT'!$E$7),"131",""))</f>
        <v/>
      </c>
      <c r="O1064" s="39" t="str">
        <f>IF(AND($B1064&gt;='111'!$N$11,$B1064&lt;='111'!$O$11,OR($L1064=$O$7,$M1064=$O$7)),"x","")</f>
        <v/>
      </c>
      <c r="P1064" s="39" t="str">
        <f>IF(AND($L1064=$O$7,$B1064&lt;'111'!$N$11),"x","")</f>
        <v/>
      </c>
      <c r="Q1064" s="39" t="str">
        <f>IF(AND($M1064=$O$7,$B1064&lt;'111'!$N$11),"x","")</f>
        <v/>
      </c>
      <c r="R1064" s="39" t="str">
        <f>IF(ISERROR(FIND('112'!$M$9,G1064,1)),"",IF((AND(FIND('112'!$M$9,G1064,1)&gt;=1,$B1064&gt;='112'!$N$8,$B1064&lt;='112'!$O$8,OR($L1064='112'!$I$6,$M1064='112'!$I$6))),"x",""))</f>
        <v/>
      </c>
      <c r="S1064" s="39" t="str">
        <f>IF(ISERROR(FIND('112'!$M$9,G1064,1)),"",IF((AND(LEFT(G1064,2)=LEFT('112'!$M$9,2),B1064&lt;'112'!$N$8,$L1064='112'!$I$6)),"x",""))</f>
        <v/>
      </c>
      <c r="T1064" s="39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39" t="str">
        <f>IF(OR(TH!L1064=TH!$V$7,M1064=TH!$V$7),"x","")</f>
        <v/>
      </c>
      <c r="W1064" s="39" t="str">
        <f>IF(AND(B1064&gt;='IN-NX'!$P$3,B1064&lt;='IN-NX'!$Q$3,'IN-NX'!$D$7=D1064,OR(LEFT(L1064,2)="15",AND(LEFT(M1064,2)&lt;&gt;"15",LEFT(M1064,2)&lt;&gt;"33"))),"x","")</f>
        <v/>
      </c>
      <c r="X1064" s="39" t="str">
        <f>IF(AND(OR(LEFT(TH!L1064,2)="15",LEFT(TH!M1064,2)="15"),'152-CT'!$J$8=TH!F1064),"x","")</f>
        <v/>
      </c>
      <c r="Y1064" s="39" t="str">
        <f>IF(AND(OR(LEFT(TH!L1064,2)="15",LEFT(TH!M1064,2)="15"),TK!$E$7=TH!F1064),"x","")</f>
        <v/>
      </c>
      <c r="Z1064" s="39" t="str">
        <f>IF(AND(B1064&lt;=NKC!$N$8,B1064&gt;=NKC!$M$8),"x","")</f>
        <v/>
      </c>
      <c r="AA1064" s="894"/>
    </row>
    <row r="1065" spans="1:27" ht="15.75" customHeight="1">
      <c r="A1065" s="199" t="str">
        <f>IF(B1065&lt;&gt;"",IF(AND(B1065&gt;=_TM1,B1065&lt;=_TM2,OR(TH!L1065="1111",TH!M1065="1111")),TH!D1065,""),"")</f>
        <v/>
      </c>
      <c r="B1065" s="36" t="str">
        <f t="shared" si="42"/>
        <v/>
      </c>
      <c r="C1065" s="37"/>
      <c r="D1065" s="37"/>
      <c r="E1065" s="37"/>
      <c r="F1065" s="40"/>
      <c r="G1065" s="40"/>
      <c r="H1065" s="7"/>
      <c r="I1065" s="253"/>
      <c r="J1065" s="253"/>
      <c r="K1065" s="606"/>
      <c r="L1065" s="39"/>
      <c r="M1065" s="39"/>
      <c r="N1065" s="39" t="str">
        <f>IF(AND('331-CT'!$E$7=TH!H1065,OR(L1065="331",M1065="331")),"331",IF(AND(OR(L1065="131",M1065="131"),H1065='131-CT'!$E$7),"131",""))</f>
        <v/>
      </c>
      <c r="O1065" s="39" t="str">
        <f>IF(AND($B1065&gt;='111'!$N$11,$B1065&lt;='111'!$O$11,OR($L1065=$O$7,$M1065=$O$7)),"x","")</f>
        <v/>
      </c>
      <c r="P1065" s="39" t="str">
        <f>IF(AND($L1065=$O$7,$B1065&lt;'111'!$N$11),"x","")</f>
        <v/>
      </c>
      <c r="Q1065" s="39" t="str">
        <f>IF(AND($M1065=$O$7,$B1065&lt;'111'!$N$11),"x","")</f>
        <v/>
      </c>
      <c r="R1065" s="39" t="str">
        <f>IF(ISERROR(FIND('112'!$M$9,G1065,1)),"",IF((AND(FIND('112'!$M$9,G1065,1)&gt;=1,$B1065&gt;='112'!$N$8,$B1065&lt;='112'!$O$8,OR($L1065='112'!$I$6,$M1065='112'!$I$6))),"x",""))</f>
        <v/>
      </c>
      <c r="S1065" s="39" t="str">
        <f>IF(ISERROR(FIND('112'!$M$9,G1065,1)),"",IF((AND(LEFT(G1065,2)=LEFT('112'!$M$9,2),B1065&lt;'112'!$N$8,$L1065='112'!$I$6)),"x",""))</f>
        <v/>
      </c>
      <c r="T1065" s="39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39" t="str">
        <f>IF(OR(TH!L1065=TH!$V$7,M1065=TH!$V$7),"x","")</f>
        <v/>
      </c>
      <c r="W1065" s="39" t="str">
        <f>IF(AND(B1065&gt;='IN-NX'!$P$3,B1065&lt;='IN-NX'!$Q$3,'IN-NX'!$D$7=D1065,OR(LEFT(L1065,2)="15",AND(LEFT(M1065,2)&lt;&gt;"15",LEFT(M1065,2)&lt;&gt;"33"))),"x","")</f>
        <v/>
      </c>
      <c r="X1065" s="39" t="str">
        <f>IF(AND(OR(LEFT(TH!L1065,2)="15",LEFT(TH!M1065,2)="15"),'152-CT'!$J$8=TH!F1065),"x","")</f>
        <v/>
      </c>
      <c r="Y1065" s="39" t="str">
        <f>IF(AND(OR(LEFT(TH!L1065,2)="15",LEFT(TH!M1065,2)="15"),TK!$E$7=TH!F1065),"x","")</f>
        <v/>
      </c>
      <c r="Z1065" s="39" t="str">
        <f>IF(AND(B1065&lt;=NKC!$N$8,B1065&gt;=NKC!$M$8),"x","")</f>
        <v/>
      </c>
      <c r="AA1065" s="894"/>
    </row>
    <row r="1066" spans="1:27" ht="15.75" customHeight="1">
      <c r="A1066" s="199" t="str">
        <f>IF(B1066&lt;&gt;"",IF(AND(B1066&gt;=_TM1,B1066&lt;=_TM2,OR(TH!L1066="1111",TH!M1066="1111")),TH!D1066,""),"")</f>
        <v/>
      </c>
      <c r="B1066" s="36" t="str">
        <f t="shared" si="42"/>
        <v/>
      </c>
      <c r="C1066" s="37"/>
      <c r="D1066" s="37"/>
      <c r="E1066" s="37"/>
      <c r="F1066" s="40"/>
      <c r="G1066" s="40"/>
      <c r="H1066" s="7"/>
      <c r="I1066" s="253"/>
      <c r="J1066" s="253"/>
      <c r="K1066" s="606"/>
      <c r="L1066" s="39"/>
      <c r="M1066" s="39"/>
      <c r="N1066" s="39" t="str">
        <f>IF(AND('331-CT'!$E$7=TH!H1066,OR(L1066="331",M1066="331")),"331",IF(AND(OR(L1066="131",M1066="131"),H1066='131-CT'!$E$7),"131",""))</f>
        <v/>
      </c>
      <c r="O1066" s="39" t="str">
        <f>IF(AND($B1066&gt;='111'!$N$11,$B1066&lt;='111'!$O$11,OR($L1066=$O$7,$M1066=$O$7)),"x","")</f>
        <v/>
      </c>
      <c r="P1066" s="39" t="str">
        <f>IF(AND($L1066=$O$7,$B1066&lt;'111'!$N$11),"x","")</f>
        <v/>
      </c>
      <c r="Q1066" s="39" t="str">
        <f>IF(AND($M1066=$O$7,$B1066&lt;'111'!$N$11),"x","")</f>
        <v/>
      </c>
      <c r="R1066" s="39" t="str">
        <f>IF(ISERROR(FIND('112'!$M$9,G1066,1)),"",IF((AND(FIND('112'!$M$9,G1066,1)&gt;=1,$B1066&gt;='112'!$N$8,$B1066&lt;='112'!$O$8,OR($L1066='112'!$I$6,$M1066='112'!$I$6))),"x",""))</f>
        <v/>
      </c>
      <c r="S1066" s="39" t="str">
        <f>IF(ISERROR(FIND('112'!$M$9,G1066,1)),"",IF((AND(LEFT(G1066,2)=LEFT('112'!$M$9,2),B1066&lt;'112'!$N$8,$L1066='112'!$I$6)),"x",""))</f>
        <v/>
      </c>
      <c r="T1066" s="39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39" t="str">
        <f>IF(OR(TH!L1066=TH!$V$7,M1066=TH!$V$7),"x","")</f>
        <v/>
      </c>
      <c r="W1066" s="39" t="str">
        <f>IF(AND(B1066&gt;='IN-NX'!$P$3,B1066&lt;='IN-NX'!$Q$3,'IN-NX'!$D$7=D1066,OR(LEFT(L1066,2)="15",AND(LEFT(M1066,2)&lt;&gt;"15",LEFT(M1066,2)&lt;&gt;"33"))),"x","")</f>
        <v/>
      </c>
      <c r="X1066" s="39" t="str">
        <f>IF(AND(OR(LEFT(TH!L1066,2)="15",LEFT(TH!M1066,2)="15"),'152-CT'!$J$8=TH!F1066),"x","")</f>
        <v/>
      </c>
      <c r="Y1066" s="39" t="str">
        <f>IF(AND(OR(LEFT(TH!L1066,2)="15",LEFT(TH!M1066,2)="15"),TK!$E$7=TH!F1066),"x","")</f>
        <v/>
      </c>
      <c r="Z1066" s="39" t="str">
        <f>IF(AND(B1066&lt;=NKC!$N$8,B1066&gt;=NKC!$M$8),"x","")</f>
        <v/>
      </c>
      <c r="AA1066" s="894"/>
    </row>
    <row r="1067" spans="1:27" ht="15.75" customHeight="1">
      <c r="A1067" s="199" t="str">
        <f>IF(B1067&lt;&gt;"",IF(AND(B1067&gt;=_TM1,B1067&lt;=_TM2,OR(TH!L1067="1111",TH!M1067="1111")),TH!D1067,""),"")</f>
        <v/>
      </c>
      <c r="B1067" s="36" t="str">
        <f t="shared" si="42"/>
        <v/>
      </c>
      <c r="C1067" s="37"/>
      <c r="D1067" s="37"/>
      <c r="E1067" s="37"/>
      <c r="F1067" s="40"/>
      <c r="G1067" s="40"/>
      <c r="H1067" s="7"/>
      <c r="I1067" s="253"/>
      <c r="J1067" s="253"/>
      <c r="K1067" s="606"/>
      <c r="L1067" s="39"/>
      <c r="M1067" s="39"/>
      <c r="N1067" s="39" t="str">
        <f>IF(AND('331-CT'!$E$7=TH!H1067,OR(L1067="331",M1067="331")),"331",IF(AND(OR(L1067="131",M1067="131"),H1067='131-CT'!$E$7),"131",""))</f>
        <v/>
      </c>
      <c r="O1067" s="39" t="str">
        <f>IF(AND($B1067&gt;='111'!$N$11,$B1067&lt;='111'!$O$11,OR($L1067=$O$7,$M1067=$O$7)),"x","")</f>
        <v/>
      </c>
      <c r="P1067" s="39" t="str">
        <f>IF(AND($L1067=$O$7,$B1067&lt;'111'!$N$11),"x","")</f>
        <v/>
      </c>
      <c r="Q1067" s="39" t="str">
        <f>IF(AND($M1067=$O$7,$B1067&lt;'111'!$N$11),"x","")</f>
        <v/>
      </c>
      <c r="R1067" s="39" t="str">
        <f>IF(ISERROR(FIND('112'!$M$9,G1067,1)),"",IF((AND(FIND('112'!$M$9,G1067,1)&gt;=1,$B1067&gt;='112'!$N$8,$B1067&lt;='112'!$O$8,OR($L1067='112'!$I$6,$M1067='112'!$I$6))),"x",""))</f>
        <v/>
      </c>
      <c r="S1067" s="39" t="str">
        <f>IF(ISERROR(FIND('112'!$M$9,G1067,1)),"",IF((AND(LEFT(G1067,2)=LEFT('112'!$M$9,2),B1067&lt;'112'!$N$8,$L1067='112'!$I$6)),"x",""))</f>
        <v/>
      </c>
      <c r="T1067" s="39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39" t="str">
        <f>IF(OR(TH!L1067=TH!$V$7,M1067=TH!$V$7),"x","")</f>
        <v/>
      </c>
      <c r="W1067" s="39" t="str">
        <f>IF(AND(B1067&gt;='IN-NX'!$P$3,B1067&lt;='IN-NX'!$Q$3,'IN-NX'!$D$7=D1067,OR(LEFT(L1067,2)="15",AND(LEFT(M1067,2)&lt;&gt;"15",LEFT(M1067,2)&lt;&gt;"33"))),"x","")</f>
        <v/>
      </c>
      <c r="X1067" s="39" t="str">
        <f>IF(AND(OR(LEFT(TH!L1067,2)="15",LEFT(TH!M1067,2)="15"),'152-CT'!$J$8=TH!F1067),"x","")</f>
        <v/>
      </c>
      <c r="Y1067" s="39" t="str">
        <f>IF(AND(OR(LEFT(TH!L1067,2)="15",LEFT(TH!M1067,2)="15"),TK!$E$7=TH!F1067),"x","")</f>
        <v/>
      </c>
      <c r="Z1067" s="39" t="str">
        <f>IF(AND(B1067&lt;=NKC!$N$8,B1067&gt;=NKC!$M$8),"x","")</f>
        <v/>
      </c>
      <c r="AA1067" s="894"/>
    </row>
    <row r="1068" spans="1:27" ht="15.75" customHeight="1">
      <c r="A1068" s="199" t="str">
        <f>IF(B1068&lt;&gt;"",IF(AND(B1068&gt;=_TM1,B1068&lt;=_TM2,OR(TH!L1068="1111",TH!M1068="1111")),TH!D1068,""),"")</f>
        <v/>
      </c>
      <c r="B1068" s="36" t="str">
        <f t="shared" si="42"/>
        <v/>
      </c>
      <c r="C1068" s="37"/>
      <c r="D1068" s="37"/>
      <c r="E1068" s="37"/>
      <c r="F1068" s="191"/>
      <c r="G1068" s="40"/>
      <c r="H1068" s="7"/>
      <c r="I1068" s="253"/>
      <c r="J1068" s="253"/>
      <c r="K1068" s="606"/>
      <c r="L1068" s="39"/>
      <c r="M1068" s="39"/>
      <c r="N1068" s="39" t="str">
        <f>IF(AND('331-CT'!$E$7=TH!H1068,OR(L1068="331",M1068="331")),"331",IF(AND(OR(L1068="131",M1068="131"),H1068='131-CT'!$E$7),"131",""))</f>
        <v/>
      </c>
      <c r="O1068" s="39" t="str">
        <f>IF(AND($B1068&gt;='111'!$N$11,$B1068&lt;='111'!$O$11,OR($L1068=$O$7,$M1068=$O$7)),"x","")</f>
        <v/>
      </c>
      <c r="P1068" s="39" t="str">
        <f>IF(AND($L1068=$O$7,$B1068&lt;'111'!$N$11),"x","")</f>
        <v/>
      </c>
      <c r="Q1068" s="39" t="str">
        <f>IF(AND($M1068=$O$7,$B1068&lt;'111'!$N$11),"x","")</f>
        <v/>
      </c>
      <c r="R1068" s="39" t="str">
        <f>IF(ISERROR(FIND('112'!$M$9,G1068,1)),"",IF((AND(FIND('112'!$M$9,G1068,1)&gt;=1,$B1068&gt;='112'!$N$8,$B1068&lt;='112'!$O$8,OR($L1068='112'!$I$6,$M1068='112'!$I$6))),"x",""))</f>
        <v/>
      </c>
      <c r="S1068" s="39" t="str">
        <f>IF(ISERROR(FIND('112'!$M$9,G1068,1)),"",IF((AND(LEFT(G1068,2)=LEFT('112'!$M$9,2),B1068&lt;'112'!$N$8,$L1068='112'!$I$6)),"x",""))</f>
        <v/>
      </c>
      <c r="T1068" s="39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39" t="str">
        <f>IF(OR(TH!L1068=TH!$V$7,M1068=TH!$V$7),"x","")</f>
        <v/>
      </c>
      <c r="W1068" s="39" t="str">
        <f>IF(AND(B1068&gt;='IN-NX'!$P$3,B1068&lt;='IN-NX'!$Q$3,'IN-NX'!$D$7=D1068,OR(LEFT(L1068,2)="15",AND(LEFT(M1068,2)&lt;&gt;"15",LEFT(M1068,2)&lt;&gt;"33"))),"x","")</f>
        <v/>
      </c>
      <c r="X1068" s="39" t="str">
        <f>IF(AND(OR(LEFT(TH!L1068,2)="15",LEFT(TH!M1068,2)="15"),'152-CT'!$J$8=TH!F1068),"x","")</f>
        <v/>
      </c>
      <c r="Y1068" s="39" t="str">
        <f>IF(AND(OR(LEFT(TH!L1068,2)="15",LEFT(TH!M1068,2)="15"),TK!$E$7=TH!F1068),"x","")</f>
        <v/>
      </c>
      <c r="Z1068" s="39" t="str">
        <f>IF(AND(B1068&lt;=NKC!$N$8,B1068&gt;=NKC!$M$8),"x","")</f>
        <v/>
      </c>
      <c r="AA1068" s="894"/>
    </row>
    <row r="1069" spans="1:27" ht="15.75" customHeight="1">
      <c r="A1069" s="199" t="str">
        <f>IF(B1069&lt;&gt;"",IF(AND(B1069&gt;=_TM1,B1069&lt;=_TM2,OR(TH!L1069="1111",TH!M1069="1111")),TH!D1069,""),"")</f>
        <v/>
      </c>
      <c r="B1069" s="36" t="str">
        <f t="shared" si="42"/>
        <v/>
      </c>
      <c r="C1069" s="37"/>
      <c r="D1069" s="37"/>
      <c r="E1069" s="37"/>
      <c r="F1069" s="191"/>
      <c r="G1069" s="40"/>
      <c r="H1069" s="7"/>
      <c r="I1069" s="253"/>
      <c r="J1069" s="253"/>
      <c r="K1069" s="606"/>
      <c r="L1069" s="39"/>
      <c r="M1069" s="39"/>
      <c r="N1069" s="39" t="str">
        <f>IF(AND('331-CT'!$E$7=TH!H1069,OR(L1069="331",M1069="331")),"331",IF(AND(OR(L1069="131",M1069="131"),H1069='131-CT'!$E$7),"131",""))</f>
        <v/>
      </c>
      <c r="O1069" s="39" t="str">
        <f>IF(AND($B1069&gt;='111'!$N$11,$B1069&lt;='111'!$O$11,OR($L1069=$O$7,$M1069=$O$7)),"x","")</f>
        <v/>
      </c>
      <c r="P1069" s="39" t="str">
        <f>IF(AND($L1069=$O$7,$B1069&lt;'111'!$N$11),"x","")</f>
        <v/>
      </c>
      <c r="Q1069" s="39" t="str">
        <f>IF(AND($M1069=$O$7,$B1069&lt;'111'!$N$11),"x","")</f>
        <v/>
      </c>
      <c r="R1069" s="39" t="str">
        <f>IF(ISERROR(FIND('112'!$M$9,G1069,1)),"",IF((AND(FIND('112'!$M$9,G1069,1)&gt;=1,$B1069&gt;='112'!$N$8,$B1069&lt;='112'!$O$8,OR($L1069='112'!$I$6,$M1069='112'!$I$6))),"x",""))</f>
        <v/>
      </c>
      <c r="S1069" s="39" t="str">
        <f>IF(ISERROR(FIND('112'!$M$9,G1069,1)),"",IF((AND(LEFT(G1069,2)=LEFT('112'!$M$9,2),B1069&lt;'112'!$N$8,$L1069='112'!$I$6)),"x",""))</f>
        <v/>
      </c>
      <c r="T1069" s="39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39" t="str">
        <f>IF(OR(TH!L1069=TH!$V$7,M1069=TH!$V$7),"x","")</f>
        <v/>
      </c>
      <c r="W1069" s="39" t="str">
        <f>IF(AND(B1069&gt;='IN-NX'!$P$3,B1069&lt;='IN-NX'!$Q$3,'IN-NX'!$D$7=D1069,OR(LEFT(L1069,2)="15",AND(LEFT(M1069,2)&lt;&gt;"15",LEFT(M1069,2)&lt;&gt;"33"))),"x","")</f>
        <v/>
      </c>
      <c r="X1069" s="39" t="str">
        <f>IF(AND(OR(LEFT(TH!L1069,2)="15",LEFT(TH!M1069,2)="15"),'152-CT'!$J$8=TH!F1069),"x","")</f>
        <v/>
      </c>
      <c r="Y1069" s="39" t="str">
        <f>IF(AND(OR(LEFT(TH!L1069,2)="15",LEFT(TH!M1069,2)="15"),TK!$E$7=TH!F1069),"x","")</f>
        <v/>
      </c>
      <c r="Z1069" s="39" t="str">
        <f>IF(AND(B1069&lt;=NKC!$N$8,B1069&gt;=NKC!$M$8),"x","")</f>
        <v/>
      </c>
      <c r="AA1069" s="894"/>
    </row>
    <row r="1070" spans="1:27" ht="15.75" customHeight="1">
      <c r="A1070" s="199" t="str">
        <f>IF(B1070&lt;&gt;"",IF(AND(B1070&gt;=_TM1,B1070&lt;=_TM2,OR(TH!L1070="1111",TH!M1070="1111")),TH!D1070,""),"")</f>
        <v/>
      </c>
      <c r="B1070" s="36" t="str">
        <f t="shared" si="42"/>
        <v/>
      </c>
      <c r="C1070" s="37"/>
      <c r="D1070" s="37"/>
      <c r="E1070" s="37"/>
      <c r="F1070" s="191"/>
      <c r="G1070" s="40"/>
      <c r="H1070" s="7"/>
      <c r="I1070" s="253"/>
      <c r="J1070" s="253"/>
      <c r="K1070" s="606"/>
      <c r="L1070" s="39"/>
      <c r="M1070" s="39"/>
      <c r="N1070" s="39" t="str">
        <f>IF(AND('331-CT'!$E$7=TH!H1070,OR(L1070="331",M1070="331")),"331",IF(AND(OR(L1070="131",M1070="131"),H1070='131-CT'!$E$7),"131",""))</f>
        <v/>
      </c>
      <c r="O1070" s="39" t="str">
        <f>IF(AND($B1070&gt;='111'!$N$11,$B1070&lt;='111'!$O$11,OR($L1070=$O$7,$M1070=$O$7)),"x","")</f>
        <v/>
      </c>
      <c r="P1070" s="39" t="str">
        <f>IF(AND($L1070=$O$7,$B1070&lt;'111'!$N$11),"x","")</f>
        <v/>
      </c>
      <c r="Q1070" s="39" t="str">
        <f>IF(AND($M1070=$O$7,$B1070&lt;'111'!$N$11),"x","")</f>
        <v/>
      </c>
      <c r="R1070" s="39" t="str">
        <f>IF(ISERROR(FIND('112'!$M$9,G1070,1)),"",IF((AND(FIND('112'!$M$9,G1070,1)&gt;=1,$B1070&gt;='112'!$N$8,$B1070&lt;='112'!$O$8,OR($L1070='112'!$I$6,$M1070='112'!$I$6))),"x",""))</f>
        <v/>
      </c>
      <c r="S1070" s="39" t="str">
        <f>IF(ISERROR(FIND('112'!$M$9,G1070,1)),"",IF((AND(LEFT(G1070,2)=LEFT('112'!$M$9,2),B1070&lt;'112'!$N$8,$L1070='112'!$I$6)),"x",""))</f>
        <v/>
      </c>
      <c r="T1070" s="39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39" t="str">
        <f>IF(OR(TH!L1070=TH!$V$7,M1070=TH!$V$7),"x","")</f>
        <v/>
      </c>
      <c r="W1070" s="39" t="str">
        <f>IF(AND(B1070&gt;='IN-NX'!$P$3,B1070&lt;='IN-NX'!$Q$3,'IN-NX'!$D$7=D1070,OR(LEFT(L1070,2)="15",AND(LEFT(M1070,2)&lt;&gt;"15",LEFT(M1070,2)&lt;&gt;"33"))),"x","")</f>
        <v/>
      </c>
      <c r="X1070" s="39" t="str">
        <f>IF(AND(OR(LEFT(TH!L1070,2)="15",LEFT(TH!M1070,2)="15"),'152-CT'!$J$8=TH!F1070),"x","")</f>
        <v/>
      </c>
      <c r="Y1070" s="39" t="str">
        <f>IF(AND(OR(LEFT(TH!L1070,2)="15",LEFT(TH!M1070,2)="15"),TK!$E$7=TH!F1070),"x","")</f>
        <v/>
      </c>
      <c r="Z1070" s="39" t="str">
        <f>IF(AND(B1070&lt;=NKC!$N$8,B1070&gt;=NKC!$M$8),"x","")</f>
        <v/>
      </c>
      <c r="AA1070" s="894"/>
    </row>
    <row r="1071" spans="1:27" ht="15.75" customHeight="1">
      <c r="A1071" s="199" t="str">
        <f>IF(B1071&lt;&gt;"",IF(AND(B1071&gt;=_TM1,B1071&lt;=_TM2,OR(TH!L1071="1111",TH!M1071="1111")),TH!D1071,""),"")</f>
        <v/>
      </c>
      <c r="B1071" s="36" t="str">
        <f t="shared" si="42"/>
        <v/>
      </c>
      <c r="C1071" s="37"/>
      <c r="D1071" s="37"/>
      <c r="E1071" s="37"/>
      <c r="F1071" s="40"/>
      <c r="G1071" s="40"/>
      <c r="H1071" s="7"/>
      <c r="I1071" s="253"/>
      <c r="J1071" s="253"/>
      <c r="K1071" s="606"/>
      <c r="L1071" s="39"/>
      <c r="M1071" s="39"/>
      <c r="N1071" s="39" t="str">
        <f>IF(AND('331-CT'!$E$7=TH!H1071,OR(L1071="331",M1071="331")),"331",IF(AND(OR(L1071="131",M1071="131"),H1071='131-CT'!$E$7),"131",""))</f>
        <v/>
      </c>
      <c r="O1071" s="39" t="str">
        <f>IF(AND($B1071&gt;='111'!$N$11,$B1071&lt;='111'!$O$11,OR($L1071=$O$7,$M1071=$O$7)),"x","")</f>
        <v/>
      </c>
      <c r="P1071" s="39" t="str">
        <f>IF(AND($L1071=$O$7,$B1071&lt;'111'!$N$11),"x","")</f>
        <v/>
      </c>
      <c r="Q1071" s="39" t="str">
        <f>IF(AND($M1071=$O$7,$B1071&lt;'111'!$N$11),"x","")</f>
        <v/>
      </c>
      <c r="R1071" s="39" t="str">
        <f>IF(ISERROR(FIND('112'!$M$9,G1071,1)),"",IF((AND(FIND('112'!$M$9,G1071,1)&gt;=1,$B1071&gt;='112'!$N$8,$B1071&lt;='112'!$O$8,OR($L1071='112'!$I$6,$M1071='112'!$I$6))),"x",""))</f>
        <v/>
      </c>
      <c r="S1071" s="39" t="str">
        <f>IF(ISERROR(FIND('112'!$M$9,G1071,1)),"",IF((AND(LEFT(G1071,2)=LEFT('112'!$M$9,2),B1071&lt;'112'!$N$8,$L1071='112'!$I$6)),"x",""))</f>
        <v/>
      </c>
      <c r="T1071" s="39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39" t="str">
        <f>IF(OR(TH!L1071=TH!$V$7,M1071=TH!$V$7),"x","")</f>
        <v/>
      </c>
      <c r="W1071" s="39" t="str">
        <f>IF(AND(B1071&gt;='IN-NX'!$P$3,B1071&lt;='IN-NX'!$Q$3,'IN-NX'!$D$7=D1071,OR(LEFT(L1071,2)="15",AND(LEFT(M1071,2)&lt;&gt;"15",LEFT(M1071,2)&lt;&gt;"33"))),"x","")</f>
        <v/>
      </c>
      <c r="X1071" s="39" t="str">
        <f>IF(AND(OR(LEFT(TH!L1071,2)="15",LEFT(TH!M1071,2)="15"),'152-CT'!$J$8=TH!F1071),"x","")</f>
        <v/>
      </c>
      <c r="Y1071" s="39" t="str">
        <f>IF(AND(OR(LEFT(TH!L1071,2)="15",LEFT(TH!M1071,2)="15"),TK!$E$7=TH!F1071),"x","")</f>
        <v/>
      </c>
      <c r="Z1071" s="39" t="str">
        <f>IF(AND(B1071&lt;=NKC!$N$8,B1071&gt;=NKC!$M$8),"x","")</f>
        <v/>
      </c>
      <c r="AA1071" s="894"/>
    </row>
    <row r="1072" spans="1:27" ht="15.75" customHeight="1">
      <c r="A1072" s="199" t="str">
        <f>IF(B1072&lt;&gt;"",IF(AND(B1072&gt;=_TM1,B1072&lt;=_TM2,OR(TH!L1072="1111",TH!M1072="1111")),TH!D1072,""),"")</f>
        <v/>
      </c>
      <c r="B1072" s="36" t="str">
        <f t="shared" si="42"/>
        <v/>
      </c>
      <c r="C1072" s="37"/>
      <c r="D1072" s="37"/>
      <c r="E1072" s="37"/>
      <c r="F1072" s="40"/>
      <c r="G1072" s="40"/>
      <c r="H1072" s="7"/>
      <c r="I1072" s="253"/>
      <c r="J1072" s="253"/>
      <c r="K1072" s="606"/>
      <c r="L1072" s="39"/>
      <c r="M1072" s="39"/>
      <c r="N1072" s="39" t="str">
        <f>IF(AND('331-CT'!$E$7=TH!H1072,OR(L1072="331",M1072="331")),"331",IF(AND(OR(L1072="131",M1072="131"),H1072='131-CT'!$E$7),"131",""))</f>
        <v/>
      </c>
      <c r="O1072" s="39" t="str">
        <f>IF(AND($B1072&gt;='111'!$N$11,$B1072&lt;='111'!$O$11,OR($L1072=$O$7,$M1072=$O$7)),"x","")</f>
        <v/>
      </c>
      <c r="P1072" s="39" t="str">
        <f>IF(AND($L1072=$O$7,$B1072&lt;'111'!$N$11),"x","")</f>
        <v/>
      </c>
      <c r="Q1072" s="39" t="str">
        <f>IF(AND($M1072=$O$7,$B1072&lt;'111'!$N$11),"x","")</f>
        <v/>
      </c>
      <c r="R1072" s="39" t="str">
        <f>IF(ISERROR(FIND('112'!$M$9,G1072,1)),"",IF((AND(FIND('112'!$M$9,G1072,1)&gt;=1,$B1072&gt;='112'!$N$8,$B1072&lt;='112'!$O$8,OR($L1072='112'!$I$6,$M1072='112'!$I$6))),"x",""))</f>
        <v/>
      </c>
      <c r="S1072" s="39" t="str">
        <f>IF(ISERROR(FIND('112'!$M$9,G1072,1)),"",IF((AND(LEFT(G1072,2)=LEFT('112'!$M$9,2),B1072&lt;'112'!$N$8,$L1072='112'!$I$6)),"x",""))</f>
        <v/>
      </c>
      <c r="T1072" s="39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39" t="str">
        <f>IF(OR(TH!L1072=TH!$V$7,M1072=TH!$V$7),"x","")</f>
        <v/>
      </c>
      <c r="W1072" s="39" t="str">
        <f>IF(AND(B1072&gt;='IN-NX'!$P$3,B1072&lt;='IN-NX'!$Q$3,'IN-NX'!$D$7=D1072,OR(LEFT(L1072,2)="15",AND(LEFT(M1072,2)&lt;&gt;"15",LEFT(M1072,2)&lt;&gt;"33"))),"x","")</f>
        <v/>
      </c>
      <c r="X1072" s="39" t="str">
        <f>IF(AND(OR(LEFT(TH!L1072,2)="15",LEFT(TH!M1072,2)="15"),'152-CT'!$J$8=TH!F1072),"x","")</f>
        <v/>
      </c>
      <c r="Y1072" s="39" t="str">
        <f>IF(AND(OR(LEFT(TH!L1072,2)="15",LEFT(TH!M1072,2)="15"),TK!$E$7=TH!F1072),"x","")</f>
        <v/>
      </c>
      <c r="Z1072" s="39" t="str">
        <f>IF(AND(B1072&lt;=NKC!$N$8,B1072&gt;=NKC!$M$8),"x","")</f>
        <v/>
      </c>
      <c r="AA1072" s="894"/>
    </row>
    <row r="1073" spans="1:27" ht="15.75" customHeight="1">
      <c r="A1073" s="199" t="str">
        <f>IF(B1073&lt;&gt;"",IF(AND(B1073&gt;=_TM1,B1073&lt;=_TM2,OR(TH!L1073="1111",TH!M1073="1111")),TH!D1073,""),"")</f>
        <v/>
      </c>
      <c r="B1073" s="36" t="str">
        <f t="shared" si="42"/>
        <v/>
      </c>
      <c r="C1073" s="37"/>
      <c r="D1073" s="37"/>
      <c r="E1073" s="37"/>
      <c r="F1073" s="40"/>
      <c r="G1073" s="40"/>
      <c r="H1073" s="7"/>
      <c r="I1073" s="253"/>
      <c r="J1073" s="253"/>
      <c r="K1073" s="606"/>
      <c r="L1073" s="39"/>
      <c r="M1073" s="39"/>
      <c r="N1073" s="39" t="str">
        <f>IF(AND('331-CT'!$E$7=TH!H1073,OR(L1073="331",M1073="331")),"331",IF(AND(OR(L1073="131",M1073="131"),H1073='131-CT'!$E$7),"131",""))</f>
        <v/>
      </c>
      <c r="O1073" s="39" t="str">
        <f>IF(AND($B1073&gt;='111'!$N$11,$B1073&lt;='111'!$O$11,OR($L1073=$O$7,$M1073=$O$7)),"x","")</f>
        <v/>
      </c>
      <c r="P1073" s="39" t="str">
        <f>IF(AND($L1073=$O$7,$B1073&lt;'111'!$N$11),"x","")</f>
        <v/>
      </c>
      <c r="Q1073" s="39" t="str">
        <f>IF(AND($M1073=$O$7,$B1073&lt;'111'!$N$11),"x","")</f>
        <v/>
      </c>
      <c r="R1073" s="39" t="str">
        <f>IF(ISERROR(FIND('112'!$M$9,G1073,1)),"",IF((AND(FIND('112'!$M$9,G1073,1)&gt;=1,$B1073&gt;='112'!$N$8,$B1073&lt;='112'!$O$8,OR($L1073='112'!$I$6,$M1073='112'!$I$6))),"x",""))</f>
        <v/>
      </c>
      <c r="S1073" s="39" t="str">
        <f>IF(ISERROR(FIND('112'!$M$9,G1073,1)),"",IF((AND(LEFT(G1073,2)=LEFT('112'!$M$9,2),B1073&lt;'112'!$N$8,$L1073='112'!$I$6)),"x",""))</f>
        <v/>
      </c>
      <c r="T1073" s="39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39" t="str">
        <f>IF(OR(TH!L1073=TH!$V$7,M1073=TH!$V$7),"x","")</f>
        <v/>
      </c>
      <c r="W1073" s="39" t="str">
        <f>IF(AND(B1073&gt;='IN-NX'!$P$3,B1073&lt;='IN-NX'!$Q$3,'IN-NX'!$D$7=D1073,OR(LEFT(L1073,2)="15",AND(LEFT(M1073,2)&lt;&gt;"15",LEFT(M1073,2)&lt;&gt;"33"))),"x","")</f>
        <v/>
      </c>
      <c r="X1073" s="39" t="str">
        <f>IF(AND(OR(LEFT(TH!L1073,2)="15",LEFT(TH!M1073,2)="15"),'152-CT'!$J$8=TH!F1073),"x","")</f>
        <v/>
      </c>
      <c r="Y1073" s="39" t="str">
        <f>IF(AND(OR(LEFT(TH!L1073,2)="15",LEFT(TH!M1073,2)="15"),TK!$E$7=TH!F1073),"x","")</f>
        <v/>
      </c>
      <c r="Z1073" s="39" t="str">
        <f>IF(AND(B1073&lt;=NKC!$N$8,B1073&gt;=NKC!$M$8),"x","")</f>
        <v/>
      </c>
      <c r="AA1073" s="894"/>
    </row>
    <row r="1074" spans="1:27" ht="15.75" customHeight="1">
      <c r="A1074" s="199" t="str">
        <f>IF(B1074&lt;&gt;"",IF(AND(B1074&gt;=_TM1,B1074&lt;=_TM2,OR(TH!L1074="1111",TH!M1074="1111")),TH!D1074,""),"")</f>
        <v/>
      </c>
      <c r="B1074" s="36" t="str">
        <f t="shared" si="42"/>
        <v/>
      </c>
      <c r="C1074" s="37"/>
      <c r="D1074" s="37"/>
      <c r="E1074" s="37"/>
      <c r="F1074" s="40"/>
      <c r="G1074" s="40"/>
      <c r="H1074" s="7"/>
      <c r="I1074" s="253"/>
      <c r="J1074" s="253"/>
      <c r="K1074" s="606"/>
      <c r="L1074" s="39"/>
      <c r="M1074" s="39"/>
      <c r="N1074" s="39" t="str">
        <f>IF(AND('331-CT'!$E$7=TH!H1074,OR(L1074="331",M1074="331")),"331",IF(AND(OR(L1074="131",M1074="131"),H1074='131-CT'!$E$7),"131",""))</f>
        <v/>
      </c>
      <c r="O1074" s="39" t="str">
        <f>IF(AND($B1074&gt;='111'!$N$11,$B1074&lt;='111'!$O$11,OR($L1074=$O$7,$M1074=$O$7)),"x","")</f>
        <v/>
      </c>
      <c r="P1074" s="39" t="str">
        <f>IF(AND($L1074=$O$7,$B1074&lt;'111'!$N$11),"x","")</f>
        <v/>
      </c>
      <c r="Q1074" s="39" t="str">
        <f>IF(AND($M1074=$O$7,$B1074&lt;'111'!$N$11),"x","")</f>
        <v/>
      </c>
      <c r="R1074" s="39" t="str">
        <f>IF(ISERROR(FIND('112'!$M$9,G1074,1)),"",IF((AND(FIND('112'!$M$9,G1074,1)&gt;=1,$B1074&gt;='112'!$N$8,$B1074&lt;='112'!$O$8,OR($L1074='112'!$I$6,$M1074='112'!$I$6))),"x",""))</f>
        <v/>
      </c>
      <c r="S1074" s="39" t="str">
        <f>IF(ISERROR(FIND('112'!$M$9,G1074,1)),"",IF((AND(LEFT(G1074,2)=LEFT('112'!$M$9,2),B1074&lt;'112'!$N$8,$L1074='112'!$I$6)),"x",""))</f>
        <v/>
      </c>
      <c r="T1074" s="39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39" t="str">
        <f>IF(OR(TH!L1074=TH!$V$7,M1074=TH!$V$7),"x","")</f>
        <v/>
      </c>
      <c r="W1074" s="39" t="str">
        <f>IF(AND(B1074&gt;='IN-NX'!$P$3,B1074&lt;='IN-NX'!$Q$3,'IN-NX'!$D$7=D1074,OR(LEFT(L1074,2)="15",AND(LEFT(M1074,2)&lt;&gt;"15",LEFT(M1074,2)&lt;&gt;"33"))),"x","")</f>
        <v/>
      </c>
      <c r="X1074" s="39" t="str">
        <f>IF(AND(OR(LEFT(TH!L1074,2)="15",LEFT(TH!M1074,2)="15"),'152-CT'!$J$8=TH!F1074),"x","")</f>
        <v/>
      </c>
      <c r="Y1074" s="39" t="str">
        <f>IF(AND(OR(LEFT(TH!L1074,2)="15",LEFT(TH!M1074,2)="15"),TK!$E$7=TH!F1074),"x","")</f>
        <v/>
      </c>
      <c r="Z1074" s="39" t="str">
        <f>IF(AND(B1074&lt;=NKC!$N$8,B1074&gt;=NKC!$M$8),"x","")</f>
        <v/>
      </c>
      <c r="AA1074" s="894"/>
    </row>
    <row r="1075" spans="1:27" ht="15.75" customHeight="1">
      <c r="A1075" s="199" t="str">
        <f>IF(B1075&lt;&gt;"",IF(AND(B1075&gt;=_TM1,B1075&lt;=_TM2,OR(TH!L1075="1111",TH!M1075="1111")),TH!D1075,""),"")</f>
        <v/>
      </c>
      <c r="B1075" s="36" t="str">
        <f t="shared" si="42"/>
        <v/>
      </c>
      <c r="C1075" s="37"/>
      <c r="D1075" s="37"/>
      <c r="E1075" s="37"/>
      <c r="F1075" s="40"/>
      <c r="G1075" s="40"/>
      <c r="H1075" s="7"/>
      <c r="I1075" s="253"/>
      <c r="J1075" s="253"/>
      <c r="K1075" s="606"/>
      <c r="L1075" s="39"/>
      <c r="M1075" s="39"/>
      <c r="N1075" s="39" t="str">
        <f>IF(AND('331-CT'!$E$7=TH!H1075,OR(L1075="331",M1075="331")),"331",IF(AND(OR(L1075="131",M1075="131"),H1075='131-CT'!$E$7),"131",""))</f>
        <v/>
      </c>
      <c r="O1075" s="39" t="str">
        <f>IF(AND($B1075&gt;='111'!$N$11,$B1075&lt;='111'!$O$11,OR($L1075=$O$7,$M1075=$O$7)),"x","")</f>
        <v/>
      </c>
      <c r="P1075" s="39" t="str">
        <f>IF(AND($L1075=$O$7,$B1075&lt;'111'!$N$11),"x","")</f>
        <v/>
      </c>
      <c r="Q1075" s="39" t="str">
        <f>IF(AND($M1075=$O$7,$B1075&lt;'111'!$N$11),"x","")</f>
        <v/>
      </c>
      <c r="R1075" s="39" t="str">
        <f>IF(ISERROR(FIND('112'!$M$9,G1075,1)),"",IF((AND(FIND('112'!$M$9,G1075,1)&gt;=1,$B1075&gt;='112'!$N$8,$B1075&lt;='112'!$O$8,OR($L1075='112'!$I$6,$M1075='112'!$I$6))),"x",""))</f>
        <v/>
      </c>
      <c r="S1075" s="39" t="str">
        <f>IF(ISERROR(FIND('112'!$M$9,G1075,1)),"",IF((AND(LEFT(G1075,2)=LEFT('112'!$M$9,2),B1075&lt;'112'!$N$8,$L1075='112'!$I$6)),"x",""))</f>
        <v/>
      </c>
      <c r="T1075" s="39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39" t="str">
        <f>IF(OR(TH!L1075=TH!$V$7,M1075=TH!$V$7),"x","")</f>
        <v/>
      </c>
      <c r="W1075" s="39" t="str">
        <f>IF(AND(B1075&gt;='IN-NX'!$P$3,B1075&lt;='IN-NX'!$Q$3,'IN-NX'!$D$7=D1075,OR(LEFT(L1075,2)="15",AND(LEFT(M1075,2)&lt;&gt;"15",LEFT(M1075,2)&lt;&gt;"33"))),"x","")</f>
        <v/>
      </c>
      <c r="X1075" s="39" t="str">
        <f>IF(AND(OR(LEFT(TH!L1075,2)="15",LEFT(TH!M1075,2)="15"),'152-CT'!$J$8=TH!F1075),"x","")</f>
        <v/>
      </c>
      <c r="Y1075" s="39" t="str">
        <f>IF(AND(OR(LEFT(TH!L1075,2)="15",LEFT(TH!M1075,2)="15"),TK!$E$7=TH!F1075),"x","")</f>
        <v/>
      </c>
      <c r="Z1075" s="39" t="str">
        <f>IF(AND(B1075&lt;=NKC!$N$8,B1075&gt;=NKC!$M$8),"x","")</f>
        <v/>
      </c>
      <c r="AA1075" s="894"/>
    </row>
    <row r="1076" spans="1:27" ht="15.75" customHeight="1">
      <c r="A1076" s="199" t="str">
        <f>IF(B1076&lt;&gt;"",IF(AND(B1076&gt;=_TM1,B1076&lt;=_TM2,OR(TH!L1076="1111",TH!M1076="1111")),TH!D1076,""),"")</f>
        <v/>
      </c>
      <c r="B1076" s="36" t="str">
        <f t="shared" si="42"/>
        <v/>
      </c>
      <c r="C1076" s="37"/>
      <c r="D1076" s="37"/>
      <c r="E1076" s="37"/>
      <c r="F1076" s="191"/>
      <c r="G1076" s="40"/>
      <c r="H1076" s="7"/>
      <c r="I1076" s="253"/>
      <c r="J1076" s="253"/>
      <c r="K1076" s="606"/>
      <c r="L1076" s="39"/>
      <c r="M1076" s="39"/>
      <c r="N1076" s="39" t="str">
        <f>IF(AND('331-CT'!$E$7=TH!H1076,OR(L1076="331",M1076="331")),"331",IF(AND(OR(L1076="131",M1076="131"),H1076='131-CT'!$E$7),"131",""))</f>
        <v/>
      </c>
      <c r="O1076" s="39" t="str">
        <f>IF(AND($B1076&gt;='111'!$N$11,$B1076&lt;='111'!$O$11,OR($L1076=$O$7,$M1076=$O$7)),"x","")</f>
        <v/>
      </c>
      <c r="P1076" s="39" t="str">
        <f>IF(AND($L1076=$O$7,$B1076&lt;'111'!$N$11),"x","")</f>
        <v/>
      </c>
      <c r="Q1076" s="39" t="str">
        <f>IF(AND($M1076=$O$7,$B1076&lt;'111'!$N$11),"x","")</f>
        <v/>
      </c>
      <c r="R1076" s="39" t="str">
        <f>IF(ISERROR(FIND('112'!$M$9,G1076,1)),"",IF((AND(FIND('112'!$M$9,G1076,1)&gt;=1,$B1076&gt;='112'!$N$8,$B1076&lt;='112'!$O$8,OR($L1076='112'!$I$6,$M1076='112'!$I$6))),"x",""))</f>
        <v/>
      </c>
      <c r="S1076" s="39" t="str">
        <f>IF(ISERROR(FIND('112'!$M$9,G1076,1)),"",IF((AND(LEFT(G1076,2)=LEFT('112'!$M$9,2),B1076&lt;'112'!$N$8,$L1076='112'!$I$6)),"x",""))</f>
        <v/>
      </c>
      <c r="T1076" s="39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39" t="str">
        <f>IF(OR(TH!L1076=TH!$V$7,M1076=TH!$V$7),"x","")</f>
        <v/>
      </c>
      <c r="W1076" s="39" t="str">
        <f>IF(AND(B1076&gt;='IN-NX'!$P$3,B1076&lt;='IN-NX'!$Q$3,'IN-NX'!$D$7=D1076,OR(LEFT(L1076,2)="15",AND(LEFT(M1076,2)&lt;&gt;"15",LEFT(M1076,2)&lt;&gt;"33"))),"x","")</f>
        <v/>
      </c>
      <c r="X1076" s="39" t="str">
        <f>IF(AND(OR(LEFT(TH!L1076,2)="15",LEFT(TH!M1076,2)="15"),'152-CT'!$J$8=TH!F1076),"x","")</f>
        <v/>
      </c>
      <c r="Y1076" s="39" t="str">
        <f>IF(AND(OR(LEFT(TH!L1076,2)="15",LEFT(TH!M1076,2)="15"),TK!$E$7=TH!F1076),"x","")</f>
        <v/>
      </c>
      <c r="Z1076" s="39" t="str">
        <f>IF(AND(B1076&lt;=NKC!$N$8,B1076&gt;=NKC!$M$8),"x","")</f>
        <v/>
      </c>
      <c r="AA1076" s="894"/>
    </row>
    <row r="1077" spans="1:27" ht="15.75" customHeight="1">
      <c r="A1077" s="199" t="str">
        <f>IF(B1077&lt;&gt;"",IF(AND(B1077&gt;=_TM1,B1077&lt;=_TM2,OR(TH!L1077="1111",TH!M1077="1111")),TH!D1077,""),"")</f>
        <v/>
      </c>
      <c r="B1077" s="36" t="str">
        <f t="shared" si="42"/>
        <v/>
      </c>
      <c r="C1077" s="37"/>
      <c r="D1077" s="37"/>
      <c r="E1077" s="37"/>
      <c r="F1077" s="191"/>
      <c r="G1077" s="40"/>
      <c r="H1077" s="7"/>
      <c r="I1077" s="253"/>
      <c r="J1077" s="253"/>
      <c r="K1077" s="606"/>
      <c r="L1077" s="39"/>
      <c r="M1077" s="39"/>
      <c r="N1077" s="39" t="str">
        <f>IF(AND('331-CT'!$E$7=TH!H1077,OR(L1077="331",M1077="331")),"331",IF(AND(OR(L1077="131",M1077="131"),H1077='131-CT'!$E$7),"131",""))</f>
        <v/>
      </c>
      <c r="O1077" s="39" t="str">
        <f>IF(AND($B1077&gt;='111'!$N$11,$B1077&lt;='111'!$O$11,OR($L1077=$O$7,$M1077=$O$7)),"x","")</f>
        <v/>
      </c>
      <c r="P1077" s="39" t="str">
        <f>IF(AND($L1077=$O$7,$B1077&lt;'111'!$N$11),"x","")</f>
        <v/>
      </c>
      <c r="Q1077" s="39" t="str">
        <f>IF(AND($M1077=$O$7,$B1077&lt;'111'!$N$11),"x","")</f>
        <v/>
      </c>
      <c r="R1077" s="39" t="str">
        <f>IF(ISERROR(FIND('112'!$M$9,G1077,1)),"",IF((AND(FIND('112'!$M$9,G1077,1)&gt;=1,$B1077&gt;='112'!$N$8,$B1077&lt;='112'!$O$8,OR($L1077='112'!$I$6,$M1077='112'!$I$6))),"x",""))</f>
        <v/>
      </c>
      <c r="S1077" s="39" t="str">
        <f>IF(ISERROR(FIND('112'!$M$9,G1077,1)),"",IF((AND(LEFT(G1077,2)=LEFT('112'!$M$9,2),B1077&lt;'112'!$N$8,$L1077='112'!$I$6)),"x",""))</f>
        <v/>
      </c>
      <c r="T1077" s="39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39" t="str">
        <f>IF(OR(TH!L1077=TH!$V$7,M1077=TH!$V$7),"x","")</f>
        <v/>
      </c>
      <c r="W1077" s="39" t="str">
        <f>IF(AND(B1077&gt;='IN-NX'!$P$3,B1077&lt;='IN-NX'!$Q$3,'IN-NX'!$D$7=D1077,OR(LEFT(L1077,2)="15",AND(LEFT(M1077,2)&lt;&gt;"15",LEFT(M1077,2)&lt;&gt;"33"))),"x","")</f>
        <v/>
      </c>
      <c r="X1077" s="39" t="str">
        <f>IF(AND(OR(LEFT(TH!L1077,2)="15",LEFT(TH!M1077,2)="15"),'152-CT'!$J$8=TH!F1077),"x","")</f>
        <v/>
      </c>
      <c r="Y1077" s="39" t="str">
        <f>IF(AND(OR(LEFT(TH!L1077,2)="15",LEFT(TH!M1077,2)="15"),TK!$E$7=TH!F1077),"x","")</f>
        <v/>
      </c>
      <c r="Z1077" s="39" t="str">
        <f>IF(AND(B1077&lt;=NKC!$N$8,B1077&gt;=NKC!$M$8),"x","")</f>
        <v/>
      </c>
      <c r="AA1077" s="894"/>
    </row>
    <row r="1078" spans="1:27" ht="15.75" customHeight="1">
      <c r="A1078" s="199" t="str">
        <f>IF(B1078&lt;&gt;"",IF(AND(B1078&gt;=_TM1,B1078&lt;=_TM2,OR(TH!L1078="1111",TH!M1078="1111")),TH!D1078,""),"")</f>
        <v/>
      </c>
      <c r="B1078" s="36" t="str">
        <f t="shared" si="42"/>
        <v/>
      </c>
      <c r="C1078" s="37"/>
      <c r="D1078" s="37"/>
      <c r="E1078" s="37"/>
      <c r="F1078" s="191"/>
      <c r="G1078" s="40"/>
      <c r="H1078" s="7"/>
      <c r="I1078" s="253"/>
      <c r="J1078" s="253"/>
      <c r="K1078" s="606"/>
      <c r="L1078" s="39"/>
      <c r="M1078" s="39"/>
      <c r="N1078" s="39" t="str">
        <f>IF(AND('331-CT'!$E$7=TH!H1078,OR(L1078="331",M1078="331")),"331",IF(AND(OR(L1078="131",M1078="131"),H1078='131-CT'!$E$7),"131",""))</f>
        <v/>
      </c>
      <c r="O1078" s="39" t="str">
        <f>IF(AND($B1078&gt;='111'!$N$11,$B1078&lt;='111'!$O$11,OR($L1078=$O$7,$M1078=$O$7)),"x","")</f>
        <v/>
      </c>
      <c r="P1078" s="39" t="str">
        <f>IF(AND($L1078=$O$7,$B1078&lt;'111'!$N$11),"x","")</f>
        <v/>
      </c>
      <c r="Q1078" s="39" t="str">
        <f>IF(AND($M1078=$O$7,$B1078&lt;'111'!$N$11),"x","")</f>
        <v/>
      </c>
      <c r="R1078" s="39" t="str">
        <f>IF(ISERROR(FIND('112'!$M$9,G1078,1)),"",IF((AND(FIND('112'!$M$9,G1078,1)&gt;=1,$B1078&gt;='112'!$N$8,$B1078&lt;='112'!$O$8,OR($L1078='112'!$I$6,$M1078='112'!$I$6))),"x",""))</f>
        <v/>
      </c>
      <c r="S1078" s="39" t="str">
        <f>IF(ISERROR(FIND('112'!$M$9,G1078,1)),"",IF((AND(LEFT(G1078,2)=LEFT('112'!$M$9,2),B1078&lt;'112'!$N$8,$L1078='112'!$I$6)),"x",""))</f>
        <v/>
      </c>
      <c r="T1078" s="39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39" t="str">
        <f>IF(OR(TH!L1078=TH!$V$7,M1078=TH!$V$7),"x","")</f>
        <v/>
      </c>
      <c r="W1078" s="39" t="str">
        <f>IF(AND(B1078&gt;='IN-NX'!$P$3,B1078&lt;='IN-NX'!$Q$3,'IN-NX'!$D$7=D1078,OR(LEFT(L1078,2)="15",AND(LEFT(M1078,2)&lt;&gt;"15",LEFT(M1078,2)&lt;&gt;"33"))),"x","")</f>
        <v/>
      </c>
      <c r="X1078" s="39" t="str">
        <f>IF(AND(OR(LEFT(TH!L1078,2)="15",LEFT(TH!M1078,2)="15"),'152-CT'!$J$8=TH!F1078),"x","")</f>
        <v/>
      </c>
      <c r="Y1078" s="39" t="str">
        <f>IF(AND(OR(LEFT(TH!L1078,2)="15",LEFT(TH!M1078,2)="15"),TK!$E$7=TH!F1078),"x","")</f>
        <v/>
      </c>
      <c r="Z1078" s="39" t="str">
        <f>IF(AND(B1078&lt;=NKC!$N$8,B1078&gt;=NKC!$M$8),"x","")</f>
        <v/>
      </c>
      <c r="AA1078" s="894"/>
    </row>
    <row r="1079" spans="1:27" ht="15.75" customHeight="1">
      <c r="A1079" s="199" t="str">
        <f>IF(B1079&lt;&gt;"",IF(AND(B1079&gt;=_TM1,B1079&lt;=_TM2,OR(TH!L1079="1111",TH!M1079="1111")),TH!D1079,""),"")</f>
        <v/>
      </c>
      <c r="B1079" s="36" t="str">
        <f t="shared" si="42"/>
        <v/>
      </c>
      <c r="C1079" s="183"/>
      <c r="D1079" s="183"/>
      <c r="E1079" s="183"/>
      <c r="F1079" s="188"/>
      <c r="G1079" s="608"/>
      <c r="H1079" s="192"/>
      <c r="I1079" s="253"/>
      <c r="J1079" s="253"/>
      <c r="K1079" s="606"/>
      <c r="L1079" s="607"/>
      <c r="M1079" s="607"/>
      <c r="N1079" s="39" t="str">
        <f>IF(AND('331-CT'!$E$7=TH!H1079,OR(L1079="331",M1079="331")),"331",IF(AND(OR(L1079="131",M1079="131"),H1079='131-CT'!$E$7),"131",""))</f>
        <v/>
      </c>
      <c r="O1079" s="39" t="str">
        <f>IF(AND($B1079&gt;='111'!$N$11,$B1079&lt;='111'!$O$11,OR($L1079=$O$7,$M1079=$O$7)),"x","")</f>
        <v/>
      </c>
      <c r="P1079" s="39" t="str">
        <f>IF(AND($L1079=$O$7,$B1079&lt;'111'!$N$11),"x","")</f>
        <v/>
      </c>
      <c r="Q1079" s="39" t="str">
        <f>IF(AND($M1079=$O$7,$B1079&lt;'111'!$N$11),"x","")</f>
        <v/>
      </c>
      <c r="R1079" s="39" t="str">
        <f>IF(ISERROR(FIND('112'!$M$9,G1079,1)),"",IF((AND(FIND('112'!$M$9,G1079,1)&gt;=1,$B1079&gt;='112'!$N$8,$B1079&lt;='112'!$O$8,OR($L1079='112'!$I$6,$M1079='112'!$I$6))),"x",""))</f>
        <v/>
      </c>
      <c r="S1079" s="39" t="str">
        <f>IF(ISERROR(FIND('112'!$M$9,G1079,1)),"",IF((AND(LEFT(G1079,2)=LEFT('112'!$M$9,2),B1079&lt;'112'!$N$8,$L1079='112'!$I$6)),"x",""))</f>
        <v/>
      </c>
      <c r="T1079" s="39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39" t="str">
        <f>IF(OR(TH!L1079=TH!$V$7,M1079=TH!$V$7),"x","")</f>
        <v/>
      </c>
      <c r="W1079" s="39" t="str">
        <f>IF(AND(B1079&gt;='IN-NX'!$P$3,B1079&lt;='IN-NX'!$Q$3,'IN-NX'!$D$7=D1079,OR(LEFT(L1079,2)="15",AND(LEFT(M1079,2)&lt;&gt;"15",LEFT(M1079,2)&lt;&gt;"33"))),"x","")</f>
        <v/>
      </c>
      <c r="X1079" s="39" t="str">
        <f>IF(AND(OR(LEFT(TH!L1079,2)="15",LEFT(TH!M1079,2)="15"),'152-CT'!$J$8=TH!F1079),"x","")</f>
        <v/>
      </c>
      <c r="Y1079" s="39" t="str">
        <f>IF(AND(OR(LEFT(TH!L1079,2)="15",LEFT(TH!M1079,2)="15"),TK!$E$7=TH!F1079),"x","")</f>
        <v/>
      </c>
      <c r="Z1079" s="39" t="str">
        <f>IF(AND(B1079&lt;=NKC!$N$8,B1079&gt;=NKC!$M$8),"x","")</f>
        <v/>
      </c>
      <c r="AA1079" s="894"/>
    </row>
    <row r="1080" spans="1:27" ht="15.75" customHeight="1">
      <c r="A1080" s="199" t="str">
        <f>IF(B1080&lt;&gt;"",IF(AND(B1080&gt;=_TM1,B1080&lt;=_TM2,OR(TH!L1080="1111",TH!M1080="1111")),TH!D1080,""),"")</f>
        <v/>
      </c>
      <c r="B1080" s="36" t="str">
        <f t="shared" si="42"/>
        <v/>
      </c>
      <c r="C1080" s="190"/>
      <c r="D1080" s="190"/>
      <c r="E1080" s="190"/>
      <c r="F1080" s="191"/>
      <c r="G1080" s="491"/>
      <c r="H1080" s="192"/>
      <c r="I1080" s="253"/>
      <c r="J1080" s="253"/>
      <c r="K1080" s="606"/>
      <c r="L1080" s="193"/>
      <c r="M1080" s="193"/>
      <c r="N1080" s="39" t="str">
        <f>IF(AND('331-CT'!$E$7=TH!H1080,OR(L1080="331",M1080="331")),"331",IF(AND(OR(L1080="131",M1080="131"),H1080='131-CT'!$E$7),"131",""))</f>
        <v/>
      </c>
      <c r="O1080" s="39" t="str">
        <f>IF(AND($B1080&gt;='111'!$N$11,$B1080&lt;='111'!$O$11,OR($L1080=$O$7,$M1080=$O$7)),"x","")</f>
        <v/>
      </c>
      <c r="P1080" s="39" t="str">
        <f>IF(AND($L1080=$O$7,$B1080&lt;'111'!$N$11),"x","")</f>
        <v/>
      </c>
      <c r="Q1080" s="39" t="str">
        <f>IF(AND($M1080=$O$7,$B1080&lt;'111'!$N$11),"x","")</f>
        <v/>
      </c>
      <c r="R1080" s="39" t="str">
        <f>IF(ISERROR(FIND('112'!$M$9,G1080,1)),"",IF((AND(FIND('112'!$M$9,G1080,1)&gt;=1,$B1080&gt;='112'!$N$8,$B1080&lt;='112'!$O$8,OR($L1080='112'!$I$6,$M1080='112'!$I$6))),"x",""))</f>
        <v/>
      </c>
      <c r="S1080" s="39" t="str">
        <f>IF(ISERROR(FIND('112'!$M$9,G1080,1)),"",IF((AND(LEFT(G1080,2)=LEFT('112'!$M$9,2),B1080&lt;'112'!$N$8,$L1080='112'!$I$6)),"x",""))</f>
        <v/>
      </c>
      <c r="T1080" s="39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39" t="str">
        <f>IF(OR(TH!L1080=TH!$V$7,M1080=TH!$V$7),"x","")</f>
        <v/>
      </c>
      <c r="W1080" s="39" t="str">
        <f>IF(AND(B1080&gt;='IN-NX'!$P$3,B1080&lt;='IN-NX'!$Q$3,'IN-NX'!$D$7=D1080,OR(LEFT(L1080,2)="15",AND(LEFT(M1080,2)&lt;&gt;"15",LEFT(M1080,2)&lt;&gt;"33"))),"x","")</f>
        <v/>
      </c>
      <c r="X1080" s="39" t="str">
        <f>IF(AND(OR(LEFT(TH!L1080,2)="15",LEFT(TH!M1080,2)="15"),'152-CT'!$J$8=TH!F1080),"x","")</f>
        <v/>
      </c>
      <c r="Y1080" s="39" t="str">
        <f>IF(AND(OR(LEFT(TH!L1080,2)="15",LEFT(TH!M1080,2)="15"),TK!$E$7=TH!F1080),"x","")</f>
        <v/>
      </c>
      <c r="Z1080" s="39" t="str">
        <f>IF(AND(B1080&lt;=NKC!$N$8,B1080&gt;=NKC!$M$8),"x","")</f>
        <v/>
      </c>
      <c r="AA1080" s="894"/>
    </row>
    <row r="1081" spans="1:27" ht="15.75" customHeight="1">
      <c r="A1081" s="199" t="str">
        <f>IF(B1081&lt;&gt;"",IF(AND(B1081&gt;=_TM1,B1081&lt;=_TM2,OR(TH!L1081="1111",TH!M1081="1111")),TH!D1081,""),"")</f>
        <v/>
      </c>
      <c r="B1081" s="36" t="str">
        <f t="shared" si="42"/>
        <v/>
      </c>
      <c r="C1081" s="190"/>
      <c r="D1081" s="190"/>
      <c r="E1081" s="190"/>
      <c r="F1081" s="191"/>
      <c r="G1081" s="491"/>
      <c r="H1081" s="192"/>
      <c r="I1081" s="253"/>
      <c r="J1081" s="253"/>
      <c r="K1081" s="606"/>
      <c r="L1081" s="193"/>
      <c r="M1081" s="193"/>
      <c r="N1081" s="39" t="str">
        <f>IF(AND('331-CT'!$E$7=TH!H1081,OR(L1081="331",M1081="331")),"331",IF(AND(OR(L1081="131",M1081="131"),H1081='131-CT'!$E$7),"131",""))</f>
        <v/>
      </c>
      <c r="O1081" s="39" t="str">
        <f>IF(AND($B1081&gt;='111'!$N$11,$B1081&lt;='111'!$O$11,OR($L1081=$O$7,$M1081=$O$7)),"x","")</f>
        <v/>
      </c>
      <c r="P1081" s="39" t="str">
        <f>IF(AND($L1081=$O$7,$B1081&lt;'111'!$N$11),"x","")</f>
        <v/>
      </c>
      <c r="Q1081" s="39" t="str">
        <f>IF(AND($M1081=$O$7,$B1081&lt;'111'!$N$11),"x","")</f>
        <v/>
      </c>
      <c r="R1081" s="39" t="str">
        <f>IF(ISERROR(FIND('112'!$M$9,G1081,1)),"",IF((AND(FIND('112'!$M$9,G1081,1)&gt;=1,$B1081&gt;='112'!$N$8,$B1081&lt;='112'!$O$8,OR($L1081='112'!$I$6,$M1081='112'!$I$6))),"x",""))</f>
        <v/>
      </c>
      <c r="S1081" s="39" t="str">
        <f>IF(ISERROR(FIND('112'!$M$9,G1081,1)),"",IF((AND(LEFT(G1081,2)=LEFT('112'!$M$9,2),B1081&lt;'112'!$N$8,$L1081='112'!$I$6)),"x",""))</f>
        <v/>
      </c>
      <c r="T1081" s="39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39" t="str">
        <f>IF(OR(TH!L1081=TH!$V$7,M1081=TH!$V$7),"x","")</f>
        <v/>
      </c>
      <c r="W1081" s="39" t="str">
        <f>IF(AND(B1081&gt;='IN-NX'!$P$3,B1081&lt;='IN-NX'!$Q$3,'IN-NX'!$D$7=D1081,OR(LEFT(L1081,2)="15",AND(LEFT(M1081,2)&lt;&gt;"15",LEFT(M1081,2)&lt;&gt;"33"))),"x","")</f>
        <v/>
      </c>
      <c r="X1081" s="39" t="str">
        <f>IF(AND(OR(LEFT(TH!L1081,2)="15",LEFT(TH!M1081,2)="15"),'152-CT'!$J$8=TH!F1081),"x","")</f>
        <v/>
      </c>
      <c r="Y1081" s="39" t="str">
        <f>IF(AND(OR(LEFT(TH!L1081,2)="15",LEFT(TH!M1081,2)="15"),TK!$E$7=TH!F1081),"x","")</f>
        <v/>
      </c>
      <c r="Z1081" s="39" t="str">
        <f>IF(AND(B1081&lt;=NKC!$N$8,B1081&gt;=NKC!$M$8),"x","")</f>
        <v/>
      </c>
      <c r="AA1081" s="894"/>
    </row>
    <row r="1082" spans="1:27" ht="15.75" customHeight="1">
      <c r="A1082" s="199" t="str">
        <f>IF(B1082&lt;&gt;"",IF(AND(B1082&gt;=_TM1,B1082&lt;=_TM2,OR(TH!L1082="1111",TH!M1082="1111")),TH!D1082,""),"")</f>
        <v/>
      </c>
      <c r="B1082" s="36" t="str">
        <f t="shared" si="42"/>
        <v/>
      </c>
      <c r="C1082" s="190"/>
      <c r="D1082" s="190"/>
      <c r="E1082" s="190"/>
      <c r="F1082" s="191"/>
      <c r="G1082" s="491"/>
      <c r="H1082" s="192"/>
      <c r="I1082" s="253"/>
      <c r="J1082" s="253"/>
      <c r="K1082" s="606"/>
      <c r="L1082" s="193"/>
      <c r="M1082" s="193"/>
      <c r="N1082" s="39" t="str">
        <f>IF(AND('331-CT'!$E$7=TH!H1082,OR(L1082="331",M1082="331")),"331",IF(AND(OR(L1082="131",M1082="131"),H1082='131-CT'!$E$7),"131",""))</f>
        <v/>
      </c>
      <c r="O1082" s="39" t="str">
        <f>IF(AND($B1082&gt;='111'!$N$11,$B1082&lt;='111'!$O$11,OR($L1082=$O$7,$M1082=$O$7)),"x","")</f>
        <v/>
      </c>
      <c r="P1082" s="39" t="str">
        <f>IF(AND($L1082=$O$7,$B1082&lt;'111'!$N$11),"x","")</f>
        <v/>
      </c>
      <c r="Q1082" s="39" t="str">
        <f>IF(AND($M1082=$O$7,$B1082&lt;'111'!$N$11),"x","")</f>
        <v/>
      </c>
      <c r="R1082" s="39" t="str">
        <f>IF(ISERROR(FIND('112'!$M$9,G1082,1)),"",IF((AND(FIND('112'!$M$9,G1082,1)&gt;=1,$B1082&gt;='112'!$N$8,$B1082&lt;='112'!$O$8,OR($L1082='112'!$I$6,$M1082='112'!$I$6))),"x",""))</f>
        <v/>
      </c>
      <c r="S1082" s="39" t="str">
        <f>IF(ISERROR(FIND('112'!$M$9,G1082,1)),"",IF((AND(LEFT(G1082,2)=LEFT('112'!$M$9,2),B1082&lt;'112'!$N$8,$L1082='112'!$I$6)),"x",""))</f>
        <v/>
      </c>
      <c r="T1082" s="39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39" t="str">
        <f>IF(OR(TH!L1082=TH!$V$7,M1082=TH!$V$7),"x","")</f>
        <v/>
      </c>
      <c r="W1082" s="39" t="str">
        <f>IF(AND(B1082&gt;='IN-NX'!$P$3,B1082&lt;='IN-NX'!$Q$3,'IN-NX'!$D$7=D1082,OR(LEFT(L1082,2)="15",AND(LEFT(M1082,2)&lt;&gt;"15",LEFT(M1082,2)&lt;&gt;"33"))),"x","")</f>
        <v/>
      </c>
      <c r="X1082" s="39" t="str">
        <f>IF(AND(OR(LEFT(TH!L1082,2)="15",LEFT(TH!M1082,2)="15"),'152-CT'!$J$8=TH!F1082),"x","")</f>
        <v/>
      </c>
      <c r="Y1082" s="39" t="str">
        <f>IF(AND(OR(LEFT(TH!L1082,2)="15",LEFT(TH!M1082,2)="15"),TK!$E$7=TH!F1082),"x","")</f>
        <v/>
      </c>
      <c r="Z1082" s="39" t="str">
        <f>IF(AND(B1082&lt;=NKC!$N$8,B1082&gt;=NKC!$M$8),"x","")</f>
        <v/>
      </c>
      <c r="AA1082" s="894"/>
    </row>
    <row r="1083" spans="1:27" ht="15.75" customHeight="1">
      <c r="A1083" s="199" t="str">
        <f>IF(B1083&lt;&gt;"",IF(AND(B1083&gt;=_TM1,B1083&lt;=_TM2,OR(TH!L1083="1111",TH!M1083="1111")),TH!D1083,""),"")</f>
        <v/>
      </c>
      <c r="B1083" s="36" t="str">
        <f t="shared" si="42"/>
        <v/>
      </c>
      <c r="C1083" s="190"/>
      <c r="D1083" s="190"/>
      <c r="E1083" s="190"/>
      <c r="F1083" s="191"/>
      <c r="G1083" s="491"/>
      <c r="H1083" s="192"/>
      <c r="I1083" s="253"/>
      <c r="J1083" s="253"/>
      <c r="K1083" s="606"/>
      <c r="L1083" s="193"/>
      <c r="M1083" s="193"/>
      <c r="N1083" s="39" t="str">
        <f>IF(AND('331-CT'!$E$7=TH!H1083,OR(L1083="331",M1083="331")),"331",IF(AND(OR(L1083="131",M1083="131"),H1083='131-CT'!$E$7),"131",""))</f>
        <v/>
      </c>
      <c r="O1083" s="39" t="str">
        <f>IF(AND($B1083&gt;='111'!$N$11,$B1083&lt;='111'!$O$11,OR($L1083=$O$7,$M1083=$O$7)),"x","")</f>
        <v/>
      </c>
      <c r="P1083" s="39" t="str">
        <f>IF(AND($L1083=$O$7,$B1083&lt;'111'!$N$11),"x","")</f>
        <v/>
      </c>
      <c r="Q1083" s="39" t="str">
        <f>IF(AND($M1083=$O$7,$B1083&lt;'111'!$N$11),"x","")</f>
        <v/>
      </c>
      <c r="R1083" s="39" t="str">
        <f>IF(ISERROR(FIND('112'!$M$9,G1083,1)),"",IF((AND(FIND('112'!$M$9,G1083,1)&gt;=1,$B1083&gt;='112'!$N$8,$B1083&lt;='112'!$O$8,OR($L1083='112'!$I$6,$M1083='112'!$I$6))),"x",""))</f>
        <v/>
      </c>
      <c r="S1083" s="39" t="str">
        <f>IF(ISERROR(FIND('112'!$M$9,G1083,1)),"",IF((AND(LEFT(G1083,2)=LEFT('112'!$M$9,2),B1083&lt;'112'!$N$8,$L1083='112'!$I$6)),"x",""))</f>
        <v/>
      </c>
      <c r="T1083" s="39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39" t="str">
        <f>IF(OR(TH!L1083=TH!$V$7,M1083=TH!$V$7),"x","")</f>
        <v/>
      </c>
      <c r="W1083" s="39" t="str">
        <f>IF(AND(B1083&gt;='IN-NX'!$P$3,B1083&lt;='IN-NX'!$Q$3,'IN-NX'!$D$7=D1083,OR(LEFT(L1083,2)="15",AND(LEFT(M1083,2)&lt;&gt;"15",LEFT(M1083,2)&lt;&gt;"33"))),"x","")</f>
        <v/>
      </c>
      <c r="X1083" s="39" t="str">
        <f>IF(AND(OR(LEFT(TH!L1083,2)="15",LEFT(TH!M1083,2)="15"),'152-CT'!$J$8=TH!F1083),"x","")</f>
        <v/>
      </c>
      <c r="Y1083" s="39" t="str">
        <f>IF(AND(OR(LEFT(TH!L1083,2)="15",LEFT(TH!M1083,2)="15"),TK!$E$7=TH!F1083),"x","")</f>
        <v/>
      </c>
      <c r="Z1083" s="39" t="str">
        <f>IF(AND(B1083&lt;=NKC!$N$8,B1083&gt;=NKC!$M$8),"x","")</f>
        <v/>
      </c>
      <c r="AA1083" s="894"/>
    </row>
    <row r="1084" spans="1:27" ht="15.75" customHeight="1">
      <c r="A1084" s="199" t="str">
        <f>IF(B1084&lt;&gt;"",IF(AND(B1084&gt;=_TM1,B1084&lt;=_TM2,OR(TH!L1084="1111",TH!M1084="1111")),TH!D1084,""),"")</f>
        <v/>
      </c>
      <c r="B1084" s="36" t="str">
        <f t="shared" si="42"/>
        <v/>
      </c>
      <c r="C1084" s="190"/>
      <c r="D1084" s="190"/>
      <c r="E1084" s="190"/>
      <c r="F1084" s="191"/>
      <c r="G1084" s="491"/>
      <c r="H1084" s="192"/>
      <c r="I1084" s="253"/>
      <c r="J1084" s="253"/>
      <c r="K1084" s="606"/>
      <c r="L1084" s="193"/>
      <c r="M1084" s="193"/>
      <c r="N1084" s="39" t="str">
        <f>IF(AND('331-CT'!$E$7=TH!H1084,OR(L1084="331",M1084="331")),"331",IF(AND(OR(L1084="131",M1084="131"),H1084='131-CT'!$E$7),"131",""))</f>
        <v/>
      </c>
      <c r="O1084" s="39" t="str">
        <f>IF(AND($B1084&gt;='111'!$N$11,$B1084&lt;='111'!$O$11,OR($L1084=$O$7,$M1084=$O$7)),"x","")</f>
        <v/>
      </c>
      <c r="P1084" s="39" t="str">
        <f>IF(AND($L1084=$O$7,$B1084&lt;'111'!$N$11),"x","")</f>
        <v/>
      </c>
      <c r="Q1084" s="39" t="str">
        <f>IF(AND($M1084=$O$7,$B1084&lt;'111'!$N$11),"x","")</f>
        <v/>
      </c>
      <c r="R1084" s="39" t="str">
        <f>IF(ISERROR(FIND('112'!$M$9,G1084,1)),"",IF((AND(FIND('112'!$M$9,G1084,1)&gt;=1,$B1084&gt;='112'!$N$8,$B1084&lt;='112'!$O$8,OR($L1084='112'!$I$6,$M1084='112'!$I$6))),"x",""))</f>
        <v/>
      </c>
      <c r="S1084" s="39" t="str">
        <f>IF(ISERROR(FIND('112'!$M$9,G1084,1)),"",IF((AND(LEFT(G1084,2)=LEFT('112'!$M$9,2),B1084&lt;'112'!$N$8,$L1084='112'!$I$6)),"x",""))</f>
        <v/>
      </c>
      <c r="T1084" s="39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39" t="str">
        <f>IF(OR(TH!L1084=TH!$V$7,M1084=TH!$V$7),"x","")</f>
        <v/>
      </c>
      <c r="W1084" s="39" t="str">
        <f>IF(AND(B1084&gt;='IN-NX'!$P$3,B1084&lt;='IN-NX'!$Q$3,'IN-NX'!$D$7=D1084,OR(LEFT(L1084,2)="15",AND(LEFT(M1084,2)&lt;&gt;"15",LEFT(M1084,2)&lt;&gt;"33"))),"x","")</f>
        <v/>
      </c>
      <c r="X1084" s="39" t="str">
        <f>IF(AND(OR(LEFT(TH!L1084,2)="15",LEFT(TH!M1084,2)="15"),'152-CT'!$J$8=TH!F1084),"x","")</f>
        <v/>
      </c>
      <c r="Y1084" s="39" t="str">
        <f>IF(AND(OR(LEFT(TH!L1084,2)="15",LEFT(TH!M1084,2)="15"),TK!$E$7=TH!F1084),"x","")</f>
        <v/>
      </c>
      <c r="Z1084" s="39" t="str">
        <f>IF(AND(B1084&lt;=NKC!$N$8,B1084&gt;=NKC!$M$8),"x","")</f>
        <v/>
      </c>
      <c r="AA1084" s="894"/>
    </row>
    <row r="1085" spans="1:27" ht="15.75" customHeight="1">
      <c r="A1085" s="199" t="str">
        <f>IF(B1085&lt;&gt;"",IF(AND(B1085&gt;=_TM1,B1085&lt;=_TM2,OR(TH!L1085="1111",TH!M1085="1111")),TH!D1085,""),"")</f>
        <v/>
      </c>
      <c r="B1085" s="36" t="str">
        <f t="shared" si="42"/>
        <v/>
      </c>
      <c r="C1085" s="190"/>
      <c r="D1085" s="190"/>
      <c r="E1085" s="190"/>
      <c r="F1085" s="191"/>
      <c r="G1085" s="491"/>
      <c r="H1085" s="192"/>
      <c r="I1085" s="254"/>
      <c r="J1085" s="254"/>
      <c r="K1085" s="606"/>
      <c r="L1085" s="193"/>
      <c r="M1085" s="193"/>
      <c r="N1085" s="39" t="str">
        <f>IF(AND('331-CT'!$E$7=TH!H1085,OR(L1085="331",M1085="331")),"331",IF(AND(OR(L1085="131",M1085="131"),H1085='131-CT'!$E$7),"131",""))</f>
        <v/>
      </c>
      <c r="O1085" s="39" t="str">
        <f>IF(AND($B1085&gt;='111'!$N$11,$B1085&lt;='111'!$O$11,OR($L1085=$O$7,$M1085=$O$7)),"x","")</f>
        <v/>
      </c>
      <c r="P1085" s="39" t="str">
        <f>IF(AND($L1085=$O$7,$B1085&lt;'111'!$N$11),"x","")</f>
        <v/>
      </c>
      <c r="Q1085" s="39" t="str">
        <f>IF(AND($M1085=$O$7,$B1085&lt;'111'!$N$11),"x","")</f>
        <v/>
      </c>
      <c r="R1085" s="39" t="str">
        <f>IF(ISERROR(FIND('112'!$M$9,G1085,1)),"",IF((AND(FIND('112'!$M$9,G1085,1)&gt;=1,$B1085&gt;='112'!$N$8,$B1085&lt;='112'!$O$8,OR($L1085='112'!$I$6,$M1085='112'!$I$6))),"x",""))</f>
        <v/>
      </c>
      <c r="S1085" s="39" t="str">
        <f>IF(ISERROR(FIND('112'!$M$9,G1085,1)),"",IF((AND(LEFT(G1085,2)=LEFT('112'!$M$9,2),B1085&lt;'112'!$N$8,$L1085='112'!$I$6)),"x",""))</f>
        <v/>
      </c>
      <c r="T1085" s="39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39" t="str">
        <f>IF(OR(TH!L1085=TH!$V$7,M1085=TH!$V$7),"x","")</f>
        <v/>
      </c>
      <c r="W1085" s="39" t="str">
        <f>IF(AND(B1085&gt;='IN-NX'!$P$3,B1085&lt;='IN-NX'!$Q$3,'IN-NX'!$D$7=D1085,OR(LEFT(L1085,2)="15",AND(LEFT(M1085,2)&lt;&gt;"15",LEFT(M1085,2)&lt;&gt;"33"))),"x","")</f>
        <v/>
      </c>
      <c r="X1085" s="39" t="str">
        <f>IF(AND(OR(LEFT(TH!L1085,2)="15",LEFT(TH!M1085,2)="15"),'152-CT'!$J$8=TH!F1085),"x","")</f>
        <v/>
      </c>
      <c r="Y1085" s="39" t="str">
        <f>IF(AND(OR(LEFT(TH!L1085,2)="15",LEFT(TH!M1085,2)="15"),TK!$E$7=TH!F1085),"x","")</f>
        <v/>
      </c>
      <c r="Z1085" s="39" t="str">
        <f>IF(AND(B1085&lt;=NKC!$N$8,B1085&gt;=NKC!$M$8),"x","")</f>
        <v/>
      </c>
      <c r="AA1085" s="894"/>
    </row>
    <row r="1086" spans="1:27" ht="15.75" customHeight="1">
      <c r="A1086" s="199" t="str">
        <f>IF(B1086&lt;&gt;"",IF(AND(B1086&gt;=_TM1,B1086&lt;=_TM2,OR(TH!L1086="1111",TH!M1086="1111")),TH!D1086,""),"")</f>
        <v/>
      </c>
      <c r="B1086" s="36" t="str">
        <f t="shared" si="42"/>
        <v/>
      </c>
      <c r="C1086" s="190"/>
      <c r="D1086" s="190"/>
      <c r="E1086" s="190"/>
      <c r="F1086" s="191"/>
      <c r="G1086" s="491"/>
      <c r="H1086" s="192"/>
      <c r="I1086" s="253"/>
      <c r="J1086" s="253"/>
      <c r="K1086" s="606"/>
      <c r="L1086" s="193"/>
      <c r="M1086" s="193"/>
      <c r="N1086" s="39" t="str">
        <f>IF(AND('331-CT'!$E$7=TH!H1086,OR(L1086="331",M1086="331")),"331",IF(AND(OR(L1086="131",M1086="131"),H1086='131-CT'!$E$7),"131",""))</f>
        <v/>
      </c>
      <c r="O1086" s="39" t="str">
        <f>IF(AND($B1086&gt;='111'!$N$11,$B1086&lt;='111'!$O$11,OR($L1086=$O$7,$M1086=$O$7)),"x","")</f>
        <v/>
      </c>
      <c r="P1086" s="39" t="str">
        <f>IF(AND($L1086=$O$7,$B1086&lt;'111'!$N$11),"x","")</f>
        <v/>
      </c>
      <c r="Q1086" s="39" t="str">
        <f>IF(AND($M1086=$O$7,$B1086&lt;'111'!$N$11),"x","")</f>
        <v/>
      </c>
      <c r="R1086" s="39" t="str">
        <f>IF(ISERROR(FIND('112'!$M$9,G1086,1)),"",IF((AND(FIND('112'!$M$9,G1086,1)&gt;=1,$B1086&gt;='112'!$N$8,$B1086&lt;='112'!$O$8,OR($L1086='112'!$I$6,$M1086='112'!$I$6))),"x",""))</f>
        <v/>
      </c>
      <c r="S1086" s="39" t="str">
        <f>IF(ISERROR(FIND('112'!$M$9,G1086,1)),"",IF((AND(LEFT(G1086,2)=LEFT('112'!$M$9,2),B1086&lt;'112'!$N$8,$L1086='112'!$I$6)),"x",""))</f>
        <v/>
      </c>
      <c r="T1086" s="39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39" t="str">
        <f>IF(OR(TH!L1086=TH!$V$7,M1086=TH!$V$7),"x","")</f>
        <v/>
      </c>
      <c r="W1086" s="39" t="str">
        <f>IF(AND(B1086&gt;='IN-NX'!$P$3,B1086&lt;='IN-NX'!$Q$3,'IN-NX'!$D$7=D1086,OR(LEFT(L1086,2)="15",AND(LEFT(M1086,2)&lt;&gt;"15",LEFT(M1086,2)&lt;&gt;"33"))),"x","")</f>
        <v/>
      </c>
      <c r="X1086" s="39" t="str">
        <f>IF(AND(OR(LEFT(TH!L1086,2)="15",LEFT(TH!M1086,2)="15"),'152-CT'!$J$8=TH!F1086),"x","")</f>
        <v/>
      </c>
      <c r="Y1086" s="39" t="str">
        <f>IF(AND(OR(LEFT(TH!L1086,2)="15",LEFT(TH!M1086,2)="15"),TK!$E$7=TH!F1086),"x","")</f>
        <v/>
      </c>
      <c r="Z1086" s="39" t="str">
        <f>IF(AND(B1086&lt;=NKC!$N$8,B1086&gt;=NKC!$M$8),"x","")</f>
        <v/>
      </c>
      <c r="AA1086" s="894"/>
    </row>
    <row r="1087" spans="1:27" ht="15.75" customHeight="1">
      <c r="A1087" s="199" t="str">
        <f>IF(B1087&lt;&gt;"",IF(AND(B1087&gt;=_TM1,B1087&lt;=_TM2,OR(TH!L1087="1111",TH!M1087="1111")),TH!D1087,""),"")</f>
        <v/>
      </c>
      <c r="B1087" s="36" t="str">
        <f t="shared" si="42"/>
        <v/>
      </c>
      <c r="C1087" s="190"/>
      <c r="D1087" s="190"/>
      <c r="E1087" s="190"/>
      <c r="F1087" s="191"/>
      <c r="G1087" s="491"/>
      <c r="H1087" s="192"/>
      <c r="I1087" s="253"/>
      <c r="J1087" s="253"/>
      <c r="K1087" s="606"/>
      <c r="L1087" s="193"/>
      <c r="M1087" s="193"/>
      <c r="N1087" s="39" t="str">
        <f>IF(AND('331-CT'!$E$7=TH!H1087,OR(L1087="331",M1087="331")),"331",IF(AND(OR(L1087="131",M1087="131"),H1087='131-CT'!$E$7),"131",""))</f>
        <v/>
      </c>
      <c r="O1087" s="39" t="str">
        <f>IF(AND($B1087&gt;='111'!$N$11,$B1087&lt;='111'!$O$11,OR($L1087=$O$7,$M1087=$O$7)),"x","")</f>
        <v/>
      </c>
      <c r="P1087" s="39" t="str">
        <f>IF(AND($L1087=$O$7,$B1087&lt;'111'!$N$11),"x","")</f>
        <v/>
      </c>
      <c r="Q1087" s="39" t="str">
        <f>IF(AND($M1087=$O$7,$B1087&lt;'111'!$N$11),"x","")</f>
        <v/>
      </c>
      <c r="R1087" s="39" t="str">
        <f>IF(ISERROR(FIND('112'!$M$9,G1087,1)),"",IF((AND(FIND('112'!$M$9,G1087,1)&gt;=1,$B1087&gt;='112'!$N$8,$B1087&lt;='112'!$O$8,OR($L1087='112'!$I$6,$M1087='112'!$I$6))),"x",""))</f>
        <v/>
      </c>
      <c r="S1087" s="39" t="str">
        <f>IF(ISERROR(FIND('112'!$M$9,G1087,1)),"",IF((AND(LEFT(G1087,2)=LEFT('112'!$M$9,2),B1087&lt;'112'!$N$8,$L1087='112'!$I$6)),"x",""))</f>
        <v/>
      </c>
      <c r="T1087" s="39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39" t="str">
        <f>IF(OR(TH!L1087=TH!$V$7,M1087=TH!$V$7),"x","")</f>
        <v/>
      </c>
      <c r="W1087" s="39" t="str">
        <f>IF(AND(B1087&gt;='IN-NX'!$P$3,B1087&lt;='IN-NX'!$Q$3,'IN-NX'!$D$7=D1087,OR(LEFT(L1087,2)="15",AND(LEFT(M1087,2)&lt;&gt;"15",LEFT(M1087,2)&lt;&gt;"33"))),"x","")</f>
        <v/>
      </c>
      <c r="X1087" s="39" t="str">
        <f>IF(AND(OR(LEFT(TH!L1087,2)="15",LEFT(TH!M1087,2)="15"),'152-CT'!$J$8=TH!F1087),"x","")</f>
        <v/>
      </c>
      <c r="Y1087" s="39" t="str">
        <f>IF(AND(OR(LEFT(TH!L1087,2)="15",LEFT(TH!M1087,2)="15"),TK!$E$7=TH!F1087),"x","")</f>
        <v/>
      </c>
      <c r="Z1087" s="39" t="str">
        <f>IF(AND(B1087&lt;=NKC!$N$8,B1087&gt;=NKC!$M$8),"x","")</f>
        <v/>
      </c>
      <c r="AA1087" s="894"/>
    </row>
    <row r="1088" spans="1:27" ht="15.75" customHeight="1">
      <c r="A1088" s="199" t="str">
        <f>IF(B1088&lt;&gt;"",IF(AND(B1088&gt;=_TM1,B1088&lt;=_TM2,OR(TH!L1088="1111",TH!M1088="1111")),TH!D1088,""),"")</f>
        <v/>
      </c>
      <c r="B1088" s="36" t="str">
        <f t="shared" si="42"/>
        <v/>
      </c>
      <c r="C1088" s="190"/>
      <c r="D1088" s="190"/>
      <c r="E1088" s="190"/>
      <c r="F1088" s="191"/>
      <c r="G1088" s="491"/>
      <c r="H1088" s="192"/>
      <c r="I1088" s="253"/>
      <c r="J1088" s="253"/>
      <c r="K1088" s="606"/>
      <c r="L1088" s="193"/>
      <c r="M1088" s="193"/>
      <c r="N1088" s="39" t="str">
        <f>IF(AND('331-CT'!$E$7=TH!H1088,OR(L1088="331",M1088="331")),"331",IF(AND(OR(L1088="131",M1088="131"),H1088='131-CT'!$E$7),"131",""))</f>
        <v/>
      </c>
      <c r="O1088" s="39" t="str">
        <f>IF(AND($B1088&gt;='111'!$N$11,$B1088&lt;='111'!$O$11,OR($L1088=$O$7,$M1088=$O$7)),"x","")</f>
        <v/>
      </c>
      <c r="P1088" s="39" t="str">
        <f>IF(AND($L1088=$O$7,$B1088&lt;'111'!$N$11),"x","")</f>
        <v/>
      </c>
      <c r="Q1088" s="39" t="str">
        <f>IF(AND($M1088=$O$7,$B1088&lt;'111'!$N$11),"x","")</f>
        <v/>
      </c>
      <c r="R1088" s="39" t="str">
        <f>IF(ISERROR(FIND('112'!$M$9,G1088,1)),"",IF((AND(FIND('112'!$M$9,G1088,1)&gt;=1,$B1088&gt;='112'!$N$8,$B1088&lt;='112'!$O$8,OR($L1088='112'!$I$6,$M1088='112'!$I$6))),"x",""))</f>
        <v/>
      </c>
      <c r="S1088" s="39" t="str">
        <f>IF(ISERROR(FIND('112'!$M$9,G1088,1)),"",IF((AND(LEFT(G1088,2)=LEFT('112'!$M$9,2),B1088&lt;'112'!$N$8,$L1088='112'!$I$6)),"x",""))</f>
        <v/>
      </c>
      <c r="T1088" s="39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39" t="str">
        <f>IF(OR(TH!L1088=TH!$V$7,M1088=TH!$V$7),"x","")</f>
        <v/>
      </c>
      <c r="W1088" s="39" t="str">
        <f>IF(AND(B1088&gt;='IN-NX'!$P$3,B1088&lt;='IN-NX'!$Q$3,'IN-NX'!$D$7=D1088,OR(LEFT(L1088,2)="15",AND(LEFT(M1088,2)&lt;&gt;"15",LEFT(M1088,2)&lt;&gt;"33"))),"x","")</f>
        <v/>
      </c>
      <c r="X1088" s="39" t="str">
        <f>IF(AND(OR(LEFT(TH!L1088,2)="15",LEFT(TH!M1088,2)="15"),'152-CT'!$J$8=TH!F1088),"x","")</f>
        <v/>
      </c>
      <c r="Y1088" s="39" t="str">
        <f>IF(AND(OR(LEFT(TH!L1088,2)="15",LEFT(TH!M1088,2)="15"),TK!$E$7=TH!F1088),"x","")</f>
        <v/>
      </c>
      <c r="Z1088" s="39" t="str">
        <f>IF(AND(B1088&lt;=NKC!$N$8,B1088&gt;=NKC!$M$8),"x","")</f>
        <v/>
      </c>
      <c r="AA1088" s="894"/>
    </row>
    <row r="1089" spans="1:27" ht="15.75" customHeight="1">
      <c r="A1089" s="199" t="str">
        <f>IF(B1089&lt;&gt;"",IF(AND(B1089&gt;=_TM1,B1089&lt;=_TM2,OR(TH!L1089="1111",TH!M1089="1111")),TH!D1089,""),"")</f>
        <v/>
      </c>
      <c r="B1089" s="36" t="str">
        <f t="shared" si="42"/>
        <v/>
      </c>
      <c r="C1089" s="37"/>
      <c r="D1089" s="37"/>
      <c r="E1089" s="776"/>
      <c r="F1089" s="188"/>
      <c r="G1089" s="40"/>
      <c r="H1089" s="7"/>
      <c r="I1089" s="253"/>
      <c r="J1089" s="253"/>
      <c r="K1089" s="606"/>
      <c r="L1089" s="39"/>
      <c r="M1089" s="39"/>
      <c r="N1089" s="39" t="str">
        <f>IF(AND('331-CT'!$E$7=TH!H1089,OR(L1089="331",M1089="331")),"331",IF(AND(OR(L1089="131",M1089="131"),H1089='131-CT'!$E$7),"131",""))</f>
        <v/>
      </c>
      <c r="O1089" s="39" t="str">
        <f>IF(AND($B1089&gt;='111'!$N$11,$B1089&lt;='111'!$O$11,OR($L1089=$O$7,$M1089=$O$7)),"x","")</f>
        <v/>
      </c>
      <c r="P1089" s="39" t="str">
        <f>IF(AND($L1089=$O$7,$B1089&lt;'111'!$N$11),"x","")</f>
        <v/>
      </c>
      <c r="Q1089" s="39" t="str">
        <f>IF(AND($M1089=$O$7,$B1089&lt;'111'!$N$11),"x","")</f>
        <v/>
      </c>
      <c r="R1089" s="39" t="str">
        <f>IF(ISERROR(FIND('112'!$M$9,G1089,1)),"",IF((AND(FIND('112'!$M$9,G1089,1)&gt;=1,$B1089&gt;='112'!$N$8,$B1089&lt;='112'!$O$8,OR($L1089='112'!$I$6,$M1089='112'!$I$6))),"x",""))</f>
        <v/>
      </c>
      <c r="S1089" s="39" t="str">
        <f>IF(ISERROR(FIND('112'!$M$9,G1089,1)),"",IF((AND(LEFT(G1089,2)=LEFT('112'!$M$9,2),B1089&lt;'112'!$N$8,$L1089='112'!$I$6)),"x",""))</f>
        <v/>
      </c>
      <c r="T1089" s="39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39" t="str">
        <f>IF(OR(TH!L1089=TH!$V$7,M1089=TH!$V$7),"x","")</f>
        <v/>
      </c>
      <c r="W1089" s="39" t="str">
        <f>IF(AND(B1089&gt;='IN-NX'!$P$3,B1089&lt;='IN-NX'!$Q$3,'IN-NX'!$D$7=D1089,OR(LEFT(L1089,2)="15",AND(LEFT(M1089,2)&lt;&gt;"15",LEFT(M1089,2)&lt;&gt;"33"))),"x","")</f>
        <v/>
      </c>
      <c r="X1089" s="39" t="str">
        <f>IF(AND(OR(LEFT(TH!L1089,2)="15",LEFT(TH!M1089,2)="15"),'152-CT'!$J$8=TH!F1089),"x","")</f>
        <v/>
      </c>
      <c r="Y1089" s="39" t="str">
        <f>IF(AND(OR(LEFT(TH!L1089,2)="15",LEFT(TH!M1089,2)="15"),TK!$E$7=TH!F1089),"x","")</f>
        <v/>
      </c>
      <c r="Z1089" s="39" t="str">
        <f>IF(AND(B1089&lt;=NKC!$N$8,B1089&gt;=NKC!$M$8),"x","")</f>
        <v/>
      </c>
      <c r="AA1089" s="894"/>
    </row>
    <row r="1090" spans="1:27" ht="15.75" customHeight="1">
      <c r="A1090" s="199" t="str">
        <f>IF(B1090&lt;&gt;"",IF(AND(B1090&gt;=_TM1,B1090&lt;=_TM2,OR(TH!L1090="1111",TH!M1090="1111")),TH!D1090,""),"")</f>
        <v/>
      </c>
      <c r="B1090" s="36" t="str">
        <f t="shared" si="42"/>
        <v/>
      </c>
      <c r="C1090" s="37"/>
      <c r="D1090" s="37"/>
      <c r="E1090" s="776"/>
      <c r="F1090" s="188"/>
      <c r="G1090" s="40"/>
      <c r="H1090" s="7"/>
      <c r="I1090" s="253"/>
      <c r="J1090" s="253"/>
      <c r="K1090" s="606"/>
      <c r="L1090" s="39"/>
      <c r="M1090" s="39"/>
      <c r="N1090" s="39" t="str">
        <f>IF(AND('331-CT'!$E$7=TH!H1090,OR(L1090="331",M1090="331")),"331",IF(AND(OR(L1090="131",M1090="131"),H1090='131-CT'!$E$7),"131",""))</f>
        <v/>
      </c>
      <c r="O1090" s="39" t="str">
        <f>IF(AND($B1090&gt;='111'!$N$11,$B1090&lt;='111'!$O$11,OR($L1090=$O$7,$M1090=$O$7)),"x","")</f>
        <v/>
      </c>
      <c r="P1090" s="39" t="str">
        <f>IF(AND($L1090=$O$7,$B1090&lt;'111'!$N$11),"x","")</f>
        <v/>
      </c>
      <c r="Q1090" s="39" t="str">
        <f>IF(AND($M1090=$O$7,$B1090&lt;'111'!$N$11),"x","")</f>
        <v/>
      </c>
      <c r="R1090" s="39" t="str">
        <f>IF(ISERROR(FIND('112'!$M$9,G1090,1)),"",IF((AND(FIND('112'!$M$9,G1090,1)&gt;=1,$B1090&gt;='112'!$N$8,$B1090&lt;='112'!$O$8,OR($L1090='112'!$I$6,$M1090='112'!$I$6))),"x",""))</f>
        <v/>
      </c>
      <c r="S1090" s="39" t="str">
        <f>IF(ISERROR(FIND('112'!$M$9,G1090,1)),"",IF((AND(LEFT(G1090,2)=LEFT('112'!$M$9,2),B1090&lt;'112'!$N$8,$L1090='112'!$I$6)),"x",""))</f>
        <v/>
      </c>
      <c r="T1090" s="39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39" t="str">
        <f>IF(OR(TH!L1090=TH!$V$7,M1090=TH!$V$7),"x","")</f>
        <v/>
      </c>
      <c r="W1090" s="39" t="str">
        <f>IF(AND(B1090&gt;='IN-NX'!$P$3,B1090&lt;='IN-NX'!$Q$3,'IN-NX'!$D$7=D1090,OR(LEFT(L1090,2)="15",AND(LEFT(M1090,2)&lt;&gt;"15",LEFT(M1090,2)&lt;&gt;"33"))),"x","")</f>
        <v/>
      </c>
      <c r="X1090" s="39" t="str">
        <f>IF(AND(OR(LEFT(TH!L1090,2)="15",LEFT(TH!M1090,2)="15"),'152-CT'!$J$8=TH!F1090),"x","")</f>
        <v/>
      </c>
      <c r="Y1090" s="39" t="str">
        <f>IF(AND(OR(LEFT(TH!L1090,2)="15",LEFT(TH!M1090,2)="15"),TK!$E$7=TH!F1090),"x","")</f>
        <v/>
      </c>
      <c r="Z1090" s="39" t="str">
        <f>IF(AND(B1090&lt;=NKC!$N$8,B1090&gt;=NKC!$M$8),"x","")</f>
        <v/>
      </c>
      <c r="AA1090" s="894"/>
    </row>
    <row r="1091" spans="1:27" ht="15.75" customHeight="1">
      <c r="A1091" s="199" t="str">
        <f>IF(B1091&lt;&gt;"",IF(AND(B1091&gt;=_TM1,B1091&lt;=_TM2,OR(TH!L1091="1111",TH!M1091="1111")),TH!D1091,""),"")</f>
        <v/>
      </c>
      <c r="B1091" s="36" t="str">
        <f t="shared" si="42"/>
        <v/>
      </c>
      <c r="C1091" s="37"/>
      <c r="D1091" s="37"/>
      <c r="E1091" s="776"/>
      <c r="F1091" s="188"/>
      <c r="G1091" s="40"/>
      <c r="H1091" s="7"/>
      <c r="I1091" s="253"/>
      <c r="J1091" s="253"/>
      <c r="K1091" s="606"/>
      <c r="L1091" s="39"/>
      <c r="M1091" s="39"/>
      <c r="N1091" s="39" t="str">
        <f>IF(AND('331-CT'!$E$7=TH!H1091,OR(L1091="331",M1091="331")),"331",IF(AND(OR(L1091="131",M1091="131"),H1091='131-CT'!$E$7),"131",""))</f>
        <v/>
      </c>
      <c r="O1091" s="39" t="str">
        <f>IF(AND($B1091&gt;='111'!$N$11,$B1091&lt;='111'!$O$11,OR($L1091=$O$7,$M1091=$O$7)),"x","")</f>
        <v/>
      </c>
      <c r="P1091" s="39" t="str">
        <f>IF(AND($L1091=$O$7,$B1091&lt;'111'!$N$11),"x","")</f>
        <v/>
      </c>
      <c r="Q1091" s="39" t="str">
        <f>IF(AND($M1091=$O$7,$B1091&lt;'111'!$N$11),"x","")</f>
        <v/>
      </c>
      <c r="R1091" s="39" t="str">
        <f>IF(ISERROR(FIND('112'!$M$9,G1091,1)),"",IF((AND(FIND('112'!$M$9,G1091,1)&gt;=1,$B1091&gt;='112'!$N$8,$B1091&lt;='112'!$O$8,OR($L1091='112'!$I$6,$M1091='112'!$I$6))),"x",""))</f>
        <v/>
      </c>
      <c r="S1091" s="39" t="str">
        <f>IF(ISERROR(FIND('112'!$M$9,G1091,1)),"",IF((AND(LEFT(G1091,2)=LEFT('112'!$M$9,2),B1091&lt;'112'!$N$8,$L1091='112'!$I$6)),"x",""))</f>
        <v/>
      </c>
      <c r="T1091" s="39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39" t="str">
        <f>IF(OR(TH!L1091=TH!$V$7,M1091=TH!$V$7),"x","")</f>
        <v/>
      </c>
      <c r="W1091" s="39" t="str">
        <f>IF(AND(B1091&gt;='IN-NX'!$P$3,B1091&lt;='IN-NX'!$Q$3,'IN-NX'!$D$7=D1091,OR(LEFT(L1091,2)="15",AND(LEFT(M1091,2)&lt;&gt;"15",LEFT(M1091,2)&lt;&gt;"33"))),"x","")</f>
        <v/>
      </c>
      <c r="X1091" s="39" t="str">
        <f>IF(AND(OR(LEFT(TH!L1091,2)="15",LEFT(TH!M1091,2)="15"),'152-CT'!$J$8=TH!F1091),"x","")</f>
        <v/>
      </c>
      <c r="Y1091" s="39" t="str">
        <f>IF(AND(OR(LEFT(TH!L1091,2)="15",LEFT(TH!M1091,2)="15"),TK!$E$7=TH!F1091),"x","")</f>
        <v/>
      </c>
      <c r="Z1091" s="39" t="str">
        <f>IF(AND(B1091&lt;=NKC!$N$8,B1091&gt;=NKC!$M$8),"x","")</f>
        <v/>
      </c>
      <c r="AA1091" s="894"/>
    </row>
    <row r="1092" spans="1:27" ht="15.75" customHeight="1">
      <c r="A1092" s="199" t="str">
        <f>IF(B1092&lt;&gt;"",IF(AND(B1092&gt;=_TM1,B1092&lt;=_TM2,OR(TH!L1092="1111",TH!M1092="1111")),TH!D1092,""),"")</f>
        <v/>
      </c>
      <c r="B1092" s="36" t="str">
        <f t="shared" si="42"/>
        <v/>
      </c>
      <c r="C1092" s="37"/>
      <c r="D1092" s="37"/>
      <c r="E1092" s="776"/>
      <c r="F1092" s="293"/>
      <c r="G1092" s="40"/>
      <c r="H1092" s="7"/>
      <c r="I1092" s="253"/>
      <c r="J1092" s="253"/>
      <c r="K1092" s="606"/>
      <c r="L1092" s="39"/>
      <c r="M1092" s="39"/>
      <c r="N1092" s="39" t="str">
        <f>IF(AND('331-CT'!$E$7=TH!H1092,OR(L1092="331",M1092="331")),"331",IF(AND(OR(L1092="131",M1092="131"),H1092='131-CT'!$E$7),"131",""))</f>
        <v/>
      </c>
      <c r="O1092" s="39" t="str">
        <f>IF(AND($B1092&gt;='111'!$N$11,$B1092&lt;='111'!$O$11,OR($L1092=$O$7,$M1092=$O$7)),"x","")</f>
        <v/>
      </c>
      <c r="P1092" s="39" t="str">
        <f>IF(AND($L1092=$O$7,$B1092&lt;'111'!$N$11),"x","")</f>
        <v/>
      </c>
      <c r="Q1092" s="39" t="str">
        <f>IF(AND($M1092=$O$7,$B1092&lt;'111'!$N$11),"x","")</f>
        <v/>
      </c>
      <c r="R1092" s="39" t="str">
        <f>IF(ISERROR(FIND('112'!$M$9,G1092,1)),"",IF((AND(FIND('112'!$M$9,G1092,1)&gt;=1,$B1092&gt;='112'!$N$8,$B1092&lt;='112'!$O$8,OR($L1092='112'!$I$6,$M1092='112'!$I$6))),"x",""))</f>
        <v/>
      </c>
      <c r="S1092" s="39" t="str">
        <f>IF(ISERROR(FIND('112'!$M$9,G1092,1)),"",IF((AND(LEFT(G1092,2)=LEFT('112'!$M$9,2),B1092&lt;'112'!$N$8,$L1092='112'!$I$6)),"x",""))</f>
        <v/>
      </c>
      <c r="T1092" s="39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39" t="str">
        <f>IF(OR(TH!L1092=TH!$V$7,M1092=TH!$V$7),"x","")</f>
        <v/>
      </c>
      <c r="W1092" s="39" t="str">
        <f>IF(AND(B1092&gt;='IN-NX'!$P$3,B1092&lt;='IN-NX'!$Q$3,'IN-NX'!$D$7=D1092,OR(LEFT(L1092,2)="15",AND(LEFT(M1092,2)&lt;&gt;"15",LEFT(M1092,2)&lt;&gt;"33"))),"x","")</f>
        <v/>
      </c>
      <c r="X1092" s="39" t="str">
        <f>IF(AND(OR(LEFT(TH!L1092,2)="15",LEFT(TH!M1092,2)="15"),'152-CT'!$J$8=TH!F1092),"x","")</f>
        <v/>
      </c>
      <c r="Y1092" s="39" t="str">
        <f>IF(AND(OR(LEFT(TH!L1092,2)="15",LEFT(TH!M1092,2)="15"),TK!$E$7=TH!F1092),"x","")</f>
        <v/>
      </c>
      <c r="Z1092" s="39" t="str">
        <f>IF(AND(B1092&lt;=NKC!$N$8,B1092&gt;=NKC!$M$8),"x","")</f>
        <v/>
      </c>
      <c r="AA1092" s="894"/>
    </row>
    <row r="1093" spans="1:27" ht="15.75" customHeight="1">
      <c r="A1093" s="199" t="str">
        <f>IF(B1093&lt;&gt;"",IF(AND(B1093&gt;=_TM1,B1093&lt;=_TM2,OR(TH!L1093="1111",TH!M1093="1111")),TH!D1093,""),"")</f>
        <v/>
      </c>
      <c r="B1093" s="36" t="str">
        <f t="shared" si="42"/>
        <v/>
      </c>
      <c r="C1093" s="37"/>
      <c r="D1093" s="37"/>
      <c r="E1093" s="776"/>
      <c r="F1093" s="188"/>
      <c r="G1093" s="40"/>
      <c r="H1093" s="7"/>
      <c r="I1093" s="253"/>
      <c r="J1093" s="253"/>
      <c r="K1093" s="606"/>
      <c r="L1093" s="39"/>
      <c r="M1093" s="39"/>
      <c r="N1093" s="39" t="str">
        <f>IF(AND('331-CT'!$E$7=TH!H1093,OR(L1093="331",M1093="331")),"331",IF(AND(OR(L1093="131",M1093="131"),H1093='131-CT'!$E$7),"131",""))</f>
        <v/>
      </c>
      <c r="O1093" s="39" t="str">
        <f>IF(AND($B1093&gt;='111'!$N$11,$B1093&lt;='111'!$O$11,OR($L1093=$O$7,$M1093=$O$7)),"x","")</f>
        <v/>
      </c>
      <c r="P1093" s="39" t="str">
        <f>IF(AND($L1093=$O$7,$B1093&lt;'111'!$N$11),"x","")</f>
        <v/>
      </c>
      <c r="Q1093" s="39" t="str">
        <f>IF(AND($M1093=$O$7,$B1093&lt;'111'!$N$11),"x","")</f>
        <v/>
      </c>
      <c r="R1093" s="39" t="str">
        <f>IF(ISERROR(FIND('112'!$M$9,G1093,1)),"",IF((AND(FIND('112'!$M$9,G1093,1)&gt;=1,$B1093&gt;='112'!$N$8,$B1093&lt;='112'!$O$8,OR($L1093='112'!$I$6,$M1093='112'!$I$6))),"x",""))</f>
        <v/>
      </c>
      <c r="S1093" s="39" t="str">
        <f>IF(ISERROR(FIND('112'!$M$9,G1093,1)),"",IF((AND(LEFT(G1093,2)=LEFT('112'!$M$9,2),B1093&lt;'112'!$N$8,$L1093='112'!$I$6)),"x",""))</f>
        <v/>
      </c>
      <c r="T1093" s="39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39" t="str">
        <f>IF(OR(TH!L1093=TH!$V$7,M1093=TH!$V$7),"x","")</f>
        <v/>
      </c>
      <c r="W1093" s="39" t="str">
        <f>IF(AND(B1093&gt;='IN-NX'!$P$3,B1093&lt;='IN-NX'!$Q$3,'IN-NX'!$D$7=D1093,OR(LEFT(L1093,2)="15",AND(LEFT(M1093,2)&lt;&gt;"15",LEFT(M1093,2)&lt;&gt;"33"))),"x","")</f>
        <v/>
      </c>
      <c r="X1093" s="39" t="str">
        <f>IF(AND(OR(LEFT(TH!L1093,2)="15",LEFT(TH!M1093,2)="15"),'152-CT'!$J$8=TH!F1093),"x","")</f>
        <v/>
      </c>
      <c r="Y1093" s="39" t="str">
        <f>IF(AND(OR(LEFT(TH!L1093,2)="15",LEFT(TH!M1093,2)="15"),TK!$E$7=TH!F1093),"x","")</f>
        <v/>
      </c>
      <c r="Z1093" s="39" t="str">
        <f>IF(AND(B1093&lt;=NKC!$N$8,B1093&gt;=NKC!$M$8),"x","")</f>
        <v/>
      </c>
      <c r="AA1093" s="894"/>
    </row>
    <row r="1094" spans="1:27" ht="15.75" customHeight="1">
      <c r="A1094" s="199" t="str">
        <f>IF(B1094&lt;&gt;"",IF(AND(B1094&gt;=_TM1,B1094&lt;=_TM2,OR(TH!L1094="1111",TH!M1094="1111")),TH!D1094,""),"")</f>
        <v/>
      </c>
      <c r="B1094" s="36" t="str">
        <f t="shared" si="42"/>
        <v/>
      </c>
      <c r="C1094" s="37"/>
      <c r="D1094" s="37"/>
      <c r="E1094" s="776"/>
      <c r="F1094" s="293"/>
      <c r="G1094" s="40"/>
      <c r="H1094" s="7"/>
      <c r="I1094" s="253"/>
      <c r="J1094" s="253"/>
      <c r="K1094" s="606"/>
      <c r="L1094" s="39"/>
      <c r="M1094" s="39"/>
      <c r="N1094" s="39" t="str">
        <f>IF(AND('331-CT'!$E$7=TH!H1094,OR(L1094="331",M1094="331")),"331",IF(AND(OR(L1094="131",M1094="131"),H1094='131-CT'!$E$7),"131",""))</f>
        <v/>
      </c>
      <c r="O1094" s="39" t="str">
        <f>IF(AND($B1094&gt;='111'!$N$11,$B1094&lt;='111'!$O$11,OR($L1094=$O$7,$M1094=$O$7)),"x","")</f>
        <v/>
      </c>
      <c r="P1094" s="39" t="str">
        <f>IF(AND($L1094=$O$7,$B1094&lt;'111'!$N$11),"x","")</f>
        <v/>
      </c>
      <c r="Q1094" s="39" t="str">
        <f>IF(AND($M1094=$O$7,$B1094&lt;'111'!$N$11),"x","")</f>
        <v/>
      </c>
      <c r="R1094" s="39" t="str">
        <f>IF(ISERROR(FIND('112'!$M$9,G1094,1)),"",IF((AND(FIND('112'!$M$9,G1094,1)&gt;=1,$B1094&gt;='112'!$N$8,$B1094&lt;='112'!$O$8,OR($L1094='112'!$I$6,$M1094='112'!$I$6))),"x",""))</f>
        <v/>
      </c>
      <c r="S1094" s="39" t="str">
        <f>IF(ISERROR(FIND('112'!$M$9,G1094,1)),"",IF((AND(LEFT(G1094,2)=LEFT('112'!$M$9,2),B1094&lt;'112'!$N$8,$L1094='112'!$I$6)),"x",""))</f>
        <v/>
      </c>
      <c r="T1094" s="39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39" t="str">
        <f>IF(OR(TH!L1094=TH!$V$7,M1094=TH!$V$7),"x","")</f>
        <v/>
      </c>
      <c r="W1094" s="39" t="str">
        <f>IF(AND(B1094&gt;='IN-NX'!$P$3,B1094&lt;='IN-NX'!$Q$3,'IN-NX'!$D$7=D1094,OR(LEFT(L1094,2)="15",AND(LEFT(M1094,2)&lt;&gt;"15",LEFT(M1094,2)&lt;&gt;"33"))),"x","")</f>
        <v/>
      </c>
      <c r="X1094" s="39" t="str">
        <f>IF(AND(OR(LEFT(TH!L1094,2)="15",LEFT(TH!M1094,2)="15"),'152-CT'!$J$8=TH!F1094),"x","")</f>
        <v/>
      </c>
      <c r="Y1094" s="39" t="str">
        <f>IF(AND(OR(LEFT(TH!L1094,2)="15",LEFT(TH!M1094,2)="15"),TK!$E$7=TH!F1094),"x","")</f>
        <v/>
      </c>
      <c r="Z1094" s="39" t="str">
        <f>IF(AND(B1094&lt;=NKC!$N$8,B1094&gt;=NKC!$M$8),"x","")</f>
        <v/>
      </c>
      <c r="AA1094" s="894"/>
    </row>
    <row r="1095" spans="1:27" ht="15.75" customHeight="1">
      <c r="A1095" s="199" t="str">
        <f>IF(B1095&lt;&gt;"",IF(AND(B1095&gt;=_TM1,B1095&lt;=_TM2,OR(TH!L1095="1111",TH!M1095="1111")),TH!D1095,""),"")</f>
        <v/>
      </c>
      <c r="B1095" s="36" t="str">
        <f t="shared" si="42"/>
        <v/>
      </c>
      <c r="C1095" s="37"/>
      <c r="D1095" s="37"/>
      <c r="E1095" s="37"/>
      <c r="F1095" s="40"/>
      <c r="G1095" s="40"/>
      <c r="H1095" s="7"/>
      <c r="I1095" s="253"/>
      <c r="J1095" s="253"/>
      <c r="K1095" s="606"/>
      <c r="L1095" s="39"/>
      <c r="M1095" s="39"/>
      <c r="N1095" s="39" t="str">
        <f>IF(AND('331-CT'!$E$7=TH!H1095,OR(L1095="331",M1095="331")),"331",IF(AND(OR(L1095="131",M1095="131"),H1095='131-CT'!$E$7),"131",""))</f>
        <v/>
      </c>
      <c r="O1095" s="39" t="str">
        <f>IF(AND($B1095&gt;='111'!$N$11,$B1095&lt;='111'!$O$11,OR($L1095=$O$7,$M1095=$O$7)),"x","")</f>
        <v/>
      </c>
      <c r="P1095" s="39" t="str">
        <f>IF(AND($L1095=$O$7,$B1095&lt;'111'!$N$11),"x","")</f>
        <v/>
      </c>
      <c r="Q1095" s="39" t="str">
        <f>IF(AND($M1095=$O$7,$B1095&lt;'111'!$N$11),"x","")</f>
        <v/>
      </c>
      <c r="R1095" s="39" t="str">
        <f>IF(ISERROR(FIND('112'!$M$9,G1095,1)),"",IF((AND(FIND('112'!$M$9,G1095,1)&gt;=1,$B1095&gt;='112'!$N$8,$B1095&lt;='112'!$O$8,OR($L1095='112'!$I$6,$M1095='112'!$I$6))),"x",""))</f>
        <v/>
      </c>
      <c r="S1095" s="39" t="str">
        <f>IF(ISERROR(FIND('112'!$M$9,G1095,1)),"",IF((AND(LEFT(G1095,2)=LEFT('112'!$M$9,2),B1095&lt;'112'!$N$8,$L1095='112'!$I$6)),"x",""))</f>
        <v/>
      </c>
      <c r="T1095" s="39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39" t="str">
        <f>IF(OR(TH!L1095=TH!$V$7,M1095=TH!$V$7),"x","")</f>
        <v/>
      </c>
      <c r="W1095" s="39" t="str">
        <f>IF(AND(B1095&gt;='IN-NX'!$P$3,B1095&lt;='IN-NX'!$Q$3,'IN-NX'!$D$7=D1095,OR(LEFT(L1095,2)="15",AND(LEFT(M1095,2)&lt;&gt;"15",LEFT(M1095,2)&lt;&gt;"33"))),"x","")</f>
        <v/>
      </c>
      <c r="X1095" s="39" t="str">
        <f>IF(AND(OR(LEFT(TH!L1095,2)="15",LEFT(TH!M1095,2)="15"),'152-CT'!$J$8=TH!F1095),"x","")</f>
        <v/>
      </c>
      <c r="Y1095" s="39" t="str">
        <f>IF(AND(OR(LEFT(TH!L1095,2)="15",LEFT(TH!M1095,2)="15"),TK!$E$7=TH!F1095),"x","")</f>
        <v/>
      </c>
      <c r="Z1095" s="39" t="str">
        <f>IF(AND(B1095&lt;=NKC!$N$8,B1095&gt;=NKC!$M$8),"x","")</f>
        <v/>
      </c>
      <c r="AA1095" s="894"/>
    </row>
    <row r="1096" spans="1:27" ht="15.75" customHeight="1">
      <c r="A1096" s="199" t="str">
        <f>IF(B1096&lt;&gt;"",IF(AND(B1096&gt;=_TM1,B1096&lt;=_TM2,OR(TH!L1096="1111",TH!M1096="1111")),TH!D1096,""),"")</f>
        <v/>
      </c>
      <c r="B1096" s="36" t="str">
        <f t="shared" si="42"/>
        <v/>
      </c>
      <c r="C1096" s="37"/>
      <c r="D1096" s="37"/>
      <c r="E1096" s="37"/>
      <c r="F1096" s="40"/>
      <c r="G1096" s="40"/>
      <c r="H1096" s="7"/>
      <c r="I1096" s="253"/>
      <c r="J1096" s="253"/>
      <c r="K1096" s="606"/>
      <c r="L1096" s="39"/>
      <c r="M1096" s="39"/>
      <c r="N1096" s="39" t="str">
        <f>IF(AND('331-CT'!$E$7=TH!H1096,OR(L1096="331",M1096="331")),"331",IF(AND(OR(L1096="131",M1096="131"),H1096='131-CT'!$E$7),"131",""))</f>
        <v/>
      </c>
      <c r="O1096" s="39" t="str">
        <f>IF(AND($B1096&gt;='111'!$N$11,$B1096&lt;='111'!$O$11,OR($L1096=$O$7,$M1096=$O$7)),"x","")</f>
        <v/>
      </c>
      <c r="P1096" s="39" t="str">
        <f>IF(AND($L1096=$O$7,$B1096&lt;'111'!$N$11),"x","")</f>
        <v/>
      </c>
      <c r="Q1096" s="39" t="str">
        <f>IF(AND($M1096=$O$7,$B1096&lt;'111'!$N$11),"x","")</f>
        <v/>
      </c>
      <c r="R1096" s="39" t="str">
        <f>IF(ISERROR(FIND('112'!$M$9,G1096,1)),"",IF((AND(FIND('112'!$M$9,G1096,1)&gt;=1,$B1096&gt;='112'!$N$8,$B1096&lt;='112'!$O$8,OR($L1096='112'!$I$6,$M1096='112'!$I$6))),"x",""))</f>
        <v/>
      </c>
      <c r="S1096" s="39" t="str">
        <f>IF(ISERROR(FIND('112'!$M$9,G1096,1)),"",IF((AND(LEFT(G1096,2)=LEFT('112'!$M$9,2),B1096&lt;'112'!$N$8,$L1096='112'!$I$6)),"x",""))</f>
        <v/>
      </c>
      <c r="T1096" s="39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39" t="str">
        <f>IF(OR(TH!L1096=TH!$V$7,M1096=TH!$V$7),"x","")</f>
        <v/>
      </c>
      <c r="W1096" s="39" t="str">
        <f>IF(AND(B1096&gt;='IN-NX'!$P$3,B1096&lt;='IN-NX'!$Q$3,'IN-NX'!$D$7=D1096,OR(LEFT(L1096,2)="15",AND(LEFT(M1096,2)&lt;&gt;"15",LEFT(M1096,2)&lt;&gt;"33"))),"x","")</f>
        <v/>
      </c>
      <c r="X1096" s="39" t="str">
        <f>IF(AND(OR(LEFT(TH!L1096,2)="15",LEFT(TH!M1096,2)="15"),'152-CT'!$J$8=TH!F1096),"x","")</f>
        <v/>
      </c>
      <c r="Y1096" s="39" t="str">
        <f>IF(AND(OR(LEFT(TH!L1096,2)="15",LEFT(TH!M1096,2)="15"),TK!$E$7=TH!F1096),"x","")</f>
        <v/>
      </c>
      <c r="Z1096" s="39" t="str">
        <f>IF(AND(B1096&lt;=NKC!$N$8,B1096&gt;=NKC!$M$8),"x","")</f>
        <v/>
      </c>
      <c r="AA1096" s="894"/>
    </row>
    <row r="1097" spans="1:27" ht="15.75" customHeight="1">
      <c r="A1097" s="199" t="str">
        <f>IF(B1097&lt;&gt;"",IF(AND(B1097&gt;=_TM1,B1097&lt;=_TM2,OR(TH!L1097="1111",TH!M1097="1111")),TH!D1097,""),"")</f>
        <v/>
      </c>
      <c r="B1097" s="36" t="str">
        <f t="shared" si="42"/>
        <v/>
      </c>
      <c r="C1097" s="37"/>
      <c r="D1097" s="37"/>
      <c r="E1097" s="37"/>
      <c r="F1097" s="40"/>
      <c r="G1097" s="40"/>
      <c r="H1097" s="7"/>
      <c r="I1097" s="253"/>
      <c r="J1097" s="253"/>
      <c r="K1097" s="606"/>
      <c r="L1097" s="39"/>
      <c r="M1097" s="39"/>
      <c r="N1097" s="39" t="str">
        <f>IF(AND('331-CT'!$E$7=TH!H1097,OR(L1097="331",M1097="331")),"331",IF(AND(OR(L1097="131",M1097="131"),H1097='131-CT'!$E$7),"131",""))</f>
        <v/>
      </c>
      <c r="O1097" s="39" t="str">
        <f>IF(AND($B1097&gt;='111'!$N$11,$B1097&lt;='111'!$O$11,OR($L1097=$O$7,$M1097=$O$7)),"x","")</f>
        <v/>
      </c>
      <c r="P1097" s="39" t="str">
        <f>IF(AND($L1097=$O$7,$B1097&lt;'111'!$N$11),"x","")</f>
        <v/>
      </c>
      <c r="Q1097" s="39" t="str">
        <f>IF(AND($M1097=$O$7,$B1097&lt;'111'!$N$11),"x","")</f>
        <v/>
      </c>
      <c r="R1097" s="39" t="str">
        <f>IF(ISERROR(FIND('112'!$M$9,G1097,1)),"",IF((AND(FIND('112'!$M$9,G1097,1)&gt;=1,$B1097&gt;='112'!$N$8,$B1097&lt;='112'!$O$8,OR($L1097='112'!$I$6,$M1097='112'!$I$6))),"x",""))</f>
        <v/>
      </c>
      <c r="S1097" s="39" t="str">
        <f>IF(ISERROR(FIND('112'!$M$9,G1097,1)),"",IF((AND(LEFT(G1097,2)=LEFT('112'!$M$9,2),B1097&lt;'112'!$N$8,$L1097='112'!$I$6)),"x",""))</f>
        <v/>
      </c>
      <c r="T1097" s="39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39" t="str">
        <f>IF(OR(TH!L1097=TH!$V$7,M1097=TH!$V$7),"x","")</f>
        <v/>
      </c>
      <c r="W1097" s="39" t="str">
        <f>IF(AND(B1097&gt;='IN-NX'!$P$3,B1097&lt;='IN-NX'!$Q$3,'IN-NX'!$D$7=D1097,OR(LEFT(L1097,2)="15",AND(LEFT(M1097,2)&lt;&gt;"15",LEFT(M1097,2)&lt;&gt;"33"))),"x","")</f>
        <v/>
      </c>
      <c r="X1097" s="39" t="str">
        <f>IF(AND(OR(LEFT(TH!L1097,2)="15",LEFT(TH!M1097,2)="15"),'152-CT'!$J$8=TH!F1097),"x","")</f>
        <v/>
      </c>
      <c r="Y1097" s="39" t="str">
        <f>IF(AND(OR(LEFT(TH!L1097,2)="15",LEFT(TH!M1097,2)="15"),TK!$E$7=TH!F1097),"x","")</f>
        <v/>
      </c>
      <c r="Z1097" s="39" t="str">
        <f>IF(AND(B1097&lt;=NKC!$N$8,B1097&gt;=NKC!$M$8),"x","")</f>
        <v/>
      </c>
      <c r="AA1097" s="894"/>
    </row>
    <row r="1098" spans="1:27" ht="15.75" customHeight="1">
      <c r="A1098" s="199" t="str">
        <f>IF(B1098&lt;&gt;"",IF(AND(B1098&gt;=_TM1,B1098&lt;=_TM2,OR(TH!L1098="1111",TH!M1098="1111")),TH!D1098,""),"")</f>
        <v/>
      </c>
      <c r="B1098" s="36" t="str">
        <f t="shared" si="42"/>
        <v/>
      </c>
      <c r="C1098" s="37"/>
      <c r="D1098" s="37"/>
      <c r="E1098" s="37"/>
      <c r="F1098" s="40"/>
      <c r="G1098" s="40"/>
      <c r="H1098" s="7"/>
      <c r="I1098" s="253"/>
      <c r="J1098" s="253"/>
      <c r="K1098" s="606"/>
      <c r="L1098" s="39"/>
      <c r="M1098" s="39"/>
      <c r="N1098" s="39" t="str">
        <f>IF(AND('331-CT'!$E$7=TH!H1098,OR(L1098="331",M1098="331")),"331",IF(AND(OR(L1098="131",M1098="131"),H1098='131-CT'!$E$7),"131",""))</f>
        <v/>
      </c>
      <c r="O1098" s="39" t="str">
        <f>IF(AND($B1098&gt;='111'!$N$11,$B1098&lt;='111'!$O$11,OR($L1098=$O$7,$M1098=$O$7)),"x","")</f>
        <v/>
      </c>
      <c r="P1098" s="39" t="str">
        <f>IF(AND($L1098=$O$7,$B1098&lt;'111'!$N$11),"x","")</f>
        <v/>
      </c>
      <c r="Q1098" s="39" t="str">
        <f>IF(AND($M1098=$O$7,$B1098&lt;'111'!$N$11),"x","")</f>
        <v/>
      </c>
      <c r="R1098" s="39" t="str">
        <f>IF(ISERROR(FIND('112'!$M$9,G1098,1)),"",IF((AND(FIND('112'!$M$9,G1098,1)&gt;=1,$B1098&gt;='112'!$N$8,$B1098&lt;='112'!$O$8,OR($L1098='112'!$I$6,$M1098='112'!$I$6))),"x",""))</f>
        <v/>
      </c>
      <c r="S1098" s="39" t="str">
        <f>IF(ISERROR(FIND('112'!$M$9,G1098,1)),"",IF((AND(LEFT(G1098,2)=LEFT('112'!$M$9,2),B1098&lt;'112'!$N$8,$L1098='112'!$I$6)),"x",""))</f>
        <v/>
      </c>
      <c r="T1098" s="39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39" t="str">
        <f>IF(OR(TH!L1098=TH!$V$7,M1098=TH!$V$7),"x","")</f>
        <v/>
      </c>
      <c r="W1098" s="39" t="str">
        <f>IF(AND(B1098&gt;='IN-NX'!$P$3,B1098&lt;='IN-NX'!$Q$3,'IN-NX'!$D$7=D1098,OR(LEFT(L1098,2)="15",AND(LEFT(M1098,2)&lt;&gt;"15",LEFT(M1098,2)&lt;&gt;"33"))),"x","")</f>
        <v/>
      </c>
      <c r="X1098" s="39" t="str">
        <f>IF(AND(OR(LEFT(TH!L1098,2)="15",LEFT(TH!M1098,2)="15"),'152-CT'!$J$8=TH!F1098),"x","")</f>
        <v/>
      </c>
      <c r="Y1098" s="39" t="str">
        <f>IF(AND(OR(LEFT(TH!L1098,2)="15",LEFT(TH!M1098,2)="15"),TK!$E$7=TH!F1098),"x","")</f>
        <v/>
      </c>
      <c r="Z1098" s="39" t="str">
        <f>IF(AND(B1098&lt;=NKC!$N$8,B1098&gt;=NKC!$M$8),"x","")</f>
        <v/>
      </c>
      <c r="AA1098" s="894"/>
    </row>
    <row r="1099" spans="1:27" ht="15.75" customHeight="1">
      <c r="A1099" s="199" t="str">
        <f>IF(B1099&lt;&gt;"",IF(AND(B1099&gt;=_TM1,B1099&lt;=_TM2,OR(TH!L1099="1111",TH!M1099="1111")),TH!D1099,""),"")</f>
        <v/>
      </c>
      <c r="B1099" s="36" t="str">
        <f t="shared" si="42"/>
        <v/>
      </c>
      <c r="C1099" s="37"/>
      <c r="D1099" s="37"/>
      <c r="E1099" s="37"/>
      <c r="F1099" s="40"/>
      <c r="G1099" s="40"/>
      <c r="H1099" s="7"/>
      <c r="I1099" s="253"/>
      <c r="J1099" s="253"/>
      <c r="K1099" s="606"/>
      <c r="L1099" s="39"/>
      <c r="M1099" s="39"/>
      <c r="N1099" s="39" t="str">
        <f>IF(AND('331-CT'!$E$7=TH!H1099,OR(L1099="331",M1099="331")),"331",IF(AND(OR(L1099="131",M1099="131"),H1099='131-CT'!$E$7),"131",""))</f>
        <v/>
      </c>
      <c r="O1099" s="39" t="str">
        <f>IF(AND($B1099&gt;='111'!$N$11,$B1099&lt;='111'!$O$11,OR($L1099=$O$7,$M1099=$O$7)),"x","")</f>
        <v/>
      </c>
      <c r="P1099" s="39" t="str">
        <f>IF(AND($L1099=$O$7,$B1099&lt;'111'!$N$11),"x","")</f>
        <v/>
      </c>
      <c r="Q1099" s="39" t="str">
        <f>IF(AND($M1099=$O$7,$B1099&lt;'111'!$N$11),"x","")</f>
        <v/>
      </c>
      <c r="R1099" s="39" t="str">
        <f>IF(ISERROR(FIND('112'!$M$9,G1099,1)),"",IF((AND(FIND('112'!$M$9,G1099,1)&gt;=1,$B1099&gt;='112'!$N$8,$B1099&lt;='112'!$O$8,OR($L1099='112'!$I$6,$M1099='112'!$I$6))),"x",""))</f>
        <v/>
      </c>
      <c r="S1099" s="39" t="str">
        <f>IF(ISERROR(FIND('112'!$M$9,G1099,1)),"",IF((AND(LEFT(G1099,2)=LEFT('112'!$M$9,2),B1099&lt;'112'!$N$8,$L1099='112'!$I$6)),"x",""))</f>
        <v/>
      </c>
      <c r="T1099" s="39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39" t="str">
        <f>IF(OR(TH!L1099=TH!$V$7,M1099=TH!$V$7),"x","")</f>
        <v/>
      </c>
      <c r="W1099" s="39" t="str">
        <f>IF(AND(B1099&gt;='IN-NX'!$P$3,B1099&lt;='IN-NX'!$Q$3,'IN-NX'!$D$7=D1099,OR(LEFT(L1099,2)="15",AND(LEFT(M1099,2)&lt;&gt;"15",LEFT(M1099,2)&lt;&gt;"33"))),"x","")</f>
        <v/>
      </c>
      <c r="X1099" s="39" t="str">
        <f>IF(AND(OR(LEFT(TH!L1099,2)="15",LEFT(TH!M1099,2)="15"),'152-CT'!$J$8=TH!F1099),"x","")</f>
        <v/>
      </c>
      <c r="Y1099" s="39" t="str">
        <f>IF(AND(OR(LEFT(TH!L1099,2)="15",LEFT(TH!M1099,2)="15"),TK!$E$7=TH!F1099),"x","")</f>
        <v/>
      </c>
      <c r="Z1099" s="39" t="str">
        <f>IF(AND(B1099&lt;=NKC!$N$8,B1099&gt;=NKC!$M$8),"x","")</f>
        <v/>
      </c>
      <c r="AA1099" s="894"/>
    </row>
    <row r="1100" spans="1:27" ht="15.75" customHeight="1">
      <c r="A1100" s="199" t="str">
        <f>IF(B1100&lt;&gt;"",IF(AND(B1100&gt;=_TM1,B1100&lt;=_TM2,OR(TH!L1100="1111",TH!M1100="1111")),TH!D1100,""),"")</f>
        <v/>
      </c>
      <c r="B1100" s="36" t="str">
        <f t="shared" si="42"/>
        <v/>
      </c>
      <c r="C1100" s="37"/>
      <c r="D1100" s="37"/>
      <c r="E1100" s="37"/>
      <c r="F1100" s="40"/>
      <c r="G1100" s="40"/>
      <c r="H1100" s="7"/>
      <c r="I1100" s="253"/>
      <c r="J1100" s="253"/>
      <c r="K1100" s="606"/>
      <c r="L1100" s="39"/>
      <c r="M1100" s="39"/>
      <c r="N1100" s="39" t="str">
        <f>IF(AND('331-CT'!$E$7=TH!H1100,OR(L1100="331",M1100="331")),"331",IF(AND(OR(L1100="131",M1100="131"),H1100='131-CT'!$E$7),"131",""))</f>
        <v/>
      </c>
      <c r="O1100" s="39" t="str">
        <f>IF(AND($B1100&gt;='111'!$N$11,$B1100&lt;='111'!$O$11,OR($L1100=$O$7,$M1100=$O$7)),"x","")</f>
        <v/>
      </c>
      <c r="P1100" s="39" t="str">
        <f>IF(AND($L1100=$O$7,$B1100&lt;'111'!$N$11),"x","")</f>
        <v/>
      </c>
      <c r="Q1100" s="39" t="str">
        <f>IF(AND($M1100=$O$7,$B1100&lt;'111'!$N$11),"x","")</f>
        <v/>
      </c>
      <c r="R1100" s="39" t="str">
        <f>IF(ISERROR(FIND('112'!$M$9,G1100,1)),"",IF((AND(FIND('112'!$M$9,G1100,1)&gt;=1,$B1100&gt;='112'!$N$8,$B1100&lt;='112'!$O$8,OR($L1100='112'!$I$6,$M1100='112'!$I$6))),"x",""))</f>
        <v/>
      </c>
      <c r="S1100" s="39" t="str">
        <f>IF(ISERROR(FIND('112'!$M$9,G1100,1)),"",IF((AND(LEFT(G1100,2)=LEFT('112'!$M$9,2),B1100&lt;'112'!$N$8,$L1100='112'!$I$6)),"x",""))</f>
        <v/>
      </c>
      <c r="T1100" s="39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39" t="str">
        <f>IF(OR(TH!L1100=TH!$V$7,M1100=TH!$V$7),"x","")</f>
        <v/>
      </c>
      <c r="W1100" s="39" t="str">
        <f>IF(AND(B1100&gt;='IN-NX'!$P$3,B1100&lt;='IN-NX'!$Q$3,'IN-NX'!$D$7=D1100,OR(LEFT(L1100,2)="15",AND(LEFT(M1100,2)&lt;&gt;"15",LEFT(M1100,2)&lt;&gt;"33"))),"x","")</f>
        <v/>
      </c>
      <c r="X1100" s="39" t="str">
        <f>IF(AND(OR(LEFT(TH!L1100,2)="15",LEFT(TH!M1100,2)="15"),'152-CT'!$J$8=TH!F1100),"x","")</f>
        <v/>
      </c>
      <c r="Y1100" s="39" t="str">
        <f>IF(AND(OR(LEFT(TH!L1100,2)="15",LEFT(TH!M1100,2)="15"),TK!$E$7=TH!F1100),"x","")</f>
        <v/>
      </c>
      <c r="Z1100" s="39" t="str">
        <f>IF(AND(B1100&lt;=NKC!$N$8,B1100&gt;=NKC!$M$8),"x","")</f>
        <v/>
      </c>
      <c r="AA1100" s="894"/>
    </row>
    <row r="1101" spans="1:27" ht="15.75" customHeight="1">
      <c r="A1101" s="199" t="str">
        <f>IF(B1101&lt;&gt;"",IF(AND(B1101&gt;=_TM1,B1101&lt;=_TM2,OR(TH!L1101="1111",TH!M1101="1111")),TH!D1101,""),"")</f>
        <v/>
      </c>
      <c r="B1101" s="36" t="str">
        <f t="shared" si="42"/>
        <v/>
      </c>
      <c r="C1101" s="37"/>
      <c r="D1101" s="37"/>
      <c r="E1101" s="37"/>
      <c r="F1101" s="40"/>
      <c r="G1101" s="40"/>
      <c r="H1101" s="7"/>
      <c r="I1101" s="253"/>
      <c r="J1101" s="253"/>
      <c r="K1101" s="606"/>
      <c r="L1101" s="39"/>
      <c r="M1101" s="39"/>
      <c r="N1101" s="39" t="str">
        <f>IF(AND('331-CT'!$E$7=TH!H1101,OR(L1101="331",M1101="331")),"331",IF(AND(OR(L1101="131",M1101="131"),H1101='131-CT'!$E$7),"131",""))</f>
        <v/>
      </c>
      <c r="O1101" s="39" t="str">
        <f>IF(AND($B1101&gt;='111'!$N$11,$B1101&lt;='111'!$O$11,OR($L1101=$O$7,$M1101=$O$7)),"x","")</f>
        <v/>
      </c>
      <c r="P1101" s="39" t="str">
        <f>IF(AND($L1101=$O$7,$B1101&lt;'111'!$N$11),"x","")</f>
        <v/>
      </c>
      <c r="Q1101" s="39" t="str">
        <f>IF(AND($M1101=$O$7,$B1101&lt;'111'!$N$11),"x","")</f>
        <v/>
      </c>
      <c r="R1101" s="39" t="str">
        <f>IF(ISERROR(FIND('112'!$M$9,G1101,1)),"",IF((AND(FIND('112'!$M$9,G1101,1)&gt;=1,$B1101&gt;='112'!$N$8,$B1101&lt;='112'!$O$8,OR($L1101='112'!$I$6,$M1101='112'!$I$6))),"x",""))</f>
        <v/>
      </c>
      <c r="S1101" s="39" t="str">
        <f>IF(ISERROR(FIND('112'!$M$9,G1101,1)),"",IF((AND(LEFT(G1101,2)=LEFT('112'!$M$9,2),B1101&lt;'112'!$N$8,$L1101='112'!$I$6)),"x",""))</f>
        <v/>
      </c>
      <c r="T1101" s="39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39" t="str">
        <f>IF(OR(TH!L1101=TH!$V$7,M1101=TH!$V$7),"x","")</f>
        <v/>
      </c>
      <c r="W1101" s="39" t="str">
        <f>IF(AND(B1101&gt;='IN-NX'!$P$3,B1101&lt;='IN-NX'!$Q$3,'IN-NX'!$D$7=D1101,OR(LEFT(L1101,2)="15",AND(LEFT(M1101,2)&lt;&gt;"15",LEFT(M1101,2)&lt;&gt;"33"))),"x","")</f>
        <v/>
      </c>
      <c r="X1101" s="39" t="str">
        <f>IF(AND(OR(LEFT(TH!L1101,2)="15",LEFT(TH!M1101,2)="15"),'152-CT'!$J$8=TH!F1101),"x","")</f>
        <v/>
      </c>
      <c r="Y1101" s="39" t="str">
        <f>IF(AND(OR(LEFT(TH!L1101,2)="15",LEFT(TH!M1101,2)="15"),TK!$E$7=TH!F1101),"x","")</f>
        <v/>
      </c>
      <c r="Z1101" s="39" t="str">
        <f>IF(AND(B1101&lt;=NKC!$N$8,B1101&gt;=NKC!$M$8),"x","")</f>
        <v/>
      </c>
      <c r="AA1101" s="894"/>
    </row>
    <row r="1102" spans="1:27" ht="15.75" customHeight="1">
      <c r="A1102" s="199" t="str">
        <f>IF(B1102&lt;&gt;"",IF(AND(B1102&gt;=_TM1,B1102&lt;=_TM2,OR(TH!L1102="1111",TH!M1102="1111")),TH!D1102,""),"")</f>
        <v/>
      </c>
      <c r="B1102" s="36" t="str">
        <f t="shared" si="42"/>
        <v/>
      </c>
      <c r="C1102" s="37"/>
      <c r="D1102" s="37"/>
      <c r="E1102" s="37"/>
      <c r="F1102" s="40"/>
      <c r="G1102" s="40"/>
      <c r="H1102" s="7"/>
      <c r="I1102" s="253"/>
      <c r="J1102" s="253"/>
      <c r="K1102" s="606"/>
      <c r="L1102" s="39"/>
      <c r="M1102" s="39"/>
      <c r="N1102" s="39" t="str">
        <f>IF(AND('331-CT'!$E$7=TH!H1102,OR(L1102="331",M1102="331")),"331",IF(AND(OR(L1102="131",M1102="131"),H1102='131-CT'!$E$7),"131",""))</f>
        <v/>
      </c>
      <c r="O1102" s="39" t="str">
        <f>IF(AND($B1102&gt;='111'!$N$11,$B1102&lt;='111'!$O$11,OR($L1102=$O$7,$M1102=$O$7)),"x","")</f>
        <v/>
      </c>
      <c r="P1102" s="39" t="str">
        <f>IF(AND($L1102=$O$7,$B1102&lt;'111'!$N$11),"x","")</f>
        <v/>
      </c>
      <c r="Q1102" s="39" t="str">
        <f>IF(AND($M1102=$O$7,$B1102&lt;'111'!$N$11),"x","")</f>
        <v/>
      </c>
      <c r="R1102" s="39" t="str">
        <f>IF(ISERROR(FIND('112'!$M$9,G1102,1)),"",IF((AND(FIND('112'!$M$9,G1102,1)&gt;=1,$B1102&gt;='112'!$N$8,$B1102&lt;='112'!$O$8,OR($L1102='112'!$I$6,$M1102='112'!$I$6))),"x",""))</f>
        <v/>
      </c>
      <c r="S1102" s="39" t="str">
        <f>IF(ISERROR(FIND('112'!$M$9,G1102,1)),"",IF((AND(LEFT(G1102,2)=LEFT('112'!$M$9,2),B1102&lt;'112'!$N$8,$L1102='112'!$I$6)),"x",""))</f>
        <v/>
      </c>
      <c r="T1102" s="39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39" t="str">
        <f>IF(OR(TH!L1102=TH!$V$7,M1102=TH!$V$7),"x","")</f>
        <v/>
      </c>
      <c r="W1102" s="39" t="str">
        <f>IF(AND(B1102&gt;='IN-NX'!$P$3,B1102&lt;='IN-NX'!$Q$3,'IN-NX'!$D$7=D1102,OR(LEFT(L1102,2)="15",AND(LEFT(M1102,2)&lt;&gt;"15",LEFT(M1102,2)&lt;&gt;"33"))),"x","")</f>
        <v/>
      </c>
      <c r="X1102" s="39" t="str">
        <f>IF(AND(OR(LEFT(TH!L1102,2)="15",LEFT(TH!M1102,2)="15"),'152-CT'!$J$8=TH!F1102),"x","")</f>
        <v/>
      </c>
      <c r="Y1102" s="39" t="str">
        <f>IF(AND(OR(LEFT(TH!L1102,2)="15",LEFT(TH!M1102,2)="15"),TK!$E$7=TH!F1102),"x","")</f>
        <v/>
      </c>
      <c r="Z1102" s="39" t="str">
        <f>IF(AND(B1102&lt;=NKC!$N$8,B1102&gt;=NKC!$M$8),"x","")</f>
        <v/>
      </c>
      <c r="AA1102" s="894"/>
    </row>
    <row r="1103" spans="1:27" ht="15.75" customHeight="1">
      <c r="A1103" s="199" t="str">
        <f>IF(B1103&lt;&gt;"",IF(AND(B1103&gt;=_TM1,B1103&lt;=_TM2,OR(TH!L1103="1111",TH!M1103="1111")),TH!D1103,""),"")</f>
        <v/>
      </c>
      <c r="B1103" s="36" t="str">
        <f t="shared" si="42"/>
        <v/>
      </c>
      <c r="C1103" s="37"/>
      <c r="D1103" s="37"/>
      <c r="E1103" s="37"/>
      <c r="F1103" s="40"/>
      <c r="G1103" s="40"/>
      <c r="H1103" s="7"/>
      <c r="I1103" s="253"/>
      <c r="J1103" s="253"/>
      <c r="K1103" s="606"/>
      <c r="L1103" s="39"/>
      <c r="M1103" s="39"/>
      <c r="N1103" s="39" t="str">
        <f>IF(AND('331-CT'!$E$7=TH!H1103,OR(L1103="331",M1103="331")),"331",IF(AND(OR(L1103="131",M1103="131"),H1103='131-CT'!$E$7),"131",""))</f>
        <v/>
      </c>
      <c r="O1103" s="39" t="str">
        <f>IF(AND($B1103&gt;='111'!$N$11,$B1103&lt;='111'!$O$11,OR($L1103=$O$7,$M1103=$O$7)),"x","")</f>
        <v/>
      </c>
      <c r="P1103" s="39" t="str">
        <f>IF(AND($L1103=$O$7,$B1103&lt;'111'!$N$11),"x","")</f>
        <v/>
      </c>
      <c r="Q1103" s="39" t="str">
        <f>IF(AND($M1103=$O$7,$B1103&lt;'111'!$N$11),"x","")</f>
        <v/>
      </c>
      <c r="R1103" s="39" t="str">
        <f>IF(ISERROR(FIND('112'!$M$9,G1103,1)),"",IF((AND(FIND('112'!$M$9,G1103,1)&gt;=1,$B1103&gt;='112'!$N$8,$B1103&lt;='112'!$O$8,OR($L1103='112'!$I$6,$M1103='112'!$I$6))),"x",""))</f>
        <v/>
      </c>
      <c r="S1103" s="39" t="str">
        <f>IF(ISERROR(FIND('112'!$M$9,G1103,1)),"",IF((AND(LEFT(G1103,2)=LEFT('112'!$M$9,2),B1103&lt;'112'!$N$8,$L1103='112'!$I$6)),"x",""))</f>
        <v/>
      </c>
      <c r="T1103" s="39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39" t="str">
        <f>IF(OR(TH!L1103=TH!$V$7,M1103=TH!$V$7),"x","")</f>
        <v/>
      </c>
      <c r="W1103" s="39" t="str">
        <f>IF(AND(B1103&gt;='IN-NX'!$P$3,B1103&lt;='IN-NX'!$Q$3,'IN-NX'!$D$7=D1103,OR(LEFT(L1103,2)="15",AND(LEFT(M1103,2)&lt;&gt;"15",LEFT(M1103,2)&lt;&gt;"33"))),"x","")</f>
        <v/>
      </c>
      <c r="X1103" s="39" t="str">
        <f>IF(AND(OR(LEFT(TH!L1103,2)="15",LEFT(TH!M1103,2)="15"),'152-CT'!$J$8=TH!F1103),"x","")</f>
        <v/>
      </c>
      <c r="Y1103" s="39" t="str">
        <f>IF(AND(OR(LEFT(TH!L1103,2)="15",LEFT(TH!M1103,2)="15"),TK!$E$7=TH!F1103),"x","")</f>
        <v/>
      </c>
      <c r="Z1103" s="39" t="str">
        <f>IF(AND(B1103&lt;=NKC!$N$8,B1103&gt;=NKC!$M$8),"x","")</f>
        <v/>
      </c>
      <c r="AA1103" s="894"/>
    </row>
    <row r="1104" spans="1:27" ht="15.75" customHeight="1">
      <c r="A1104" s="199" t="str">
        <f>IF(B1104&lt;&gt;"",IF(AND(B1104&gt;=_TM1,B1104&lt;=_TM2,OR(TH!L1104="1111",TH!M1104="1111")),TH!D1104,""),"")</f>
        <v/>
      </c>
      <c r="B1104" s="36" t="str">
        <f t="shared" si="42"/>
        <v/>
      </c>
      <c r="C1104" s="37"/>
      <c r="D1104" s="37"/>
      <c r="E1104" s="37"/>
      <c r="F1104" s="40"/>
      <c r="G1104" s="40"/>
      <c r="H1104" s="7"/>
      <c r="I1104" s="253"/>
      <c r="J1104" s="253"/>
      <c r="K1104" s="606"/>
      <c r="L1104" s="39"/>
      <c r="M1104" s="39"/>
      <c r="N1104" s="39" t="str">
        <f>IF(AND('331-CT'!$E$7=TH!H1104,OR(L1104="331",M1104="331")),"331",IF(AND(OR(L1104="131",M1104="131"),H1104='131-CT'!$E$7),"131",""))</f>
        <v/>
      </c>
      <c r="O1104" s="39" t="str">
        <f>IF(AND($B1104&gt;='111'!$N$11,$B1104&lt;='111'!$O$11,OR($L1104=$O$7,$M1104=$O$7)),"x","")</f>
        <v/>
      </c>
      <c r="P1104" s="39" t="str">
        <f>IF(AND($L1104=$O$7,$B1104&lt;'111'!$N$11),"x","")</f>
        <v/>
      </c>
      <c r="Q1104" s="39" t="str">
        <f>IF(AND($M1104=$O$7,$B1104&lt;'111'!$N$11),"x","")</f>
        <v/>
      </c>
      <c r="R1104" s="39" t="str">
        <f>IF(ISERROR(FIND('112'!$M$9,G1104,1)),"",IF((AND(FIND('112'!$M$9,G1104,1)&gt;=1,$B1104&gt;='112'!$N$8,$B1104&lt;='112'!$O$8,OR($L1104='112'!$I$6,$M1104='112'!$I$6))),"x",""))</f>
        <v/>
      </c>
      <c r="S1104" s="39" t="str">
        <f>IF(ISERROR(FIND('112'!$M$9,G1104,1)),"",IF((AND(LEFT(G1104,2)=LEFT('112'!$M$9,2),B1104&lt;'112'!$N$8,$L1104='112'!$I$6)),"x",""))</f>
        <v/>
      </c>
      <c r="T1104" s="39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39" t="str">
        <f>IF(OR(TH!L1104=TH!$V$7,M1104=TH!$V$7),"x","")</f>
        <v/>
      </c>
      <c r="W1104" s="39" t="str">
        <f>IF(AND(B1104&gt;='IN-NX'!$P$3,B1104&lt;='IN-NX'!$Q$3,'IN-NX'!$D$7=D1104,OR(LEFT(L1104,2)="15",AND(LEFT(M1104,2)&lt;&gt;"15",LEFT(M1104,2)&lt;&gt;"33"))),"x","")</f>
        <v/>
      </c>
      <c r="X1104" s="39" t="str">
        <f>IF(AND(OR(LEFT(TH!L1104,2)="15",LEFT(TH!M1104,2)="15"),'152-CT'!$J$8=TH!F1104),"x","")</f>
        <v/>
      </c>
      <c r="Y1104" s="39" t="str">
        <f>IF(AND(OR(LEFT(TH!L1104,2)="15",LEFT(TH!M1104,2)="15"),TK!$E$7=TH!F1104),"x","")</f>
        <v/>
      </c>
      <c r="Z1104" s="39" t="str">
        <f>IF(AND(B1104&lt;=NKC!$N$8,B1104&gt;=NKC!$M$8),"x","")</f>
        <v/>
      </c>
      <c r="AA1104" s="894"/>
    </row>
    <row r="1105" spans="1:27" ht="15.75" customHeight="1">
      <c r="A1105" s="199" t="str">
        <f>IF(B1105&lt;&gt;"",IF(AND(B1105&gt;=_TM1,B1105&lt;=_TM2,OR(TH!L1105="1111",TH!M1105="1111")),TH!D1105,""),"")</f>
        <v/>
      </c>
      <c r="B1105" s="36" t="str">
        <f t="shared" si="42"/>
        <v/>
      </c>
      <c r="C1105" s="37"/>
      <c r="D1105" s="37"/>
      <c r="E1105" s="37"/>
      <c r="F1105" s="40"/>
      <c r="G1105" s="40"/>
      <c r="H1105" s="7"/>
      <c r="I1105" s="253"/>
      <c r="J1105" s="253"/>
      <c r="K1105" s="606"/>
      <c r="L1105" s="39"/>
      <c r="M1105" s="39"/>
      <c r="N1105" s="39" t="str">
        <f>IF(AND('331-CT'!$E$7=TH!H1105,OR(L1105="331",M1105="331")),"331",IF(AND(OR(L1105="131",M1105="131"),H1105='131-CT'!$E$7),"131",""))</f>
        <v/>
      </c>
      <c r="O1105" s="39" t="str">
        <f>IF(AND($B1105&gt;='111'!$N$11,$B1105&lt;='111'!$O$11,OR($L1105=$O$7,$M1105=$O$7)),"x","")</f>
        <v/>
      </c>
      <c r="P1105" s="39" t="str">
        <f>IF(AND($L1105=$O$7,$B1105&lt;'111'!$N$11),"x","")</f>
        <v/>
      </c>
      <c r="Q1105" s="39" t="str">
        <f>IF(AND($M1105=$O$7,$B1105&lt;'111'!$N$11),"x","")</f>
        <v/>
      </c>
      <c r="R1105" s="39" t="str">
        <f>IF(ISERROR(FIND('112'!$M$9,G1105,1)),"",IF((AND(FIND('112'!$M$9,G1105,1)&gt;=1,$B1105&gt;='112'!$N$8,$B1105&lt;='112'!$O$8,OR($L1105='112'!$I$6,$M1105='112'!$I$6))),"x",""))</f>
        <v/>
      </c>
      <c r="S1105" s="39" t="str">
        <f>IF(ISERROR(FIND('112'!$M$9,G1105,1)),"",IF((AND(LEFT(G1105,2)=LEFT('112'!$M$9,2),B1105&lt;'112'!$N$8,$L1105='112'!$I$6)),"x",""))</f>
        <v/>
      </c>
      <c r="T1105" s="39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39" t="str">
        <f>IF(OR(TH!L1105=TH!$V$7,M1105=TH!$V$7),"x","")</f>
        <v/>
      </c>
      <c r="W1105" s="39" t="str">
        <f>IF(AND(B1105&gt;='IN-NX'!$P$3,B1105&lt;='IN-NX'!$Q$3,'IN-NX'!$D$7=D1105,OR(LEFT(L1105,2)="15",AND(LEFT(M1105,2)&lt;&gt;"15",LEFT(M1105,2)&lt;&gt;"33"))),"x","")</f>
        <v/>
      </c>
      <c r="X1105" s="39" t="str">
        <f>IF(AND(OR(LEFT(TH!L1105,2)="15",LEFT(TH!M1105,2)="15"),'152-CT'!$J$8=TH!F1105),"x","")</f>
        <v/>
      </c>
      <c r="Y1105" s="39" t="str">
        <f>IF(AND(OR(LEFT(TH!L1105,2)="15",LEFT(TH!M1105,2)="15"),TK!$E$7=TH!F1105),"x","")</f>
        <v/>
      </c>
      <c r="Z1105" s="39" t="str">
        <f>IF(AND(B1105&lt;=NKC!$N$8,B1105&gt;=NKC!$M$8),"x","")</f>
        <v/>
      </c>
      <c r="AA1105" s="894"/>
    </row>
    <row r="1106" spans="1:27" ht="15.75" customHeight="1">
      <c r="A1106" s="199" t="str">
        <f>IF(B1106&lt;&gt;"",IF(AND(B1106&gt;=_TM1,B1106&lt;=_TM2,OR(TH!L1106="1111",TH!M1106="1111")),TH!D1106,""),"")</f>
        <v/>
      </c>
      <c r="B1106" s="36" t="str">
        <f t="shared" si="42"/>
        <v/>
      </c>
      <c r="C1106" s="37"/>
      <c r="D1106" s="37"/>
      <c r="E1106" s="37"/>
      <c r="F1106" s="40"/>
      <c r="G1106" s="40"/>
      <c r="H1106" s="7"/>
      <c r="I1106" s="253"/>
      <c r="J1106" s="253"/>
      <c r="K1106" s="606"/>
      <c r="L1106" s="39"/>
      <c r="M1106" s="39"/>
      <c r="N1106" s="39" t="str">
        <f>IF(AND('331-CT'!$E$7=TH!H1106,OR(L1106="331",M1106="331")),"331",IF(AND(OR(L1106="131",M1106="131"),H1106='131-CT'!$E$7),"131",""))</f>
        <v/>
      </c>
      <c r="O1106" s="39" t="str">
        <f>IF(AND($B1106&gt;='111'!$N$11,$B1106&lt;='111'!$O$11,OR($L1106=$O$7,$M1106=$O$7)),"x","")</f>
        <v/>
      </c>
      <c r="P1106" s="39" t="str">
        <f>IF(AND($L1106=$O$7,$B1106&lt;'111'!$N$11),"x","")</f>
        <v/>
      </c>
      <c r="Q1106" s="39" t="str">
        <f>IF(AND($M1106=$O$7,$B1106&lt;'111'!$N$11),"x","")</f>
        <v/>
      </c>
      <c r="R1106" s="39" t="str">
        <f>IF(ISERROR(FIND('112'!$M$9,G1106,1)),"",IF((AND(FIND('112'!$M$9,G1106,1)&gt;=1,$B1106&gt;='112'!$N$8,$B1106&lt;='112'!$O$8,OR($L1106='112'!$I$6,$M1106='112'!$I$6))),"x",""))</f>
        <v/>
      </c>
      <c r="S1106" s="39" t="str">
        <f>IF(ISERROR(FIND('112'!$M$9,G1106,1)),"",IF((AND(LEFT(G1106,2)=LEFT('112'!$M$9,2),B1106&lt;'112'!$N$8,$L1106='112'!$I$6)),"x",""))</f>
        <v/>
      </c>
      <c r="T1106" s="39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39" t="str">
        <f>IF(OR(TH!L1106=TH!$V$7,M1106=TH!$V$7),"x","")</f>
        <v/>
      </c>
      <c r="W1106" s="39" t="str">
        <f>IF(AND(B1106&gt;='IN-NX'!$P$3,B1106&lt;='IN-NX'!$Q$3,'IN-NX'!$D$7=D1106,OR(LEFT(L1106,2)="15",AND(LEFT(M1106,2)&lt;&gt;"15",LEFT(M1106,2)&lt;&gt;"33"))),"x","")</f>
        <v/>
      </c>
      <c r="X1106" s="39" t="str">
        <f>IF(AND(OR(LEFT(TH!L1106,2)="15",LEFT(TH!M1106,2)="15"),'152-CT'!$J$8=TH!F1106),"x","")</f>
        <v/>
      </c>
      <c r="Y1106" s="39" t="str">
        <f>IF(AND(OR(LEFT(TH!L1106,2)="15",LEFT(TH!M1106,2)="15"),TK!$E$7=TH!F1106),"x","")</f>
        <v/>
      </c>
      <c r="Z1106" s="39" t="str">
        <f>IF(AND(B1106&lt;=NKC!$N$8,B1106&gt;=NKC!$M$8),"x","")</f>
        <v/>
      </c>
      <c r="AA1106" s="894"/>
    </row>
    <row r="1107" spans="1:27" ht="15.75" customHeight="1">
      <c r="A1107" s="199" t="str">
        <f>IF(B1107&lt;&gt;"",IF(AND(B1107&gt;=_TM1,B1107&lt;=_TM2,OR(TH!L1107="1111",TH!M1107="1111")),TH!D1107,""),"")</f>
        <v/>
      </c>
      <c r="B1107" s="36" t="str">
        <f t="shared" si="42"/>
        <v/>
      </c>
      <c r="C1107" s="37"/>
      <c r="D1107" s="37"/>
      <c r="E1107" s="37"/>
      <c r="F1107" s="40"/>
      <c r="G1107" s="40"/>
      <c r="H1107" s="7"/>
      <c r="I1107" s="253"/>
      <c r="J1107" s="253"/>
      <c r="K1107" s="606"/>
      <c r="L1107" s="39"/>
      <c r="M1107" s="39"/>
      <c r="N1107" s="39" t="str">
        <f>IF(AND('331-CT'!$E$7=TH!H1107,OR(L1107="331",M1107="331")),"331",IF(AND(OR(L1107="131",M1107="131"),H1107='131-CT'!$E$7),"131",""))</f>
        <v/>
      </c>
      <c r="O1107" s="39" t="str">
        <f>IF(AND($B1107&gt;='111'!$N$11,$B1107&lt;='111'!$O$11,OR($L1107=$O$7,$M1107=$O$7)),"x","")</f>
        <v/>
      </c>
      <c r="P1107" s="39" t="str">
        <f>IF(AND($L1107=$O$7,$B1107&lt;'111'!$N$11),"x","")</f>
        <v/>
      </c>
      <c r="Q1107" s="39" t="str">
        <f>IF(AND($M1107=$O$7,$B1107&lt;'111'!$N$11),"x","")</f>
        <v/>
      </c>
      <c r="R1107" s="39" t="str">
        <f>IF(ISERROR(FIND('112'!$M$9,G1107,1)),"",IF((AND(FIND('112'!$M$9,G1107,1)&gt;=1,$B1107&gt;='112'!$N$8,$B1107&lt;='112'!$O$8,OR($L1107='112'!$I$6,$M1107='112'!$I$6))),"x",""))</f>
        <v/>
      </c>
      <c r="S1107" s="39" t="str">
        <f>IF(ISERROR(FIND('112'!$M$9,G1107,1)),"",IF((AND(LEFT(G1107,2)=LEFT('112'!$M$9,2),B1107&lt;'112'!$N$8,$L1107='112'!$I$6)),"x",""))</f>
        <v/>
      </c>
      <c r="T1107" s="39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39" t="str">
        <f>IF(OR(TH!L1107=TH!$V$7,M1107=TH!$V$7),"x","")</f>
        <v/>
      </c>
      <c r="W1107" s="39" t="str">
        <f>IF(AND(B1107&gt;='IN-NX'!$P$3,B1107&lt;='IN-NX'!$Q$3,'IN-NX'!$D$7=D1107,OR(LEFT(L1107,2)="15",AND(LEFT(M1107,2)&lt;&gt;"15",LEFT(M1107,2)&lt;&gt;"33"))),"x","")</f>
        <v/>
      </c>
      <c r="X1107" s="39" t="str">
        <f>IF(AND(OR(LEFT(TH!L1107,2)="15",LEFT(TH!M1107,2)="15"),'152-CT'!$J$8=TH!F1107),"x","")</f>
        <v/>
      </c>
      <c r="Y1107" s="39" t="str">
        <f>IF(AND(OR(LEFT(TH!L1107,2)="15",LEFT(TH!M1107,2)="15"),TK!$E$7=TH!F1107),"x","")</f>
        <v/>
      </c>
      <c r="Z1107" s="39" t="str">
        <f>IF(AND(B1107&lt;=NKC!$N$8,B1107&gt;=NKC!$M$8),"x","")</f>
        <v/>
      </c>
      <c r="AA1107" s="894"/>
    </row>
    <row r="1108" spans="1:27" ht="15.75" customHeight="1">
      <c r="A1108" s="199" t="str">
        <f>IF(B1108&lt;&gt;"",IF(AND(B1108&gt;=_TM1,B1108&lt;=_TM2,OR(TH!L1108="1111",TH!M1108="1111")),TH!D1108,""),"")</f>
        <v/>
      </c>
      <c r="B1108" s="36" t="str">
        <f t="shared" si="42"/>
        <v/>
      </c>
      <c r="C1108" s="37"/>
      <c r="D1108" s="37"/>
      <c r="E1108" s="37"/>
      <c r="F1108" s="40"/>
      <c r="G1108" s="40"/>
      <c r="H1108" s="7"/>
      <c r="I1108" s="253"/>
      <c r="J1108" s="253"/>
      <c r="K1108" s="606"/>
      <c r="L1108" s="39"/>
      <c r="M1108" s="39"/>
      <c r="N1108" s="39" t="str">
        <f>IF(AND('331-CT'!$E$7=TH!H1108,OR(L1108="331",M1108="331")),"331",IF(AND(OR(L1108="131",M1108="131"),H1108='131-CT'!$E$7),"131",""))</f>
        <v/>
      </c>
      <c r="O1108" s="39" t="str">
        <f>IF(AND($B1108&gt;='111'!$N$11,$B1108&lt;='111'!$O$11,OR($L1108=$O$7,$M1108=$O$7)),"x","")</f>
        <v/>
      </c>
      <c r="P1108" s="39" t="str">
        <f>IF(AND($L1108=$O$7,$B1108&lt;'111'!$N$11),"x","")</f>
        <v/>
      </c>
      <c r="Q1108" s="39" t="str">
        <f>IF(AND($M1108=$O$7,$B1108&lt;'111'!$N$11),"x","")</f>
        <v/>
      </c>
      <c r="R1108" s="39" t="str">
        <f>IF(ISERROR(FIND('112'!$M$9,G1108,1)),"",IF((AND(FIND('112'!$M$9,G1108,1)&gt;=1,$B1108&gt;='112'!$N$8,$B1108&lt;='112'!$O$8,OR($L1108='112'!$I$6,$M1108='112'!$I$6))),"x",""))</f>
        <v/>
      </c>
      <c r="S1108" s="39" t="str">
        <f>IF(ISERROR(FIND('112'!$M$9,G1108,1)),"",IF((AND(LEFT(G1108,2)=LEFT('112'!$M$9,2),B1108&lt;'112'!$N$8,$L1108='112'!$I$6)),"x",""))</f>
        <v/>
      </c>
      <c r="T1108" s="39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39" t="str">
        <f>IF(OR(TH!L1108=TH!$V$7,M1108=TH!$V$7),"x","")</f>
        <v/>
      </c>
      <c r="W1108" s="39" t="str">
        <f>IF(AND(B1108&gt;='IN-NX'!$P$3,B1108&lt;='IN-NX'!$Q$3,'IN-NX'!$D$7=D1108,OR(LEFT(L1108,2)="15",AND(LEFT(M1108,2)&lt;&gt;"15",LEFT(M1108,2)&lt;&gt;"33"))),"x","")</f>
        <v/>
      </c>
      <c r="X1108" s="39" t="str">
        <f>IF(AND(OR(LEFT(TH!L1108,2)="15",LEFT(TH!M1108,2)="15"),'152-CT'!$J$8=TH!F1108),"x","")</f>
        <v/>
      </c>
      <c r="Y1108" s="39" t="str">
        <f>IF(AND(OR(LEFT(TH!L1108,2)="15",LEFT(TH!M1108,2)="15"),TK!$E$7=TH!F1108),"x","")</f>
        <v/>
      </c>
      <c r="Z1108" s="39" t="str">
        <f>IF(AND(B1108&lt;=NKC!$N$8,B1108&gt;=NKC!$M$8),"x","")</f>
        <v/>
      </c>
      <c r="AA1108" s="894"/>
    </row>
    <row r="1109" spans="1:27" ht="15.75" customHeight="1">
      <c r="A1109" s="199" t="str">
        <f>IF(B1109&lt;&gt;"",IF(AND(B1109&gt;=_TM1,B1109&lt;=_TM2,OR(TH!L1109="1111",TH!M1109="1111")),TH!D1109,""),"")</f>
        <v/>
      </c>
      <c r="B1109" s="36" t="str">
        <f t="shared" si="42"/>
        <v/>
      </c>
      <c r="C1109" s="37"/>
      <c r="D1109" s="37"/>
      <c r="E1109" s="37"/>
      <c r="F1109" s="40"/>
      <c r="G1109" s="40"/>
      <c r="H1109" s="7"/>
      <c r="I1109" s="253"/>
      <c r="J1109" s="253"/>
      <c r="K1109" s="606"/>
      <c r="L1109" s="39"/>
      <c r="M1109" s="39"/>
      <c r="N1109" s="39" t="str">
        <f>IF(AND('331-CT'!$E$7=TH!H1109,OR(L1109="331",M1109="331")),"331",IF(AND(OR(L1109="131",M1109="131"),H1109='131-CT'!$E$7),"131",""))</f>
        <v/>
      </c>
      <c r="O1109" s="39" t="str">
        <f>IF(AND($B1109&gt;='111'!$N$11,$B1109&lt;='111'!$O$11,OR($L1109=$O$7,$M1109=$O$7)),"x","")</f>
        <v/>
      </c>
      <c r="P1109" s="39" t="str">
        <f>IF(AND($L1109=$O$7,$B1109&lt;'111'!$N$11),"x","")</f>
        <v/>
      </c>
      <c r="Q1109" s="39" t="str">
        <f>IF(AND($M1109=$O$7,$B1109&lt;'111'!$N$11),"x","")</f>
        <v/>
      </c>
      <c r="R1109" s="39" t="str">
        <f>IF(ISERROR(FIND('112'!$M$9,G1109,1)),"",IF((AND(FIND('112'!$M$9,G1109,1)&gt;=1,$B1109&gt;='112'!$N$8,$B1109&lt;='112'!$O$8,OR($L1109='112'!$I$6,$M1109='112'!$I$6))),"x",""))</f>
        <v/>
      </c>
      <c r="S1109" s="39" t="str">
        <f>IF(ISERROR(FIND('112'!$M$9,G1109,1)),"",IF((AND(LEFT(G1109,2)=LEFT('112'!$M$9,2),B1109&lt;'112'!$N$8,$L1109='112'!$I$6)),"x",""))</f>
        <v/>
      </c>
      <c r="T1109" s="39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39" t="str">
        <f>IF(OR(TH!L1109=TH!$V$7,M1109=TH!$V$7),"x","")</f>
        <v/>
      </c>
      <c r="W1109" s="39" t="str">
        <f>IF(AND(B1109&gt;='IN-NX'!$P$3,B1109&lt;='IN-NX'!$Q$3,'IN-NX'!$D$7=D1109,OR(LEFT(L1109,2)="15",AND(LEFT(M1109,2)&lt;&gt;"15",LEFT(M1109,2)&lt;&gt;"33"))),"x","")</f>
        <v/>
      </c>
      <c r="X1109" s="39" t="str">
        <f>IF(AND(OR(LEFT(TH!L1109,2)="15",LEFT(TH!M1109,2)="15"),'152-CT'!$J$8=TH!F1109),"x","")</f>
        <v/>
      </c>
      <c r="Y1109" s="39" t="str">
        <f>IF(AND(OR(LEFT(TH!L1109,2)="15",LEFT(TH!M1109,2)="15"),TK!$E$7=TH!F1109),"x","")</f>
        <v/>
      </c>
      <c r="Z1109" s="39" t="str">
        <f>IF(AND(B1109&lt;=NKC!$N$8,B1109&gt;=NKC!$M$8),"x","")</f>
        <v/>
      </c>
      <c r="AA1109" s="894"/>
    </row>
    <row r="1110" spans="1:27" ht="15.75" customHeight="1">
      <c r="A1110" s="199" t="str">
        <f>IF(B1110&lt;&gt;"",IF(AND(B1110&gt;=_TM1,B1110&lt;=_TM2,OR(TH!L1110="1111",TH!M1110="1111")),TH!D1110,""),"")</f>
        <v/>
      </c>
      <c r="B1110" s="36" t="str">
        <f t="shared" si="42"/>
        <v/>
      </c>
      <c r="C1110" s="37"/>
      <c r="D1110" s="37"/>
      <c r="E1110" s="37"/>
      <c r="F1110" s="40"/>
      <c r="G1110" s="40"/>
      <c r="H1110" s="7"/>
      <c r="I1110" s="253"/>
      <c r="J1110" s="253"/>
      <c r="K1110" s="606"/>
      <c r="L1110" s="39"/>
      <c r="M1110" s="39"/>
      <c r="N1110" s="39" t="str">
        <f>IF(AND('331-CT'!$E$7=TH!H1110,OR(L1110="331",M1110="331")),"331",IF(AND(OR(L1110="131",M1110="131"),H1110='131-CT'!$E$7),"131",""))</f>
        <v/>
      </c>
      <c r="O1110" s="39" t="str">
        <f>IF(AND($B1110&gt;='111'!$N$11,$B1110&lt;='111'!$O$11,OR($L1110=$O$7,$M1110=$O$7)),"x","")</f>
        <v/>
      </c>
      <c r="P1110" s="39" t="str">
        <f>IF(AND($L1110=$O$7,$B1110&lt;'111'!$N$11),"x","")</f>
        <v/>
      </c>
      <c r="Q1110" s="39" t="str">
        <f>IF(AND($M1110=$O$7,$B1110&lt;'111'!$N$11),"x","")</f>
        <v/>
      </c>
      <c r="R1110" s="39" t="str">
        <f>IF(ISERROR(FIND('112'!$M$9,G1110,1)),"",IF((AND(FIND('112'!$M$9,G1110,1)&gt;=1,$B1110&gt;='112'!$N$8,$B1110&lt;='112'!$O$8,OR($L1110='112'!$I$6,$M1110='112'!$I$6))),"x",""))</f>
        <v/>
      </c>
      <c r="S1110" s="39" t="str">
        <f>IF(ISERROR(FIND('112'!$M$9,G1110,1)),"",IF((AND(LEFT(G1110,2)=LEFT('112'!$M$9,2),B1110&lt;'112'!$N$8,$L1110='112'!$I$6)),"x",""))</f>
        <v/>
      </c>
      <c r="T1110" s="39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39" t="str">
        <f>IF(OR(TH!L1110=TH!$V$7,M1110=TH!$V$7),"x","")</f>
        <v/>
      </c>
      <c r="W1110" s="39" t="str">
        <f>IF(AND(B1110&gt;='IN-NX'!$P$3,B1110&lt;='IN-NX'!$Q$3,'IN-NX'!$D$7=D1110,OR(LEFT(L1110,2)="15",AND(LEFT(M1110,2)&lt;&gt;"15",LEFT(M1110,2)&lt;&gt;"33"))),"x","")</f>
        <v/>
      </c>
      <c r="X1110" s="39" t="str">
        <f>IF(AND(OR(LEFT(TH!L1110,2)="15",LEFT(TH!M1110,2)="15"),'152-CT'!$J$8=TH!F1110),"x","")</f>
        <v/>
      </c>
      <c r="Y1110" s="39" t="str">
        <f>IF(AND(OR(LEFT(TH!L1110,2)="15",LEFT(TH!M1110,2)="15"),TK!$E$7=TH!F1110),"x","")</f>
        <v/>
      </c>
      <c r="Z1110" s="39" t="str">
        <f>IF(AND(B1110&lt;=NKC!$N$8,B1110&gt;=NKC!$M$8),"x","")</f>
        <v/>
      </c>
      <c r="AA1110" s="894"/>
    </row>
    <row r="1111" spans="1:27" ht="15.75" customHeight="1">
      <c r="A1111" s="199" t="str">
        <f>IF(B1111&lt;&gt;"",IF(AND(B1111&gt;=_TM1,B1111&lt;=_TM2,OR(TH!L1111="1111",TH!M1111="1111")),TH!D1111,""),"")</f>
        <v/>
      </c>
      <c r="B1111" s="36" t="str">
        <f t="shared" si="42"/>
        <v/>
      </c>
      <c r="C1111" s="190"/>
      <c r="D1111" s="183"/>
      <c r="E1111" s="190"/>
      <c r="F1111" s="191"/>
      <c r="G1111" s="491"/>
      <c r="H1111" s="45"/>
      <c r="I1111" s="253"/>
      <c r="J1111" s="253"/>
      <c r="K1111" s="606"/>
      <c r="L1111" s="193"/>
      <c r="M1111" s="193"/>
      <c r="N1111" s="39" t="str">
        <f>IF(AND('331-CT'!$E$7=TH!H1111,OR(L1111="331",M1111="331")),"331",IF(AND(OR(L1111="131",M1111="131"),H1111='131-CT'!$E$7),"131",""))</f>
        <v/>
      </c>
      <c r="O1111" s="39" t="str">
        <f>IF(AND($B1111&gt;='111'!$N$11,$B1111&lt;='111'!$O$11,OR($L1111=$O$7,$M1111=$O$7)),"x","")</f>
        <v/>
      </c>
      <c r="P1111" s="39" t="str">
        <f>IF(AND($L1111=$O$7,$B1111&lt;'111'!$N$11),"x","")</f>
        <v/>
      </c>
      <c r="Q1111" s="39" t="str">
        <f>IF(AND($M1111=$O$7,$B1111&lt;'111'!$N$11),"x","")</f>
        <v/>
      </c>
      <c r="R1111" s="39" t="str">
        <f>IF(ISERROR(FIND('112'!$M$9,G1111,1)),"",IF((AND(FIND('112'!$M$9,G1111,1)&gt;=1,$B1111&gt;='112'!$N$8,$B1111&lt;='112'!$O$8,OR($L1111='112'!$I$6,$M1111='112'!$I$6))),"x",""))</f>
        <v/>
      </c>
      <c r="S1111" s="39" t="str">
        <f>IF(ISERROR(FIND('112'!$M$9,G1111,1)),"",IF((AND(LEFT(G1111,2)=LEFT('112'!$M$9,2),B1111&lt;'112'!$N$8,$L1111='112'!$I$6)),"x",""))</f>
        <v/>
      </c>
      <c r="T1111" s="39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39" t="str">
        <f>IF(OR(TH!L1111=TH!$V$7,M1111=TH!$V$7),"x","")</f>
        <v/>
      </c>
      <c r="W1111" s="39" t="str">
        <f>IF(AND(B1111&gt;='IN-NX'!$P$3,B1111&lt;='IN-NX'!$Q$3,'IN-NX'!$D$7=D1111,OR(LEFT(L1111,2)="15",AND(LEFT(M1111,2)&lt;&gt;"15",LEFT(M1111,2)&lt;&gt;"33"))),"x","")</f>
        <v/>
      </c>
      <c r="X1111" s="39" t="str">
        <f>IF(AND(OR(LEFT(TH!L1111,2)="15",LEFT(TH!M1111,2)="15"),'152-CT'!$J$8=TH!F1111),"x","")</f>
        <v/>
      </c>
      <c r="Y1111" s="39" t="str">
        <f>IF(AND(OR(LEFT(TH!L1111,2)="15",LEFT(TH!M1111,2)="15"),TK!$E$7=TH!F1111),"x","")</f>
        <v/>
      </c>
      <c r="Z1111" s="39" t="str">
        <f>IF(AND(B1111&lt;=NKC!$N$8,B1111&gt;=NKC!$M$8),"x","")</f>
        <v/>
      </c>
      <c r="AA1111" s="894"/>
    </row>
    <row r="1112" spans="1:27" ht="15.75" customHeight="1">
      <c r="A1112" s="199" t="str">
        <f>IF(B1112&lt;&gt;"",IF(AND(B1112&gt;=_TM1,B1112&lt;=_TM2,OR(TH!L1112="1111",TH!M1112="1111")),TH!D1112,""),"")</f>
        <v/>
      </c>
      <c r="B1112" s="36" t="str">
        <f t="shared" si="42"/>
        <v/>
      </c>
      <c r="C1112" s="190"/>
      <c r="D1112" s="183"/>
      <c r="E1112" s="190"/>
      <c r="F1112" s="191"/>
      <c r="G1112" s="491"/>
      <c r="H1112" s="45"/>
      <c r="I1112" s="253"/>
      <c r="J1112" s="253"/>
      <c r="K1112" s="38"/>
      <c r="L1112" s="193"/>
      <c r="M1112" s="193"/>
      <c r="N1112" s="39" t="str">
        <f>IF(AND('331-CT'!$E$7=TH!H1112,OR(L1112="331",M1112="331")),"331",IF(AND(OR(L1112="131",M1112="131"),H1112='131-CT'!$E$7),"131",""))</f>
        <v/>
      </c>
      <c r="O1112" s="39" t="str">
        <f>IF(AND($B1112&gt;='111'!$N$11,$B1112&lt;='111'!$O$11,OR($L1112=$O$7,$M1112=$O$7)),"x","")</f>
        <v/>
      </c>
      <c r="P1112" s="39" t="str">
        <f>IF(AND($L1112=$O$7,$B1112&lt;'111'!$N$11),"x","")</f>
        <v/>
      </c>
      <c r="Q1112" s="39" t="str">
        <f>IF(AND($M1112=$O$7,$B1112&lt;'111'!$N$11),"x","")</f>
        <v/>
      </c>
      <c r="R1112" s="39" t="str">
        <f>IF(ISERROR(FIND('112'!$M$9,G1112,1)),"",IF((AND(FIND('112'!$M$9,G1112,1)&gt;=1,$B1112&gt;='112'!$N$8,$B1112&lt;='112'!$O$8,OR($L1112='112'!$I$6,$M1112='112'!$I$6))),"x",""))</f>
        <v/>
      </c>
      <c r="S1112" s="39" t="str">
        <f>IF(ISERROR(FIND('112'!$M$9,G1112,1)),"",IF((AND(LEFT(G1112,2)=LEFT('112'!$M$9,2),B1112&lt;'112'!$N$8,$L1112='112'!$I$6)),"x",""))</f>
        <v/>
      </c>
      <c r="T1112" s="39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39" t="str">
        <f>IF(OR(TH!L1112=TH!$V$7,M1112=TH!$V$7),"x","")</f>
        <v/>
      </c>
      <c r="W1112" s="39" t="str">
        <f>IF(AND(B1112&gt;='IN-NX'!$P$3,B1112&lt;='IN-NX'!$Q$3,'IN-NX'!$D$7=D1112,OR(LEFT(L1112,2)="15",AND(LEFT(M1112,2)&lt;&gt;"15",LEFT(M1112,2)&lt;&gt;"33"))),"x","")</f>
        <v/>
      </c>
      <c r="X1112" s="39" t="str">
        <f>IF(AND(OR(LEFT(TH!L1112,2)="15",LEFT(TH!M1112,2)="15"),'152-CT'!$J$8=TH!F1112),"x","")</f>
        <v/>
      </c>
      <c r="Y1112" s="39" t="str">
        <f>IF(AND(OR(LEFT(TH!L1112,2)="15",LEFT(TH!M1112,2)="15"),TK!$E$7=TH!F1112),"x","")</f>
        <v/>
      </c>
      <c r="Z1112" s="39" t="str">
        <f>IF(AND(B1112&lt;=NKC!$N$8,B1112&gt;=NKC!$M$8),"x","")</f>
        <v/>
      </c>
      <c r="AA1112" s="894"/>
    </row>
    <row r="1113" spans="1:27" ht="15.75" customHeight="1">
      <c r="A1113" s="199" t="str">
        <f>IF(B1113&lt;&gt;"",IF(AND(B1113&gt;=_TM1,B1113&lt;=_TM2,OR(TH!L1113="1111",TH!M1113="1111")),TH!D1113,""),"")</f>
        <v/>
      </c>
      <c r="B1113" s="36" t="str">
        <f t="shared" ref="B1113:B1176" si="43">IF(C1113&lt;&gt;"",MONTH(C1113),"")</f>
        <v/>
      </c>
      <c r="C1113" s="37"/>
      <c r="D1113" s="37"/>
      <c r="E1113" s="776"/>
      <c r="F1113" s="293"/>
      <c r="G1113" s="40"/>
      <c r="H1113" s="7"/>
      <c r="I1113" s="253"/>
      <c r="J1113" s="253"/>
      <c r="K1113" s="606"/>
      <c r="L1113" s="39"/>
      <c r="M1113" s="39"/>
      <c r="N1113" s="39" t="str">
        <f>IF(AND('331-CT'!$E$7=TH!H1113,OR(L1113="331",M1113="331")),"331",IF(AND(OR(L1113="131",M1113="131"),H1113='131-CT'!$E$7),"131",""))</f>
        <v/>
      </c>
      <c r="O1113" s="39" t="str">
        <f>IF(AND($B1113&gt;='111'!$N$11,$B1113&lt;='111'!$O$11,OR($L1113=$O$7,$M1113=$O$7)),"x","")</f>
        <v/>
      </c>
      <c r="P1113" s="39" t="str">
        <f>IF(AND($L1113=$O$7,$B1113&lt;'111'!$N$11),"x","")</f>
        <v/>
      </c>
      <c r="Q1113" s="39" t="str">
        <f>IF(AND($M1113=$O$7,$B1113&lt;'111'!$N$11),"x","")</f>
        <v/>
      </c>
      <c r="R1113" s="39" t="str">
        <f>IF(ISERROR(FIND('112'!$M$9,G1113,1)),"",IF((AND(FIND('112'!$M$9,G1113,1)&gt;=1,$B1113&gt;='112'!$N$8,$B1113&lt;='112'!$O$8,OR($L1113='112'!$I$6,$M1113='112'!$I$6))),"x",""))</f>
        <v/>
      </c>
      <c r="S1113" s="39" t="str">
        <f>IF(ISERROR(FIND('112'!$M$9,G1113,1)),"",IF((AND(LEFT(G1113,2)=LEFT('112'!$M$9,2),B1113&lt;'112'!$N$8,$L1113='112'!$I$6)),"x",""))</f>
        <v/>
      </c>
      <c r="T1113" s="39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39" t="str">
        <f>IF(OR(TH!L1113=TH!$V$7,M1113=TH!$V$7),"x","")</f>
        <v/>
      </c>
      <c r="W1113" s="39" t="str">
        <f>IF(AND(B1113&gt;='IN-NX'!$P$3,B1113&lt;='IN-NX'!$Q$3,'IN-NX'!$D$7=D1113,OR(LEFT(L1113,2)="15",AND(LEFT(M1113,2)&lt;&gt;"15",LEFT(M1113,2)&lt;&gt;"33"))),"x","")</f>
        <v/>
      </c>
      <c r="X1113" s="39" t="str">
        <f>IF(AND(OR(LEFT(TH!L1113,2)="15",LEFT(TH!M1113,2)="15"),'152-CT'!$J$8=TH!F1113),"x","")</f>
        <v/>
      </c>
      <c r="Y1113" s="39" t="str">
        <f>IF(AND(OR(LEFT(TH!L1113,2)="15",LEFT(TH!M1113,2)="15"),TK!$E$7=TH!F1113),"x","")</f>
        <v/>
      </c>
      <c r="Z1113" s="39" t="str">
        <f>IF(AND(B1113&lt;=NKC!$N$8,B1113&gt;=NKC!$M$8),"x","")</f>
        <v/>
      </c>
      <c r="AA1113" s="894"/>
    </row>
    <row r="1114" spans="1:27" ht="15.75" customHeight="1">
      <c r="A1114" s="199" t="str">
        <f>IF(B1114&lt;&gt;"",IF(AND(B1114&gt;=_TM1,B1114&lt;=_TM2,OR(TH!L1114="1111",TH!M1114="1111")),TH!D1114,""),"")</f>
        <v/>
      </c>
      <c r="B1114" s="36" t="str">
        <f t="shared" si="43"/>
        <v/>
      </c>
      <c r="C1114" s="37"/>
      <c r="D1114" s="37"/>
      <c r="E1114" s="776"/>
      <c r="F1114" s="40"/>
      <c r="G1114" s="40"/>
      <c r="H1114" s="7"/>
      <c r="I1114" s="253"/>
      <c r="J1114" s="253"/>
      <c r="K1114" s="606"/>
      <c r="L1114" s="39"/>
      <c r="M1114" s="39"/>
      <c r="N1114" s="39" t="str">
        <f>IF(AND('331-CT'!$E$7=TH!H1114,OR(L1114="331",M1114="331")),"331",IF(AND(OR(L1114="131",M1114="131"),H1114='131-CT'!$E$7),"131",""))</f>
        <v/>
      </c>
      <c r="O1114" s="39" t="str">
        <f>IF(AND($B1114&gt;='111'!$N$11,$B1114&lt;='111'!$O$11,OR($L1114=$O$7,$M1114=$O$7)),"x","")</f>
        <v/>
      </c>
      <c r="P1114" s="39" t="str">
        <f>IF(AND($L1114=$O$7,$B1114&lt;'111'!$N$11),"x","")</f>
        <v/>
      </c>
      <c r="Q1114" s="39" t="str">
        <f>IF(AND($M1114=$O$7,$B1114&lt;'111'!$N$11),"x","")</f>
        <v/>
      </c>
      <c r="R1114" s="39" t="str">
        <f>IF(ISERROR(FIND('112'!$M$9,G1114,1)),"",IF((AND(FIND('112'!$M$9,G1114,1)&gt;=1,$B1114&gt;='112'!$N$8,$B1114&lt;='112'!$O$8,OR($L1114='112'!$I$6,$M1114='112'!$I$6))),"x",""))</f>
        <v/>
      </c>
      <c r="S1114" s="39" t="str">
        <f>IF(ISERROR(FIND('112'!$M$9,G1114,1)),"",IF((AND(LEFT(G1114,2)=LEFT('112'!$M$9,2),B1114&lt;'112'!$N$8,$L1114='112'!$I$6)),"x",""))</f>
        <v/>
      </c>
      <c r="T1114" s="39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39" t="str">
        <f>IF(OR(TH!L1114=TH!$V$7,M1114=TH!$V$7),"x","")</f>
        <v/>
      </c>
      <c r="W1114" s="39" t="str">
        <f>IF(AND(B1114&gt;='IN-NX'!$P$3,B1114&lt;='IN-NX'!$Q$3,'IN-NX'!$D$7=D1114,OR(LEFT(L1114,2)="15",AND(LEFT(M1114,2)&lt;&gt;"15",LEFT(M1114,2)&lt;&gt;"33"))),"x","")</f>
        <v/>
      </c>
      <c r="X1114" s="39" t="str">
        <f>IF(AND(OR(LEFT(TH!L1114,2)="15",LEFT(TH!M1114,2)="15"),'152-CT'!$J$8=TH!F1114),"x","")</f>
        <v/>
      </c>
      <c r="Y1114" s="39" t="str">
        <f>IF(AND(OR(LEFT(TH!L1114,2)="15",LEFT(TH!M1114,2)="15"),TK!$E$7=TH!F1114),"x","")</f>
        <v/>
      </c>
      <c r="Z1114" s="39" t="str">
        <f>IF(AND(B1114&lt;=NKC!$N$8,B1114&gt;=NKC!$M$8),"x","")</f>
        <v/>
      </c>
      <c r="AA1114" s="894"/>
    </row>
    <row r="1115" spans="1:27" ht="15.75" customHeight="1">
      <c r="A1115" s="199" t="str">
        <f>IF(B1115&lt;&gt;"",IF(AND(B1115&gt;=_TM1,B1115&lt;=_TM2,OR(TH!L1115="1111",TH!M1115="1111")),TH!D1115,""),"")</f>
        <v/>
      </c>
      <c r="B1115" s="36" t="str">
        <f t="shared" si="43"/>
        <v/>
      </c>
      <c r="C1115" s="37"/>
      <c r="D1115" s="37"/>
      <c r="E1115" s="776"/>
      <c r="F1115" s="188"/>
      <c r="G1115" s="40"/>
      <c r="H1115" s="7"/>
      <c r="I1115" s="253"/>
      <c r="J1115" s="253"/>
      <c r="K1115" s="606"/>
      <c r="L1115" s="39"/>
      <c r="M1115" s="39"/>
      <c r="N1115" s="39" t="str">
        <f>IF(AND('331-CT'!$E$7=TH!H1115,OR(L1115="331",M1115="331")),"331",IF(AND(OR(L1115="131",M1115="131"),H1115='131-CT'!$E$7),"131",""))</f>
        <v/>
      </c>
      <c r="O1115" s="39" t="str">
        <f>IF(AND($B1115&gt;='111'!$N$11,$B1115&lt;='111'!$O$11,OR($L1115=$O$7,$M1115=$O$7)),"x","")</f>
        <v/>
      </c>
      <c r="P1115" s="39" t="str">
        <f>IF(AND($L1115=$O$7,$B1115&lt;'111'!$N$11),"x","")</f>
        <v/>
      </c>
      <c r="Q1115" s="39" t="str">
        <f>IF(AND($M1115=$O$7,$B1115&lt;'111'!$N$11),"x","")</f>
        <v/>
      </c>
      <c r="R1115" s="39" t="str">
        <f>IF(ISERROR(FIND('112'!$M$9,G1115,1)),"",IF((AND(FIND('112'!$M$9,G1115,1)&gt;=1,$B1115&gt;='112'!$N$8,$B1115&lt;='112'!$O$8,OR($L1115='112'!$I$6,$M1115='112'!$I$6))),"x",""))</f>
        <v/>
      </c>
      <c r="S1115" s="39" t="str">
        <f>IF(ISERROR(FIND('112'!$M$9,G1115,1)),"",IF((AND(LEFT(G1115,2)=LEFT('112'!$M$9,2),B1115&lt;'112'!$N$8,$L1115='112'!$I$6)),"x",""))</f>
        <v/>
      </c>
      <c r="T1115" s="39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39" t="str">
        <f>IF(OR(TH!L1115=TH!$V$7,M1115=TH!$V$7),"x","")</f>
        <v/>
      </c>
      <c r="W1115" s="39" t="str">
        <f>IF(AND(B1115&gt;='IN-NX'!$P$3,B1115&lt;='IN-NX'!$Q$3,'IN-NX'!$D$7=D1115,OR(LEFT(L1115,2)="15",AND(LEFT(M1115,2)&lt;&gt;"15",LEFT(M1115,2)&lt;&gt;"33"))),"x","")</f>
        <v/>
      </c>
      <c r="X1115" s="39" t="str">
        <f>IF(AND(OR(LEFT(TH!L1115,2)="15",LEFT(TH!M1115,2)="15"),'152-CT'!$J$8=TH!F1115),"x","")</f>
        <v/>
      </c>
      <c r="Y1115" s="39" t="str">
        <f>IF(AND(OR(LEFT(TH!L1115,2)="15",LEFT(TH!M1115,2)="15"),TK!$E$7=TH!F1115),"x","")</f>
        <v/>
      </c>
      <c r="Z1115" s="39" t="str">
        <f>IF(AND(B1115&lt;=NKC!$N$8,B1115&gt;=NKC!$M$8),"x","")</f>
        <v/>
      </c>
      <c r="AA1115" s="894"/>
    </row>
    <row r="1116" spans="1:27" ht="15.75" customHeight="1">
      <c r="A1116" s="199" t="str">
        <f>IF(B1116&lt;&gt;"",IF(AND(B1116&gt;=_TM1,B1116&lt;=_TM2,OR(TH!L1116="1111",TH!M1116="1111")),TH!D1116,""),"")</f>
        <v/>
      </c>
      <c r="B1116" s="36" t="str">
        <f t="shared" si="43"/>
        <v/>
      </c>
      <c r="C1116" s="37"/>
      <c r="D1116" s="37"/>
      <c r="E1116" s="776"/>
      <c r="F1116" s="188"/>
      <c r="G1116" s="40"/>
      <c r="H1116" s="7"/>
      <c r="I1116" s="253"/>
      <c r="J1116" s="253"/>
      <c r="K1116" s="606"/>
      <c r="L1116" s="39"/>
      <c r="M1116" s="39"/>
      <c r="N1116" s="39" t="str">
        <f>IF(AND('331-CT'!$E$7=TH!H1116,OR(L1116="331",M1116="331")),"331",IF(AND(OR(L1116="131",M1116="131"),H1116='131-CT'!$E$7),"131",""))</f>
        <v/>
      </c>
      <c r="O1116" s="39" t="str">
        <f>IF(AND($B1116&gt;='111'!$N$11,$B1116&lt;='111'!$O$11,OR($L1116=$O$7,$M1116=$O$7)),"x","")</f>
        <v/>
      </c>
      <c r="P1116" s="39" t="str">
        <f>IF(AND($L1116=$O$7,$B1116&lt;'111'!$N$11),"x","")</f>
        <v/>
      </c>
      <c r="Q1116" s="39" t="str">
        <f>IF(AND($M1116=$O$7,$B1116&lt;'111'!$N$11),"x","")</f>
        <v/>
      </c>
      <c r="R1116" s="39" t="str">
        <f>IF(ISERROR(FIND('112'!$M$9,G1116,1)),"",IF((AND(FIND('112'!$M$9,G1116,1)&gt;=1,$B1116&gt;='112'!$N$8,$B1116&lt;='112'!$O$8,OR($L1116='112'!$I$6,$M1116='112'!$I$6))),"x",""))</f>
        <v/>
      </c>
      <c r="S1116" s="39" t="str">
        <f>IF(ISERROR(FIND('112'!$M$9,G1116,1)),"",IF((AND(LEFT(G1116,2)=LEFT('112'!$M$9,2),B1116&lt;'112'!$N$8,$L1116='112'!$I$6)),"x",""))</f>
        <v/>
      </c>
      <c r="T1116" s="39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39" t="str">
        <f>IF(OR(TH!L1116=TH!$V$7,M1116=TH!$V$7),"x","")</f>
        <v/>
      </c>
      <c r="W1116" s="39" t="str">
        <f>IF(AND(B1116&gt;='IN-NX'!$P$3,B1116&lt;='IN-NX'!$Q$3,'IN-NX'!$D$7=D1116,OR(LEFT(L1116,2)="15",AND(LEFT(M1116,2)&lt;&gt;"15",LEFT(M1116,2)&lt;&gt;"33"))),"x","")</f>
        <v/>
      </c>
      <c r="X1116" s="39" t="str">
        <f>IF(AND(OR(LEFT(TH!L1116,2)="15",LEFT(TH!M1116,2)="15"),'152-CT'!$J$8=TH!F1116),"x","")</f>
        <v/>
      </c>
      <c r="Y1116" s="39" t="str">
        <f>IF(AND(OR(LEFT(TH!L1116,2)="15",LEFT(TH!M1116,2)="15"),TK!$E$7=TH!F1116),"x","")</f>
        <v/>
      </c>
      <c r="Z1116" s="39" t="str">
        <f>IF(AND(B1116&lt;=NKC!$N$8,B1116&gt;=NKC!$M$8),"x","")</f>
        <v/>
      </c>
      <c r="AA1116" s="894"/>
    </row>
    <row r="1117" spans="1:27" ht="15.75" customHeight="1">
      <c r="A1117" s="199" t="str">
        <f>IF(B1117&lt;&gt;"",IF(AND(B1117&gt;=_TM1,B1117&lt;=_TM2,OR(TH!L1117="1111",TH!M1117="1111")),TH!D1117,""),"")</f>
        <v/>
      </c>
      <c r="B1117" s="36" t="str">
        <f t="shared" si="43"/>
        <v/>
      </c>
      <c r="C1117" s="37"/>
      <c r="D1117" s="37"/>
      <c r="E1117" s="776"/>
      <c r="F1117" s="40"/>
      <c r="G1117" s="40"/>
      <c r="H1117" s="7"/>
      <c r="I1117" s="253"/>
      <c r="J1117" s="253"/>
      <c r="K1117" s="606"/>
      <c r="L1117" s="39"/>
      <c r="M1117" s="39"/>
      <c r="N1117" s="39" t="str">
        <f>IF(AND('331-CT'!$E$7=TH!H1117,OR(L1117="331",M1117="331")),"331",IF(AND(OR(L1117="131",M1117="131"),H1117='131-CT'!$E$7),"131",""))</f>
        <v/>
      </c>
      <c r="O1117" s="39" t="str">
        <f>IF(AND($B1117&gt;='111'!$N$11,$B1117&lt;='111'!$O$11,OR($L1117=$O$7,$M1117=$O$7)),"x","")</f>
        <v/>
      </c>
      <c r="P1117" s="39" t="str">
        <f>IF(AND($L1117=$O$7,$B1117&lt;'111'!$N$11),"x","")</f>
        <v/>
      </c>
      <c r="Q1117" s="39" t="str">
        <f>IF(AND($M1117=$O$7,$B1117&lt;'111'!$N$11),"x","")</f>
        <v/>
      </c>
      <c r="R1117" s="39" t="str">
        <f>IF(ISERROR(FIND('112'!$M$9,G1117,1)),"",IF((AND(FIND('112'!$M$9,G1117,1)&gt;=1,$B1117&gt;='112'!$N$8,$B1117&lt;='112'!$O$8,OR($L1117='112'!$I$6,$M1117='112'!$I$6))),"x",""))</f>
        <v/>
      </c>
      <c r="S1117" s="39" t="str">
        <f>IF(ISERROR(FIND('112'!$M$9,G1117,1)),"",IF((AND(LEFT(G1117,2)=LEFT('112'!$M$9,2),B1117&lt;'112'!$N$8,$L1117='112'!$I$6)),"x",""))</f>
        <v/>
      </c>
      <c r="T1117" s="39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39" t="str">
        <f>IF(OR(TH!L1117=TH!$V$7,M1117=TH!$V$7),"x","")</f>
        <v/>
      </c>
      <c r="W1117" s="39" t="str">
        <f>IF(AND(B1117&gt;='IN-NX'!$P$3,B1117&lt;='IN-NX'!$Q$3,'IN-NX'!$D$7=D1117,OR(LEFT(L1117,2)="15",AND(LEFT(M1117,2)&lt;&gt;"15",LEFT(M1117,2)&lt;&gt;"33"))),"x","")</f>
        <v/>
      </c>
      <c r="X1117" s="39" t="str">
        <f>IF(AND(OR(LEFT(TH!L1117,2)="15",LEFT(TH!M1117,2)="15"),'152-CT'!$J$8=TH!F1117),"x","")</f>
        <v/>
      </c>
      <c r="Y1117" s="39" t="str">
        <f>IF(AND(OR(LEFT(TH!L1117,2)="15",LEFT(TH!M1117,2)="15"),TK!$E$7=TH!F1117),"x","")</f>
        <v/>
      </c>
      <c r="Z1117" s="39" t="str">
        <f>IF(AND(B1117&lt;=NKC!$N$8,B1117&gt;=NKC!$M$8),"x","")</f>
        <v/>
      </c>
      <c r="AA1117" s="894"/>
    </row>
    <row r="1118" spans="1:27" ht="15.75" customHeight="1">
      <c r="A1118" s="199" t="str">
        <f>IF(B1118&lt;&gt;"",IF(AND(B1118&gt;=_TM1,B1118&lt;=_TM2,OR(TH!L1118="1111",TH!M1118="1111")),TH!D1118,""),"")</f>
        <v/>
      </c>
      <c r="B1118" s="36" t="str">
        <f t="shared" si="43"/>
        <v/>
      </c>
      <c r="C1118" s="37"/>
      <c r="D1118" s="37"/>
      <c r="E1118" s="776"/>
      <c r="F1118" s="188"/>
      <c r="G1118" s="40"/>
      <c r="H1118" s="7"/>
      <c r="I1118" s="253"/>
      <c r="J1118" s="253"/>
      <c r="K1118" s="606"/>
      <c r="L1118" s="39"/>
      <c r="M1118" s="39"/>
      <c r="N1118" s="39" t="str">
        <f>IF(AND('331-CT'!$E$7=TH!H1118,OR(L1118="331",M1118="331")),"331",IF(AND(OR(L1118="131",M1118="131"),H1118='131-CT'!$E$7),"131",""))</f>
        <v/>
      </c>
      <c r="O1118" s="39" t="str">
        <f>IF(AND($B1118&gt;='111'!$N$11,$B1118&lt;='111'!$O$11,OR($L1118=$O$7,$M1118=$O$7)),"x","")</f>
        <v/>
      </c>
      <c r="P1118" s="39" t="str">
        <f>IF(AND($L1118=$O$7,$B1118&lt;'111'!$N$11),"x","")</f>
        <v/>
      </c>
      <c r="Q1118" s="39" t="str">
        <f>IF(AND($M1118=$O$7,$B1118&lt;'111'!$N$11),"x","")</f>
        <v/>
      </c>
      <c r="R1118" s="39" t="str">
        <f>IF(ISERROR(FIND('112'!$M$9,G1118,1)),"",IF((AND(FIND('112'!$M$9,G1118,1)&gt;=1,$B1118&gt;='112'!$N$8,$B1118&lt;='112'!$O$8,OR($L1118='112'!$I$6,$M1118='112'!$I$6))),"x",""))</f>
        <v/>
      </c>
      <c r="S1118" s="39" t="str">
        <f>IF(ISERROR(FIND('112'!$M$9,G1118,1)),"",IF((AND(LEFT(G1118,2)=LEFT('112'!$M$9,2),B1118&lt;'112'!$N$8,$L1118='112'!$I$6)),"x",""))</f>
        <v/>
      </c>
      <c r="T1118" s="39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39" t="str">
        <f>IF(OR(TH!L1118=TH!$V$7,M1118=TH!$V$7),"x","")</f>
        <v/>
      </c>
      <c r="W1118" s="39" t="str">
        <f>IF(AND(B1118&gt;='IN-NX'!$P$3,B1118&lt;='IN-NX'!$Q$3,'IN-NX'!$D$7=D1118,OR(LEFT(L1118,2)="15",AND(LEFT(M1118,2)&lt;&gt;"15",LEFT(M1118,2)&lt;&gt;"33"))),"x","")</f>
        <v/>
      </c>
      <c r="X1118" s="39" t="str">
        <f>IF(AND(OR(LEFT(TH!L1118,2)="15",LEFT(TH!M1118,2)="15"),'152-CT'!$J$8=TH!F1118),"x","")</f>
        <v/>
      </c>
      <c r="Y1118" s="39" t="str">
        <f>IF(AND(OR(LEFT(TH!L1118,2)="15",LEFT(TH!M1118,2)="15"),TK!$E$7=TH!F1118),"x","")</f>
        <v/>
      </c>
      <c r="Z1118" s="39" t="str">
        <f>IF(AND(B1118&lt;=NKC!$N$8,B1118&gt;=NKC!$M$8),"x","")</f>
        <v/>
      </c>
      <c r="AA1118" s="894"/>
    </row>
    <row r="1119" spans="1:27" ht="15.75" customHeight="1">
      <c r="A1119" s="199" t="str">
        <f>IF(B1119&lt;&gt;"",IF(AND(B1119&gt;=_TM1,B1119&lt;=_TM2,OR(TH!L1119="1111",TH!M1119="1111")),TH!D1119,""),"")</f>
        <v/>
      </c>
      <c r="B1119" s="36" t="str">
        <f t="shared" si="43"/>
        <v/>
      </c>
      <c r="C1119" s="37"/>
      <c r="D1119" s="37"/>
      <c r="E1119" s="776"/>
      <c r="F1119" s="40"/>
      <c r="G1119" s="40"/>
      <c r="H1119" s="7"/>
      <c r="I1119" s="253"/>
      <c r="J1119" s="253"/>
      <c r="K1119" s="606"/>
      <c r="L1119" s="39"/>
      <c r="M1119" s="39"/>
      <c r="N1119" s="39" t="str">
        <f>IF(AND('331-CT'!$E$7=TH!H1119,OR(L1119="331",M1119="331")),"331",IF(AND(OR(L1119="131",M1119="131"),H1119='131-CT'!$E$7),"131",""))</f>
        <v/>
      </c>
      <c r="O1119" s="39" t="str">
        <f>IF(AND($B1119&gt;='111'!$N$11,$B1119&lt;='111'!$O$11,OR($L1119=$O$7,$M1119=$O$7)),"x","")</f>
        <v/>
      </c>
      <c r="P1119" s="39" t="str">
        <f>IF(AND($L1119=$O$7,$B1119&lt;'111'!$N$11),"x","")</f>
        <v/>
      </c>
      <c r="Q1119" s="39" t="str">
        <f>IF(AND($M1119=$O$7,$B1119&lt;'111'!$N$11),"x","")</f>
        <v/>
      </c>
      <c r="R1119" s="39" t="str">
        <f>IF(ISERROR(FIND('112'!$M$9,G1119,1)),"",IF((AND(FIND('112'!$M$9,G1119,1)&gt;=1,$B1119&gt;='112'!$N$8,$B1119&lt;='112'!$O$8,OR($L1119='112'!$I$6,$M1119='112'!$I$6))),"x",""))</f>
        <v/>
      </c>
      <c r="S1119" s="39" t="str">
        <f>IF(ISERROR(FIND('112'!$M$9,G1119,1)),"",IF((AND(LEFT(G1119,2)=LEFT('112'!$M$9,2),B1119&lt;'112'!$N$8,$L1119='112'!$I$6)),"x",""))</f>
        <v/>
      </c>
      <c r="T1119" s="39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39" t="str">
        <f>IF(OR(TH!L1119=TH!$V$7,M1119=TH!$V$7),"x","")</f>
        <v/>
      </c>
      <c r="W1119" s="39" t="str">
        <f>IF(AND(B1119&gt;='IN-NX'!$P$3,B1119&lt;='IN-NX'!$Q$3,'IN-NX'!$D$7=D1119,OR(LEFT(L1119,2)="15",AND(LEFT(M1119,2)&lt;&gt;"15",LEFT(M1119,2)&lt;&gt;"33"))),"x","")</f>
        <v/>
      </c>
      <c r="X1119" s="39" t="str">
        <f>IF(AND(OR(LEFT(TH!L1119,2)="15",LEFT(TH!M1119,2)="15"),'152-CT'!$J$8=TH!F1119),"x","")</f>
        <v/>
      </c>
      <c r="Y1119" s="39" t="str">
        <f>IF(AND(OR(LEFT(TH!L1119,2)="15",LEFT(TH!M1119,2)="15"),TK!$E$7=TH!F1119),"x","")</f>
        <v/>
      </c>
      <c r="Z1119" s="39" t="str">
        <f>IF(AND(B1119&lt;=NKC!$N$8,B1119&gt;=NKC!$M$8),"x","")</f>
        <v/>
      </c>
      <c r="AA1119" s="894"/>
    </row>
    <row r="1120" spans="1:27" ht="15.75" customHeight="1">
      <c r="A1120" s="199" t="str">
        <f>IF(B1120&lt;&gt;"",IF(AND(B1120&gt;=_TM1,B1120&lt;=_TM2,OR(TH!L1120="1111",TH!M1120="1111")),TH!D1120,""),"")</f>
        <v/>
      </c>
      <c r="B1120" s="36" t="str">
        <f t="shared" si="43"/>
        <v/>
      </c>
      <c r="C1120" s="37"/>
      <c r="D1120" s="37"/>
      <c r="E1120" s="776"/>
      <c r="F1120" s="188"/>
      <c r="G1120" s="40"/>
      <c r="H1120" s="7"/>
      <c r="I1120" s="253"/>
      <c r="J1120" s="253"/>
      <c r="K1120" s="606"/>
      <c r="L1120" s="39"/>
      <c r="M1120" s="39"/>
      <c r="N1120" s="39" t="str">
        <f>IF(AND('331-CT'!$E$7=TH!H1120,OR(L1120="331",M1120="331")),"331",IF(AND(OR(L1120="131",M1120="131"),H1120='131-CT'!$E$7),"131",""))</f>
        <v/>
      </c>
      <c r="O1120" s="39" t="str">
        <f>IF(AND($B1120&gt;='111'!$N$11,$B1120&lt;='111'!$O$11,OR($L1120=$O$7,$M1120=$O$7)),"x","")</f>
        <v/>
      </c>
      <c r="P1120" s="39" t="str">
        <f>IF(AND($L1120=$O$7,$B1120&lt;'111'!$N$11),"x","")</f>
        <v/>
      </c>
      <c r="Q1120" s="39" t="str">
        <f>IF(AND($M1120=$O$7,$B1120&lt;'111'!$N$11),"x","")</f>
        <v/>
      </c>
      <c r="R1120" s="39" t="str">
        <f>IF(ISERROR(FIND('112'!$M$9,G1120,1)),"",IF((AND(FIND('112'!$M$9,G1120,1)&gt;=1,$B1120&gt;='112'!$N$8,$B1120&lt;='112'!$O$8,OR($L1120='112'!$I$6,$M1120='112'!$I$6))),"x",""))</f>
        <v/>
      </c>
      <c r="S1120" s="39" t="str">
        <f>IF(ISERROR(FIND('112'!$M$9,G1120,1)),"",IF((AND(LEFT(G1120,2)=LEFT('112'!$M$9,2),B1120&lt;'112'!$N$8,$L1120='112'!$I$6)),"x",""))</f>
        <v/>
      </c>
      <c r="T1120" s="39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39" t="str">
        <f>IF(OR(TH!L1120=TH!$V$7,M1120=TH!$V$7),"x","")</f>
        <v/>
      </c>
      <c r="W1120" s="39" t="str">
        <f>IF(AND(B1120&gt;='IN-NX'!$P$3,B1120&lt;='IN-NX'!$Q$3,'IN-NX'!$D$7=D1120,OR(LEFT(L1120,2)="15",AND(LEFT(M1120,2)&lt;&gt;"15",LEFT(M1120,2)&lt;&gt;"33"))),"x","")</f>
        <v/>
      </c>
      <c r="X1120" s="39" t="str">
        <f>IF(AND(OR(LEFT(TH!L1120,2)="15",LEFT(TH!M1120,2)="15"),'152-CT'!$J$8=TH!F1120),"x","")</f>
        <v/>
      </c>
      <c r="Y1120" s="39" t="str">
        <f>IF(AND(OR(LEFT(TH!L1120,2)="15",LEFT(TH!M1120,2)="15"),TK!$E$7=TH!F1120),"x","")</f>
        <v/>
      </c>
      <c r="Z1120" s="39" t="str">
        <f>IF(AND(B1120&lt;=NKC!$N$8,B1120&gt;=NKC!$M$8),"x","")</f>
        <v/>
      </c>
      <c r="AA1120" s="894"/>
    </row>
    <row r="1121" spans="1:27" ht="15.75" customHeight="1">
      <c r="A1121" s="199" t="str">
        <f>IF(B1121&lt;&gt;"",IF(AND(B1121&gt;=_TM1,B1121&lt;=_TM2,OR(TH!L1121="1111",TH!M1121="1111")),TH!D1121,""),"")</f>
        <v/>
      </c>
      <c r="B1121" s="36" t="str">
        <f t="shared" si="43"/>
        <v/>
      </c>
      <c r="C1121" s="190"/>
      <c r="D1121" s="190"/>
      <c r="E1121" s="190"/>
      <c r="F1121" s="191"/>
      <c r="G1121" s="491"/>
      <c r="H1121" s="192"/>
      <c r="I1121" s="253"/>
      <c r="J1121" s="253"/>
      <c r="K1121" s="606"/>
      <c r="L1121" s="193"/>
      <c r="M1121" s="193"/>
      <c r="N1121" s="39" t="str">
        <f>IF(AND('331-CT'!$E$7=TH!H1121,OR(L1121="331",M1121="331")),"331",IF(AND(OR(L1121="131",M1121="131"),H1121='131-CT'!$E$7),"131",""))</f>
        <v/>
      </c>
      <c r="O1121" s="39" t="str">
        <f>IF(AND($B1121&gt;='111'!$N$11,$B1121&lt;='111'!$O$11,OR($L1121=$O$7,$M1121=$O$7)),"x","")</f>
        <v/>
      </c>
      <c r="P1121" s="39" t="str">
        <f>IF(AND($L1121=$O$7,$B1121&lt;'111'!$N$11),"x","")</f>
        <v/>
      </c>
      <c r="Q1121" s="39" t="str">
        <f>IF(AND($M1121=$O$7,$B1121&lt;'111'!$N$11),"x","")</f>
        <v/>
      </c>
      <c r="R1121" s="39" t="str">
        <f>IF(ISERROR(FIND('112'!$M$9,G1121,1)),"",IF((AND(FIND('112'!$M$9,G1121,1)&gt;=1,$B1121&gt;='112'!$N$8,$B1121&lt;='112'!$O$8,OR($L1121='112'!$I$6,$M1121='112'!$I$6))),"x",""))</f>
        <v/>
      </c>
      <c r="S1121" s="39" t="str">
        <f>IF(ISERROR(FIND('112'!$M$9,G1121,1)),"",IF((AND(LEFT(G1121,2)=LEFT('112'!$M$9,2),B1121&lt;'112'!$N$8,$L1121='112'!$I$6)),"x",""))</f>
        <v/>
      </c>
      <c r="T1121" s="39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39" t="str">
        <f>IF(OR(TH!L1121=TH!$V$7,M1121=TH!$V$7),"x","")</f>
        <v/>
      </c>
      <c r="W1121" s="39" t="str">
        <f>IF(AND(B1121&gt;='IN-NX'!$P$3,B1121&lt;='IN-NX'!$Q$3,'IN-NX'!$D$7=D1121,OR(LEFT(L1121,2)="15",AND(LEFT(M1121,2)&lt;&gt;"15",LEFT(M1121,2)&lt;&gt;"33"))),"x","")</f>
        <v/>
      </c>
      <c r="X1121" s="39" t="str">
        <f>IF(AND(OR(LEFT(TH!L1121,2)="15",LEFT(TH!M1121,2)="15"),'152-CT'!$J$8=TH!F1121),"x","")</f>
        <v/>
      </c>
      <c r="Y1121" s="39" t="str">
        <f>IF(AND(OR(LEFT(TH!L1121,2)="15",LEFT(TH!M1121,2)="15"),TK!$E$7=TH!F1121),"x","")</f>
        <v/>
      </c>
      <c r="Z1121" s="39" t="str">
        <f>IF(AND(B1121&lt;=NKC!$N$8,B1121&gt;=NKC!$M$8),"x","")</f>
        <v/>
      </c>
      <c r="AA1121" s="894"/>
    </row>
    <row r="1122" spans="1:27" ht="15.75" customHeight="1">
      <c r="A1122" s="199" t="str">
        <f>IF(B1122&lt;&gt;"",IF(AND(B1122&gt;=_TM1,B1122&lt;=_TM2,OR(TH!L1122="1111",TH!M1122="1111")),TH!D1122,""),"")</f>
        <v/>
      </c>
      <c r="B1122" s="36" t="str">
        <f t="shared" si="43"/>
        <v/>
      </c>
      <c r="C1122" s="190"/>
      <c r="D1122" s="190"/>
      <c r="E1122" s="190"/>
      <c r="F1122" s="191"/>
      <c r="G1122" s="491"/>
      <c r="H1122" s="192"/>
      <c r="I1122" s="253"/>
      <c r="J1122" s="253"/>
      <c r="K1122" s="606"/>
      <c r="L1122" s="193"/>
      <c r="M1122" s="193"/>
      <c r="N1122" s="39" t="str">
        <f>IF(AND('331-CT'!$E$7=TH!H1122,OR(L1122="331",M1122="331")),"331",IF(AND(OR(L1122="131",M1122="131"),H1122='131-CT'!$E$7),"131",""))</f>
        <v/>
      </c>
      <c r="O1122" s="39" t="str">
        <f>IF(AND($B1122&gt;='111'!$N$11,$B1122&lt;='111'!$O$11,OR($L1122=$O$7,$M1122=$O$7)),"x","")</f>
        <v/>
      </c>
      <c r="P1122" s="39" t="str">
        <f>IF(AND($L1122=$O$7,$B1122&lt;'111'!$N$11),"x","")</f>
        <v/>
      </c>
      <c r="Q1122" s="39" t="str">
        <f>IF(AND($M1122=$O$7,$B1122&lt;'111'!$N$11),"x","")</f>
        <v/>
      </c>
      <c r="R1122" s="39" t="str">
        <f>IF(ISERROR(FIND('112'!$M$9,G1122,1)),"",IF((AND(FIND('112'!$M$9,G1122,1)&gt;=1,$B1122&gt;='112'!$N$8,$B1122&lt;='112'!$O$8,OR($L1122='112'!$I$6,$M1122='112'!$I$6))),"x",""))</f>
        <v/>
      </c>
      <c r="S1122" s="39" t="str">
        <f>IF(ISERROR(FIND('112'!$M$9,G1122,1)),"",IF((AND(LEFT(G1122,2)=LEFT('112'!$M$9,2),B1122&lt;'112'!$N$8,$L1122='112'!$I$6)),"x",""))</f>
        <v/>
      </c>
      <c r="T1122" s="39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39" t="str">
        <f>IF(OR(TH!L1122=TH!$V$7,M1122=TH!$V$7),"x","")</f>
        <v/>
      </c>
      <c r="W1122" s="39" t="str">
        <f>IF(AND(B1122&gt;='IN-NX'!$P$3,B1122&lt;='IN-NX'!$Q$3,'IN-NX'!$D$7=D1122,OR(LEFT(L1122,2)="15",AND(LEFT(M1122,2)&lt;&gt;"15",LEFT(M1122,2)&lt;&gt;"33"))),"x","")</f>
        <v/>
      </c>
      <c r="X1122" s="39" t="str">
        <f>IF(AND(OR(LEFT(TH!L1122,2)="15",LEFT(TH!M1122,2)="15"),'152-CT'!$J$8=TH!F1122),"x","")</f>
        <v/>
      </c>
      <c r="Y1122" s="39" t="str">
        <f>IF(AND(OR(LEFT(TH!L1122,2)="15",LEFT(TH!M1122,2)="15"),TK!$E$7=TH!F1122),"x","")</f>
        <v/>
      </c>
      <c r="Z1122" s="39" t="str">
        <f>IF(AND(B1122&lt;=NKC!$N$8,B1122&gt;=NKC!$M$8),"x","")</f>
        <v/>
      </c>
      <c r="AA1122" s="894"/>
    </row>
    <row r="1123" spans="1:27" ht="15.75" customHeight="1">
      <c r="A1123" s="199" t="str">
        <f>IF(B1123&lt;&gt;"",IF(AND(B1123&gt;=_TM1,B1123&lt;=_TM2,OR(TH!L1123="1111",TH!M1123="1111")),TH!D1123,""),"")</f>
        <v/>
      </c>
      <c r="B1123" s="36" t="str">
        <f t="shared" si="43"/>
        <v/>
      </c>
      <c r="C1123" s="190"/>
      <c r="D1123" s="190"/>
      <c r="E1123" s="190"/>
      <c r="F1123" s="191"/>
      <c r="G1123" s="491"/>
      <c r="H1123" s="192"/>
      <c r="I1123" s="253"/>
      <c r="J1123" s="253"/>
      <c r="K1123" s="606"/>
      <c r="L1123" s="193"/>
      <c r="M1123" s="193"/>
      <c r="N1123" s="39" t="str">
        <f>IF(AND('331-CT'!$E$7=TH!H1123,OR(L1123="331",M1123="331")),"331",IF(AND(OR(L1123="131",M1123="131"),H1123='131-CT'!$E$7),"131",""))</f>
        <v/>
      </c>
      <c r="O1123" s="39" t="str">
        <f>IF(AND($B1123&gt;='111'!$N$11,$B1123&lt;='111'!$O$11,OR($L1123=$O$7,$M1123=$O$7)),"x","")</f>
        <v/>
      </c>
      <c r="P1123" s="39" t="str">
        <f>IF(AND($L1123=$O$7,$B1123&lt;'111'!$N$11),"x","")</f>
        <v/>
      </c>
      <c r="Q1123" s="39" t="str">
        <f>IF(AND($M1123=$O$7,$B1123&lt;'111'!$N$11),"x","")</f>
        <v/>
      </c>
      <c r="R1123" s="39" t="str">
        <f>IF(ISERROR(FIND('112'!$M$9,G1123,1)),"",IF((AND(FIND('112'!$M$9,G1123,1)&gt;=1,$B1123&gt;='112'!$N$8,$B1123&lt;='112'!$O$8,OR($L1123='112'!$I$6,$M1123='112'!$I$6))),"x",""))</f>
        <v/>
      </c>
      <c r="S1123" s="39" t="str">
        <f>IF(ISERROR(FIND('112'!$M$9,G1123,1)),"",IF((AND(LEFT(G1123,2)=LEFT('112'!$M$9,2),B1123&lt;'112'!$N$8,$L1123='112'!$I$6)),"x",""))</f>
        <v/>
      </c>
      <c r="T1123" s="39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39" t="str">
        <f>IF(OR(TH!L1123=TH!$V$7,M1123=TH!$V$7),"x","")</f>
        <v/>
      </c>
      <c r="W1123" s="39" t="str">
        <f>IF(AND(B1123&gt;='IN-NX'!$P$3,B1123&lt;='IN-NX'!$Q$3,'IN-NX'!$D$7=D1123,OR(LEFT(L1123,2)="15",AND(LEFT(M1123,2)&lt;&gt;"15",LEFT(M1123,2)&lt;&gt;"33"))),"x","")</f>
        <v/>
      </c>
      <c r="X1123" s="39" t="str">
        <f>IF(AND(OR(LEFT(TH!L1123,2)="15",LEFT(TH!M1123,2)="15"),'152-CT'!$J$8=TH!F1123),"x","")</f>
        <v/>
      </c>
      <c r="Y1123" s="39" t="str">
        <f>IF(AND(OR(LEFT(TH!L1123,2)="15",LEFT(TH!M1123,2)="15"),TK!$E$7=TH!F1123),"x","")</f>
        <v/>
      </c>
      <c r="Z1123" s="39" t="str">
        <f>IF(AND(B1123&lt;=NKC!$N$8,B1123&gt;=NKC!$M$8),"x","")</f>
        <v/>
      </c>
      <c r="AA1123" s="894"/>
    </row>
    <row r="1124" spans="1:27" ht="15.75" customHeight="1">
      <c r="A1124" s="199" t="str">
        <f>IF(B1124&lt;&gt;"",IF(AND(B1124&gt;=_TM1,B1124&lt;=_TM2,OR(TH!L1124="1111",TH!M1124="1111")),TH!D1124,""),"")</f>
        <v/>
      </c>
      <c r="B1124" s="36" t="str">
        <f t="shared" si="43"/>
        <v/>
      </c>
      <c r="C1124" s="190"/>
      <c r="D1124" s="190"/>
      <c r="E1124" s="190"/>
      <c r="F1124" s="191"/>
      <c r="G1124" s="491"/>
      <c r="H1124" s="192"/>
      <c r="I1124" s="253"/>
      <c r="J1124" s="253"/>
      <c r="K1124" s="606"/>
      <c r="L1124" s="193"/>
      <c r="M1124" s="193"/>
      <c r="N1124" s="39" t="str">
        <f>IF(AND('331-CT'!$E$7=TH!H1124,OR(L1124="331",M1124="331")),"331",IF(AND(OR(L1124="131",M1124="131"),H1124='131-CT'!$E$7),"131",""))</f>
        <v/>
      </c>
      <c r="O1124" s="39" t="str">
        <f>IF(AND($B1124&gt;='111'!$N$11,$B1124&lt;='111'!$O$11,OR($L1124=$O$7,$M1124=$O$7)),"x","")</f>
        <v/>
      </c>
      <c r="P1124" s="39" t="str">
        <f>IF(AND($L1124=$O$7,$B1124&lt;'111'!$N$11),"x","")</f>
        <v/>
      </c>
      <c r="Q1124" s="39" t="str">
        <f>IF(AND($M1124=$O$7,$B1124&lt;'111'!$N$11),"x","")</f>
        <v/>
      </c>
      <c r="R1124" s="39" t="str">
        <f>IF(ISERROR(FIND('112'!$M$9,G1124,1)),"",IF((AND(FIND('112'!$M$9,G1124,1)&gt;=1,$B1124&gt;='112'!$N$8,$B1124&lt;='112'!$O$8,OR($L1124='112'!$I$6,$M1124='112'!$I$6))),"x",""))</f>
        <v/>
      </c>
      <c r="S1124" s="39" t="str">
        <f>IF(ISERROR(FIND('112'!$M$9,G1124,1)),"",IF((AND(LEFT(G1124,2)=LEFT('112'!$M$9,2),B1124&lt;'112'!$N$8,$L1124='112'!$I$6)),"x",""))</f>
        <v/>
      </c>
      <c r="T1124" s="39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39" t="str">
        <f>IF(OR(TH!L1124=TH!$V$7,M1124=TH!$V$7),"x","")</f>
        <v/>
      </c>
      <c r="W1124" s="39" t="str">
        <f>IF(AND(B1124&gt;='IN-NX'!$P$3,B1124&lt;='IN-NX'!$Q$3,'IN-NX'!$D$7=D1124,OR(LEFT(L1124,2)="15",AND(LEFT(M1124,2)&lt;&gt;"15",LEFT(M1124,2)&lt;&gt;"33"))),"x","")</f>
        <v/>
      </c>
      <c r="X1124" s="39" t="str">
        <f>IF(AND(OR(LEFT(TH!L1124,2)="15",LEFT(TH!M1124,2)="15"),'152-CT'!$J$8=TH!F1124),"x","")</f>
        <v/>
      </c>
      <c r="Y1124" s="39" t="str">
        <f>IF(AND(OR(LEFT(TH!L1124,2)="15",LEFT(TH!M1124,2)="15"),TK!$E$7=TH!F1124),"x","")</f>
        <v/>
      </c>
      <c r="Z1124" s="39" t="str">
        <f>IF(AND(B1124&lt;=NKC!$N$8,B1124&gt;=NKC!$M$8),"x","")</f>
        <v/>
      </c>
      <c r="AA1124" s="894"/>
    </row>
    <row r="1125" spans="1:27" ht="15.75" customHeight="1">
      <c r="A1125" s="199" t="str">
        <f>IF(B1125&lt;&gt;"",IF(AND(B1125&gt;=_TM1,B1125&lt;=_TM2,OR(TH!L1125="1111",TH!M1125="1111")),TH!D1125,""),"")</f>
        <v/>
      </c>
      <c r="B1125" s="36" t="str">
        <f t="shared" si="43"/>
        <v/>
      </c>
      <c r="C1125" s="190"/>
      <c r="D1125" s="190"/>
      <c r="E1125" s="190"/>
      <c r="F1125" s="191"/>
      <c r="G1125" s="491"/>
      <c r="H1125" s="192"/>
      <c r="I1125" s="253"/>
      <c r="J1125" s="253"/>
      <c r="K1125" s="606"/>
      <c r="L1125" s="193"/>
      <c r="M1125" s="193"/>
      <c r="N1125" s="39" t="str">
        <f>IF(AND('331-CT'!$E$7=TH!H1125,OR(L1125="331",M1125="331")),"331",IF(AND(OR(L1125="131",M1125="131"),H1125='131-CT'!$E$7),"131",""))</f>
        <v/>
      </c>
      <c r="O1125" s="39" t="str">
        <f>IF(AND($B1125&gt;='111'!$N$11,$B1125&lt;='111'!$O$11,OR($L1125=$O$7,$M1125=$O$7)),"x","")</f>
        <v/>
      </c>
      <c r="P1125" s="39" t="str">
        <f>IF(AND($L1125=$O$7,$B1125&lt;'111'!$N$11),"x","")</f>
        <v/>
      </c>
      <c r="Q1125" s="39" t="str">
        <f>IF(AND($M1125=$O$7,$B1125&lt;'111'!$N$11),"x","")</f>
        <v/>
      </c>
      <c r="R1125" s="39" t="str">
        <f>IF(ISERROR(FIND('112'!$M$9,G1125,1)),"",IF((AND(FIND('112'!$M$9,G1125,1)&gt;=1,$B1125&gt;='112'!$N$8,$B1125&lt;='112'!$O$8,OR($L1125='112'!$I$6,$M1125='112'!$I$6))),"x",""))</f>
        <v/>
      </c>
      <c r="S1125" s="39" t="str">
        <f>IF(ISERROR(FIND('112'!$M$9,G1125,1)),"",IF((AND(LEFT(G1125,2)=LEFT('112'!$M$9,2),B1125&lt;'112'!$N$8,$L1125='112'!$I$6)),"x",""))</f>
        <v/>
      </c>
      <c r="T1125" s="39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39" t="str">
        <f>IF(OR(TH!L1125=TH!$V$7,M1125=TH!$V$7),"x","")</f>
        <v/>
      </c>
      <c r="W1125" s="39" t="str">
        <f>IF(AND(B1125&gt;='IN-NX'!$P$3,B1125&lt;='IN-NX'!$Q$3,'IN-NX'!$D$7=D1125,OR(LEFT(L1125,2)="15",AND(LEFT(M1125,2)&lt;&gt;"15",LEFT(M1125,2)&lt;&gt;"33"))),"x","")</f>
        <v/>
      </c>
      <c r="X1125" s="39" t="str">
        <f>IF(AND(OR(LEFT(TH!L1125,2)="15",LEFT(TH!M1125,2)="15"),'152-CT'!$J$8=TH!F1125),"x","")</f>
        <v/>
      </c>
      <c r="Y1125" s="39" t="str">
        <f>IF(AND(OR(LEFT(TH!L1125,2)="15",LEFT(TH!M1125,2)="15"),TK!$E$7=TH!F1125),"x","")</f>
        <v/>
      </c>
      <c r="Z1125" s="39" t="str">
        <f>IF(AND(B1125&lt;=NKC!$N$8,B1125&gt;=NKC!$M$8),"x","")</f>
        <v/>
      </c>
      <c r="AA1125" s="894"/>
    </row>
    <row r="1126" spans="1:27" ht="15.75" customHeight="1">
      <c r="A1126" s="199" t="str">
        <f>IF(B1126&lt;&gt;"",IF(AND(B1126&gt;=_TM1,B1126&lt;=_TM2,OR(TH!L1126="1111",TH!M1126="1111")),TH!D1126,""),"")</f>
        <v/>
      </c>
      <c r="B1126" s="36" t="str">
        <f t="shared" si="43"/>
        <v/>
      </c>
      <c r="C1126" s="190"/>
      <c r="D1126" s="190"/>
      <c r="E1126" s="190"/>
      <c r="F1126" s="188"/>
      <c r="G1126" s="491"/>
      <c r="H1126" s="192"/>
      <c r="I1126" s="253"/>
      <c r="J1126" s="253"/>
      <c r="K1126" s="606"/>
      <c r="L1126" s="193"/>
      <c r="M1126" s="193"/>
      <c r="N1126" s="39" t="str">
        <f>IF(AND('331-CT'!$E$7=TH!H1126,OR(L1126="331",M1126="331")),"331",IF(AND(OR(L1126="131",M1126="131"),H1126='131-CT'!$E$7),"131",""))</f>
        <v/>
      </c>
      <c r="O1126" s="39" t="str">
        <f>IF(AND($B1126&gt;='111'!$N$11,$B1126&lt;='111'!$O$11,OR($L1126=$O$7,$M1126=$O$7)),"x","")</f>
        <v/>
      </c>
      <c r="P1126" s="39" t="str">
        <f>IF(AND($L1126=$O$7,$B1126&lt;'111'!$N$11),"x","")</f>
        <v/>
      </c>
      <c r="Q1126" s="39" t="str">
        <f>IF(AND($M1126=$O$7,$B1126&lt;'111'!$N$11),"x","")</f>
        <v/>
      </c>
      <c r="R1126" s="39" t="str">
        <f>IF(ISERROR(FIND('112'!$M$9,G1126,1)),"",IF((AND(FIND('112'!$M$9,G1126,1)&gt;=1,$B1126&gt;='112'!$N$8,$B1126&lt;='112'!$O$8,OR($L1126='112'!$I$6,$M1126='112'!$I$6))),"x",""))</f>
        <v/>
      </c>
      <c r="S1126" s="39" t="str">
        <f>IF(ISERROR(FIND('112'!$M$9,G1126,1)),"",IF((AND(LEFT(G1126,2)=LEFT('112'!$M$9,2),B1126&lt;'112'!$N$8,$L1126='112'!$I$6)),"x",""))</f>
        <v/>
      </c>
      <c r="T1126" s="39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39" t="str">
        <f>IF(OR(TH!L1126=TH!$V$7,M1126=TH!$V$7),"x","")</f>
        <v/>
      </c>
      <c r="W1126" s="39" t="str">
        <f>IF(AND(B1126&gt;='IN-NX'!$P$3,B1126&lt;='IN-NX'!$Q$3,'IN-NX'!$D$7=D1126,OR(LEFT(L1126,2)="15",AND(LEFT(M1126,2)&lt;&gt;"15",LEFT(M1126,2)&lt;&gt;"33"))),"x","")</f>
        <v/>
      </c>
      <c r="X1126" s="39" t="str">
        <f>IF(AND(OR(LEFT(TH!L1126,2)="15",LEFT(TH!M1126,2)="15"),'152-CT'!$J$8=TH!F1126),"x","")</f>
        <v/>
      </c>
      <c r="Y1126" s="39" t="str">
        <f>IF(AND(OR(LEFT(TH!L1126,2)="15",LEFT(TH!M1126,2)="15"),TK!$E$7=TH!F1126),"x","")</f>
        <v/>
      </c>
      <c r="Z1126" s="39" t="str">
        <f>IF(AND(B1126&lt;=NKC!$N$8,B1126&gt;=NKC!$M$8),"x","")</f>
        <v/>
      </c>
      <c r="AA1126" s="894"/>
    </row>
    <row r="1127" spans="1:27" ht="15.75" customHeight="1">
      <c r="A1127" s="199" t="str">
        <f>IF(B1127&lt;&gt;"",IF(AND(B1127&gt;=_TM1,B1127&lt;=_TM2,OR(TH!L1127="1111",TH!M1127="1111")),TH!D1127,""),"")</f>
        <v/>
      </c>
      <c r="B1127" s="36" t="str">
        <f t="shared" si="43"/>
        <v/>
      </c>
      <c r="C1127" s="190"/>
      <c r="D1127" s="190"/>
      <c r="E1127" s="190"/>
      <c r="F1127" s="191"/>
      <c r="G1127" s="491"/>
      <c r="H1127" s="192"/>
      <c r="I1127" s="253"/>
      <c r="J1127" s="253"/>
      <c r="K1127" s="606"/>
      <c r="L1127" s="193"/>
      <c r="M1127" s="193"/>
      <c r="N1127" s="39" t="str">
        <f>IF(AND('331-CT'!$E$7=TH!H1127,OR(L1127="331",M1127="331")),"331",IF(AND(OR(L1127="131",M1127="131"),H1127='131-CT'!$E$7),"131",""))</f>
        <v/>
      </c>
      <c r="O1127" s="39" t="str">
        <f>IF(AND($B1127&gt;='111'!$N$11,$B1127&lt;='111'!$O$11,OR($L1127=$O$7,$M1127=$O$7)),"x","")</f>
        <v/>
      </c>
      <c r="P1127" s="39" t="str">
        <f>IF(AND($L1127=$O$7,$B1127&lt;'111'!$N$11),"x","")</f>
        <v/>
      </c>
      <c r="Q1127" s="39" t="str">
        <f>IF(AND($M1127=$O$7,$B1127&lt;'111'!$N$11),"x","")</f>
        <v/>
      </c>
      <c r="R1127" s="39" t="str">
        <f>IF(ISERROR(FIND('112'!$M$9,G1127,1)),"",IF((AND(FIND('112'!$M$9,G1127,1)&gt;=1,$B1127&gt;='112'!$N$8,$B1127&lt;='112'!$O$8,OR($L1127='112'!$I$6,$M1127='112'!$I$6))),"x",""))</f>
        <v/>
      </c>
      <c r="S1127" s="39" t="str">
        <f>IF(ISERROR(FIND('112'!$M$9,G1127,1)),"",IF((AND(LEFT(G1127,2)=LEFT('112'!$M$9,2),B1127&lt;'112'!$N$8,$L1127='112'!$I$6)),"x",""))</f>
        <v/>
      </c>
      <c r="T1127" s="39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39" t="str">
        <f>IF(OR(TH!L1127=TH!$V$7,M1127=TH!$V$7),"x","")</f>
        <v/>
      </c>
      <c r="W1127" s="39" t="str">
        <f>IF(AND(B1127&gt;='IN-NX'!$P$3,B1127&lt;='IN-NX'!$Q$3,'IN-NX'!$D$7=D1127,OR(LEFT(L1127,2)="15",AND(LEFT(M1127,2)&lt;&gt;"15",LEFT(M1127,2)&lt;&gt;"33"))),"x","")</f>
        <v/>
      </c>
      <c r="X1127" s="39" t="str">
        <f>IF(AND(OR(LEFT(TH!L1127,2)="15",LEFT(TH!M1127,2)="15"),'152-CT'!$J$8=TH!F1127),"x","")</f>
        <v/>
      </c>
      <c r="Y1127" s="39" t="str">
        <f>IF(AND(OR(LEFT(TH!L1127,2)="15",LEFT(TH!M1127,2)="15"),TK!$E$7=TH!F1127),"x","")</f>
        <v/>
      </c>
      <c r="Z1127" s="39" t="str">
        <f>IF(AND(B1127&lt;=NKC!$N$8,B1127&gt;=NKC!$M$8),"x","")</f>
        <v/>
      </c>
      <c r="AA1127" s="894"/>
    </row>
    <row r="1128" spans="1:27" ht="15.75" customHeight="1">
      <c r="A1128" s="199" t="str">
        <f>IF(B1128&lt;&gt;"",IF(AND(B1128&gt;=_TM1,B1128&lt;=_TM2,OR(TH!L1128="1111",TH!M1128="1111")),TH!D1128,""),"")</f>
        <v/>
      </c>
      <c r="B1128" s="36" t="str">
        <f t="shared" si="43"/>
        <v/>
      </c>
      <c r="C1128" s="190"/>
      <c r="D1128" s="190"/>
      <c r="E1128" s="190"/>
      <c r="F1128" s="191"/>
      <c r="G1128" s="491"/>
      <c r="H1128" s="192"/>
      <c r="I1128" s="253"/>
      <c r="J1128" s="253"/>
      <c r="K1128" s="606"/>
      <c r="L1128" s="193"/>
      <c r="M1128" s="193"/>
      <c r="N1128" s="39" t="str">
        <f>IF(AND('331-CT'!$E$7=TH!H1128,OR(L1128="331",M1128="331")),"331",IF(AND(OR(L1128="131",M1128="131"),H1128='131-CT'!$E$7),"131",""))</f>
        <v/>
      </c>
      <c r="O1128" s="39" t="str">
        <f>IF(AND($B1128&gt;='111'!$N$11,$B1128&lt;='111'!$O$11,OR($L1128=$O$7,$M1128=$O$7)),"x","")</f>
        <v/>
      </c>
      <c r="P1128" s="39" t="str">
        <f>IF(AND($L1128=$O$7,$B1128&lt;'111'!$N$11),"x","")</f>
        <v/>
      </c>
      <c r="Q1128" s="39" t="str">
        <f>IF(AND($M1128=$O$7,$B1128&lt;'111'!$N$11),"x","")</f>
        <v/>
      </c>
      <c r="R1128" s="39" t="str">
        <f>IF(ISERROR(FIND('112'!$M$9,G1128,1)),"",IF((AND(FIND('112'!$M$9,G1128,1)&gt;=1,$B1128&gt;='112'!$N$8,$B1128&lt;='112'!$O$8,OR($L1128='112'!$I$6,$M1128='112'!$I$6))),"x",""))</f>
        <v/>
      </c>
      <c r="S1128" s="39" t="str">
        <f>IF(ISERROR(FIND('112'!$M$9,G1128,1)),"",IF((AND(LEFT(G1128,2)=LEFT('112'!$M$9,2),B1128&lt;'112'!$N$8,$L1128='112'!$I$6)),"x",""))</f>
        <v/>
      </c>
      <c r="T1128" s="39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39" t="str">
        <f>IF(OR(TH!L1128=TH!$V$7,M1128=TH!$V$7),"x","")</f>
        <v/>
      </c>
      <c r="W1128" s="39" t="str">
        <f>IF(AND(B1128&gt;='IN-NX'!$P$3,B1128&lt;='IN-NX'!$Q$3,'IN-NX'!$D$7=D1128,OR(LEFT(L1128,2)="15",AND(LEFT(M1128,2)&lt;&gt;"15",LEFT(M1128,2)&lt;&gt;"33"))),"x","")</f>
        <v/>
      </c>
      <c r="X1128" s="39" t="str">
        <f>IF(AND(OR(LEFT(TH!L1128,2)="15",LEFT(TH!M1128,2)="15"),'152-CT'!$J$8=TH!F1128),"x","")</f>
        <v/>
      </c>
      <c r="Y1128" s="39" t="str">
        <f>IF(AND(OR(LEFT(TH!L1128,2)="15",LEFT(TH!M1128,2)="15"),TK!$E$7=TH!F1128),"x","")</f>
        <v/>
      </c>
      <c r="Z1128" s="39" t="str">
        <f>IF(AND(B1128&lt;=NKC!$N$8,B1128&gt;=NKC!$M$8),"x","")</f>
        <v/>
      </c>
      <c r="AA1128" s="894"/>
    </row>
    <row r="1129" spans="1:27" ht="15.75" customHeight="1">
      <c r="A1129" s="199" t="str">
        <f>IF(B1129&lt;&gt;"",IF(AND(B1129&gt;=_TM1,B1129&lt;=_TM2,OR(TH!L1129="1111",TH!M1129="1111")),TH!D1129,""),"")</f>
        <v/>
      </c>
      <c r="B1129" s="36" t="str">
        <f t="shared" si="43"/>
        <v/>
      </c>
      <c r="C1129" s="190"/>
      <c r="D1129" s="190"/>
      <c r="E1129" s="190"/>
      <c r="F1129" s="191"/>
      <c r="G1129" s="491"/>
      <c r="H1129" s="192"/>
      <c r="I1129" s="253"/>
      <c r="J1129" s="253"/>
      <c r="K1129" s="606"/>
      <c r="L1129" s="193"/>
      <c r="M1129" s="193"/>
      <c r="N1129" s="39" t="str">
        <f>IF(AND('331-CT'!$E$7=TH!H1129,OR(L1129="331",M1129="331")),"331",IF(AND(OR(L1129="131",M1129="131"),H1129='131-CT'!$E$7),"131",""))</f>
        <v/>
      </c>
      <c r="O1129" s="39" t="str">
        <f>IF(AND($B1129&gt;='111'!$N$11,$B1129&lt;='111'!$O$11,OR($L1129=$O$7,$M1129=$O$7)),"x","")</f>
        <v/>
      </c>
      <c r="P1129" s="39" t="str">
        <f>IF(AND($L1129=$O$7,$B1129&lt;'111'!$N$11),"x","")</f>
        <v/>
      </c>
      <c r="Q1129" s="39" t="str">
        <f>IF(AND($M1129=$O$7,$B1129&lt;'111'!$N$11),"x","")</f>
        <v/>
      </c>
      <c r="R1129" s="39" t="str">
        <f>IF(ISERROR(FIND('112'!$M$9,G1129,1)),"",IF((AND(FIND('112'!$M$9,G1129,1)&gt;=1,$B1129&gt;='112'!$N$8,$B1129&lt;='112'!$O$8,OR($L1129='112'!$I$6,$M1129='112'!$I$6))),"x",""))</f>
        <v/>
      </c>
      <c r="S1129" s="39" t="str">
        <f>IF(ISERROR(FIND('112'!$M$9,G1129,1)),"",IF((AND(LEFT(G1129,2)=LEFT('112'!$M$9,2),B1129&lt;'112'!$N$8,$L1129='112'!$I$6)),"x",""))</f>
        <v/>
      </c>
      <c r="T1129" s="39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39" t="str">
        <f>IF(OR(TH!L1129=TH!$V$7,M1129=TH!$V$7),"x","")</f>
        <v/>
      </c>
      <c r="W1129" s="39" t="str">
        <f>IF(AND(B1129&gt;='IN-NX'!$P$3,B1129&lt;='IN-NX'!$Q$3,'IN-NX'!$D$7=D1129,OR(LEFT(L1129,2)="15",AND(LEFT(M1129,2)&lt;&gt;"15",LEFT(M1129,2)&lt;&gt;"33"))),"x","")</f>
        <v/>
      </c>
      <c r="X1129" s="39" t="str">
        <f>IF(AND(OR(LEFT(TH!L1129,2)="15",LEFT(TH!M1129,2)="15"),'152-CT'!$J$8=TH!F1129),"x","")</f>
        <v/>
      </c>
      <c r="Y1129" s="39" t="str">
        <f>IF(AND(OR(LEFT(TH!L1129,2)="15",LEFT(TH!M1129,2)="15"),TK!$E$7=TH!F1129),"x","")</f>
        <v/>
      </c>
      <c r="Z1129" s="39" t="str">
        <f>IF(AND(B1129&lt;=NKC!$N$8,B1129&gt;=NKC!$M$8),"x","")</f>
        <v/>
      </c>
      <c r="AA1129" s="894"/>
    </row>
    <row r="1130" spans="1:27" ht="15.75" customHeight="1">
      <c r="A1130" s="199" t="str">
        <f>IF(B1130&lt;&gt;"",IF(AND(B1130&gt;=_TM1,B1130&lt;=_TM2,OR(TH!L1130="1111",TH!M1130="1111")),TH!D1130,""),"")</f>
        <v/>
      </c>
      <c r="B1130" s="36" t="str">
        <f t="shared" si="43"/>
        <v/>
      </c>
      <c r="C1130" s="37"/>
      <c r="D1130" s="37"/>
      <c r="E1130" s="776"/>
      <c r="F1130" s="188"/>
      <c r="G1130" s="40"/>
      <c r="H1130" s="7"/>
      <c r="I1130" s="253"/>
      <c r="J1130" s="253"/>
      <c r="K1130" s="606"/>
      <c r="L1130" s="39"/>
      <c r="M1130" s="39"/>
      <c r="N1130" s="39" t="str">
        <f>IF(AND('331-CT'!$E$7=TH!H1130,OR(L1130="331",M1130="331")),"331",IF(AND(OR(L1130="131",M1130="131"),H1130='131-CT'!$E$7),"131",""))</f>
        <v/>
      </c>
      <c r="O1130" s="39" t="str">
        <f>IF(AND($B1130&gt;='111'!$N$11,$B1130&lt;='111'!$O$11,OR($L1130=$O$7,$M1130=$O$7)),"x","")</f>
        <v/>
      </c>
      <c r="P1130" s="39" t="str">
        <f>IF(AND($L1130=$O$7,$B1130&lt;'111'!$N$11),"x","")</f>
        <v/>
      </c>
      <c r="Q1130" s="39" t="str">
        <f>IF(AND($M1130=$O$7,$B1130&lt;'111'!$N$11),"x","")</f>
        <v/>
      </c>
      <c r="R1130" s="39" t="str">
        <f>IF(ISERROR(FIND('112'!$M$9,G1130,1)),"",IF((AND(FIND('112'!$M$9,G1130,1)&gt;=1,$B1130&gt;='112'!$N$8,$B1130&lt;='112'!$O$8,OR($L1130='112'!$I$6,$M1130='112'!$I$6))),"x",""))</f>
        <v/>
      </c>
      <c r="S1130" s="39" t="str">
        <f>IF(ISERROR(FIND('112'!$M$9,G1130,1)),"",IF((AND(LEFT(G1130,2)=LEFT('112'!$M$9,2),B1130&lt;'112'!$N$8,$L1130='112'!$I$6)),"x",""))</f>
        <v/>
      </c>
      <c r="T1130" s="39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39" t="str">
        <f>IF(OR(TH!L1130=TH!$V$7,M1130=TH!$V$7),"x","")</f>
        <v/>
      </c>
      <c r="W1130" s="39" t="str">
        <f>IF(AND(B1130&gt;='IN-NX'!$P$3,B1130&lt;='IN-NX'!$Q$3,'IN-NX'!$D$7=D1130,OR(LEFT(L1130,2)="15",AND(LEFT(M1130,2)&lt;&gt;"15",LEFT(M1130,2)&lt;&gt;"33"))),"x","")</f>
        <v/>
      </c>
      <c r="X1130" s="39" t="str">
        <f>IF(AND(OR(LEFT(TH!L1130,2)="15",LEFT(TH!M1130,2)="15"),'152-CT'!$J$8=TH!F1130),"x","")</f>
        <v/>
      </c>
      <c r="Y1130" s="39" t="str">
        <f>IF(AND(OR(LEFT(TH!L1130,2)="15",LEFT(TH!M1130,2)="15"),TK!$E$7=TH!F1130),"x","")</f>
        <v/>
      </c>
      <c r="Z1130" s="39" t="str">
        <f>IF(AND(B1130&lt;=NKC!$N$8,B1130&gt;=NKC!$M$8),"x","")</f>
        <v/>
      </c>
      <c r="AA1130" s="894"/>
    </row>
    <row r="1131" spans="1:27" ht="15.75" customHeight="1">
      <c r="A1131" s="199" t="str">
        <f>IF(B1131&lt;&gt;"",IF(AND(B1131&gt;=_TM1,B1131&lt;=_TM2,OR(TH!L1131="1111",TH!M1131="1111")),TH!D1131,""),"")</f>
        <v/>
      </c>
      <c r="B1131" s="36" t="str">
        <f t="shared" si="43"/>
        <v/>
      </c>
      <c r="C1131" s="37"/>
      <c r="D1131" s="37"/>
      <c r="E1131" s="776"/>
      <c r="F1131" s="40"/>
      <c r="G1131" s="40"/>
      <c r="H1131" s="7"/>
      <c r="I1131" s="253"/>
      <c r="J1131" s="253"/>
      <c r="K1131" s="606"/>
      <c r="L1131" s="39"/>
      <c r="M1131" s="39"/>
      <c r="N1131" s="39" t="str">
        <f>IF(AND('331-CT'!$E$7=TH!H1131,OR(L1131="331",M1131="331")),"331",IF(AND(OR(L1131="131",M1131="131"),H1131='131-CT'!$E$7),"131",""))</f>
        <v/>
      </c>
      <c r="O1131" s="39" t="str">
        <f>IF(AND($B1131&gt;='111'!$N$11,$B1131&lt;='111'!$O$11,OR($L1131=$O$7,$M1131=$O$7)),"x","")</f>
        <v/>
      </c>
      <c r="P1131" s="39" t="str">
        <f>IF(AND($L1131=$O$7,$B1131&lt;'111'!$N$11),"x","")</f>
        <v/>
      </c>
      <c r="Q1131" s="39" t="str">
        <f>IF(AND($M1131=$O$7,$B1131&lt;'111'!$N$11),"x","")</f>
        <v/>
      </c>
      <c r="R1131" s="39" t="str">
        <f>IF(ISERROR(FIND('112'!$M$9,G1131,1)),"",IF((AND(FIND('112'!$M$9,G1131,1)&gt;=1,$B1131&gt;='112'!$N$8,$B1131&lt;='112'!$O$8,OR($L1131='112'!$I$6,$M1131='112'!$I$6))),"x",""))</f>
        <v/>
      </c>
      <c r="S1131" s="39" t="str">
        <f>IF(ISERROR(FIND('112'!$M$9,G1131,1)),"",IF((AND(LEFT(G1131,2)=LEFT('112'!$M$9,2),B1131&lt;'112'!$N$8,$L1131='112'!$I$6)),"x",""))</f>
        <v/>
      </c>
      <c r="T1131" s="39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39" t="str">
        <f>IF(OR(TH!L1131=TH!$V$7,M1131=TH!$V$7),"x","")</f>
        <v/>
      </c>
      <c r="W1131" s="39" t="str">
        <f>IF(AND(B1131&gt;='IN-NX'!$P$3,B1131&lt;='IN-NX'!$Q$3,'IN-NX'!$D$7=D1131,OR(LEFT(L1131,2)="15",AND(LEFT(M1131,2)&lt;&gt;"15",LEFT(M1131,2)&lt;&gt;"33"))),"x","")</f>
        <v/>
      </c>
      <c r="X1131" s="39" t="str">
        <f>IF(AND(OR(LEFT(TH!L1131,2)="15",LEFT(TH!M1131,2)="15"),'152-CT'!$J$8=TH!F1131),"x","")</f>
        <v/>
      </c>
      <c r="Y1131" s="39" t="str">
        <f>IF(AND(OR(LEFT(TH!L1131,2)="15",LEFT(TH!M1131,2)="15"),TK!$E$7=TH!F1131),"x","")</f>
        <v/>
      </c>
      <c r="Z1131" s="39" t="str">
        <f>IF(AND(B1131&lt;=NKC!$N$8,B1131&gt;=NKC!$M$8),"x","")</f>
        <v/>
      </c>
      <c r="AA1131" s="894"/>
    </row>
    <row r="1132" spans="1:27" ht="15.75" customHeight="1">
      <c r="A1132" s="199" t="str">
        <f>IF(B1132&lt;&gt;"",IF(AND(B1132&gt;=_TM1,B1132&lt;=_TM2,OR(TH!L1132="1111",TH!M1132="1111")),TH!D1132,""),"")</f>
        <v/>
      </c>
      <c r="B1132" s="36" t="str">
        <f t="shared" si="43"/>
        <v/>
      </c>
      <c r="C1132" s="37"/>
      <c r="D1132" s="37"/>
      <c r="E1132" s="776"/>
      <c r="F1132" s="188"/>
      <c r="G1132" s="40"/>
      <c r="H1132" s="7"/>
      <c r="I1132" s="821"/>
      <c r="J1132" s="253"/>
      <c r="K1132" s="606"/>
      <c r="L1132" s="39"/>
      <c r="M1132" s="39"/>
      <c r="N1132" s="39" t="str">
        <f>IF(AND('331-CT'!$E$7=TH!H1132,OR(L1132="331",M1132="331")),"331",IF(AND(OR(L1132="131",M1132="131"),H1132='131-CT'!$E$7),"131",""))</f>
        <v/>
      </c>
      <c r="O1132" s="39" t="str">
        <f>IF(AND($B1132&gt;='111'!$N$11,$B1132&lt;='111'!$O$11,OR($L1132=$O$7,$M1132=$O$7)),"x","")</f>
        <v/>
      </c>
      <c r="P1132" s="39" t="str">
        <f>IF(AND($L1132=$O$7,$B1132&lt;'111'!$N$11),"x","")</f>
        <v/>
      </c>
      <c r="Q1132" s="39" t="str">
        <f>IF(AND($M1132=$O$7,$B1132&lt;'111'!$N$11),"x","")</f>
        <v/>
      </c>
      <c r="R1132" s="39" t="str">
        <f>IF(ISERROR(FIND('112'!$M$9,G1132,1)),"",IF((AND(FIND('112'!$M$9,G1132,1)&gt;=1,$B1132&gt;='112'!$N$8,$B1132&lt;='112'!$O$8,OR($L1132='112'!$I$6,$M1132='112'!$I$6))),"x",""))</f>
        <v/>
      </c>
      <c r="S1132" s="39" t="str">
        <f>IF(ISERROR(FIND('112'!$M$9,G1132,1)),"",IF((AND(LEFT(G1132,2)=LEFT('112'!$M$9,2),B1132&lt;'112'!$N$8,$L1132='112'!$I$6)),"x",""))</f>
        <v/>
      </c>
      <c r="T1132" s="39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39" t="str">
        <f>IF(OR(TH!L1132=TH!$V$7,M1132=TH!$V$7),"x","")</f>
        <v/>
      </c>
      <c r="W1132" s="39" t="str">
        <f>IF(AND(B1132&gt;='IN-NX'!$P$3,B1132&lt;='IN-NX'!$Q$3,'IN-NX'!$D$7=D1132,OR(LEFT(L1132,2)="15",AND(LEFT(M1132,2)&lt;&gt;"15",LEFT(M1132,2)&lt;&gt;"33"))),"x","")</f>
        <v/>
      </c>
      <c r="X1132" s="39" t="str">
        <f>IF(AND(OR(LEFT(TH!L1132,2)="15",LEFT(TH!M1132,2)="15"),'152-CT'!$J$8=TH!F1132),"x","")</f>
        <v/>
      </c>
      <c r="Y1132" s="39" t="str">
        <f>IF(AND(OR(LEFT(TH!L1132,2)="15",LEFT(TH!M1132,2)="15"),TK!$E$7=TH!F1132),"x","")</f>
        <v/>
      </c>
      <c r="Z1132" s="39" t="str">
        <f>IF(AND(B1132&lt;=NKC!$N$8,B1132&gt;=NKC!$M$8),"x","")</f>
        <v/>
      </c>
      <c r="AA1132" s="894"/>
    </row>
    <row r="1133" spans="1:27" ht="15.75" customHeight="1">
      <c r="A1133" s="199" t="str">
        <f>IF(B1133&lt;&gt;"",IF(AND(B1133&gt;=_TM1,B1133&lt;=_TM2,OR(TH!L1133="1111",TH!M1133="1111")),TH!D1133,""),"")</f>
        <v/>
      </c>
      <c r="B1133" s="36" t="str">
        <f t="shared" si="43"/>
        <v/>
      </c>
      <c r="C1133" s="37"/>
      <c r="D1133" s="37"/>
      <c r="E1133" s="776"/>
      <c r="F1133" s="40"/>
      <c r="G1133" s="40"/>
      <c r="H1133" s="7"/>
      <c r="I1133" s="253"/>
      <c r="J1133" s="253"/>
      <c r="K1133" s="606"/>
      <c r="L1133" s="39"/>
      <c r="M1133" s="39"/>
      <c r="N1133" s="39" t="str">
        <f>IF(AND('331-CT'!$E$7=TH!H1133,OR(L1133="331",M1133="331")),"331",IF(AND(OR(L1133="131",M1133="131"),H1133='131-CT'!$E$7),"131",""))</f>
        <v/>
      </c>
      <c r="O1133" s="39" t="str">
        <f>IF(AND($B1133&gt;='111'!$N$11,$B1133&lt;='111'!$O$11,OR($L1133=$O$7,$M1133=$O$7)),"x","")</f>
        <v/>
      </c>
      <c r="P1133" s="39" t="str">
        <f>IF(AND($L1133=$O$7,$B1133&lt;'111'!$N$11),"x","")</f>
        <v/>
      </c>
      <c r="Q1133" s="39" t="str">
        <f>IF(AND($M1133=$O$7,$B1133&lt;'111'!$N$11),"x","")</f>
        <v/>
      </c>
      <c r="R1133" s="39" t="str">
        <f>IF(ISERROR(FIND('112'!$M$9,G1133,1)),"",IF((AND(FIND('112'!$M$9,G1133,1)&gt;=1,$B1133&gt;='112'!$N$8,$B1133&lt;='112'!$O$8,OR($L1133='112'!$I$6,$M1133='112'!$I$6))),"x",""))</f>
        <v/>
      </c>
      <c r="S1133" s="39" t="str">
        <f>IF(ISERROR(FIND('112'!$M$9,G1133,1)),"",IF((AND(LEFT(G1133,2)=LEFT('112'!$M$9,2),B1133&lt;'112'!$N$8,$L1133='112'!$I$6)),"x",""))</f>
        <v/>
      </c>
      <c r="T1133" s="39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39" t="str">
        <f>IF(OR(TH!L1133=TH!$V$7,M1133=TH!$V$7),"x","")</f>
        <v/>
      </c>
      <c r="W1133" s="39" t="str">
        <f>IF(AND(B1133&gt;='IN-NX'!$P$3,B1133&lt;='IN-NX'!$Q$3,'IN-NX'!$D$7=D1133,OR(LEFT(L1133,2)="15",AND(LEFT(M1133,2)&lt;&gt;"15",LEFT(M1133,2)&lt;&gt;"33"))),"x","")</f>
        <v/>
      </c>
      <c r="X1133" s="39" t="str">
        <f>IF(AND(OR(LEFT(TH!L1133,2)="15",LEFT(TH!M1133,2)="15"),'152-CT'!$J$8=TH!F1133),"x","")</f>
        <v/>
      </c>
      <c r="Y1133" s="39" t="str">
        <f>IF(AND(OR(LEFT(TH!L1133,2)="15",LEFT(TH!M1133,2)="15"),TK!$E$7=TH!F1133),"x","")</f>
        <v/>
      </c>
      <c r="Z1133" s="39" t="str">
        <f>IF(AND(B1133&lt;=NKC!$N$8,B1133&gt;=NKC!$M$8),"x","")</f>
        <v/>
      </c>
      <c r="AA1133" s="894"/>
    </row>
    <row r="1134" spans="1:27" ht="15.75" customHeight="1">
      <c r="A1134" s="199" t="str">
        <f>IF(B1134&lt;&gt;"",IF(AND(B1134&gt;=_TM1,B1134&lt;=_TM2,OR(TH!L1134="1111",TH!M1134="1111")),TH!D1134,""),"")</f>
        <v/>
      </c>
      <c r="B1134" s="36" t="str">
        <f t="shared" si="43"/>
        <v/>
      </c>
      <c r="C1134" s="37"/>
      <c r="D1134" s="37"/>
      <c r="E1134" s="776"/>
      <c r="F1134" s="188"/>
      <c r="G1134" s="40"/>
      <c r="H1134" s="7"/>
      <c r="I1134" s="821"/>
      <c r="J1134" s="253"/>
      <c r="K1134" s="606"/>
      <c r="L1134" s="39"/>
      <c r="M1134" s="39"/>
      <c r="N1134" s="39" t="str">
        <f>IF(AND('331-CT'!$E$7=TH!H1134,OR(L1134="331",M1134="331")),"331",IF(AND(OR(L1134="131",M1134="131"),H1134='131-CT'!$E$7),"131",""))</f>
        <v/>
      </c>
      <c r="O1134" s="39" t="str">
        <f>IF(AND($B1134&gt;='111'!$N$11,$B1134&lt;='111'!$O$11,OR($L1134=$O$7,$M1134=$O$7)),"x","")</f>
        <v/>
      </c>
      <c r="P1134" s="39" t="str">
        <f>IF(AND($L1134=$O$7,$B1134&lt;'111'!$N$11),"x","")</f>
        <v/>
      </c>
      <c r="Q1134" s="39" t="str">
        <f>IF(AND($M1134=$O$7,$B1134&lt;'111'!$N$11),"x","")</f>
        <v/>
      </c>
      <c r="R1134" s="39" t="str">
        <f>IF(ISERROR(FIND('112'!$M$9,G1134,1)),"",IF((AND(FIND('112'!$M$9,G1134,1)&gt;=1,$B1134&gt;='112'!$N$8,$B1134&lt;='112'!$O$8,OR($L1134='112'!$I$6,$M1134='112'!$I$6))),"x",""))</f>
        <v/>
      </c>
      <c r="S1134" s="39" t="str">
        <f>IF(ISERROR(FIND('112'!$M$9,G1134,1)),"",IF((AND(LEFT(G1134,2)=LEFT('112'!$M$9,2),B1134&lt;'112'!$N$8,$L1134='112'!$I$6)),"x",""))</f>
        <v/>
      </c>
      <c r="T1134" s="39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39" t="str">
        <f>IF(OR(TH!L1134=TH!$V$7,M1134=TH!$V$7),"x","")</f>
        <v/>
      </c>
      <c r="W1134" s="39" t="str">
        <f>IF(AND(B1134&gt;='IN-NX'!$P$3,B1134&lt;='IN-NX'!$Q$3,'IN-NX'!$D$7=D1134,OR(LEFT(L1134,2)="15",AND(LEFT(M1134,2)&lt;&gt;"15",LEFT(M1134,2)&lt;&gt;"33"))),"x","")</f>
        <v/>
      </c>
      <c r="X1134" s="39" t="str">
        <f>IF(AND(OR(LEFT(TH!L1134,2)="15",LEFT(TH!M1134,2)="15"),'152-CT'!$J$8=TH!F1134),"x","")</f>
        <v/>
      </c>
      <c r="Y1134" s="39" t="str">
        <f>IF(AND(OR(LEFT(TH!L1134,2)="15",LEFT(TH!M1134,2)="15"),TK!$E$7=TH!F1134),"x","")</f>
        <v/>
      </c>
      <c r="Z1134" s="39" t="str">
        <f>IF(AND(B1134&lt;=NKC!$N$8,B1134&gt;=NKC!$M$8),"x","")</f>
        <v/>
      </c>
      <c r="AA1134" s="894"/>
    </row>
    <row r="1135" spans="1:27" ht="15.75" customHeight="1">
      <c r="A1135" s="199" t="str">
        <f>IF(B1135&lt;&gt;"",IF(AND(B1135&gt;=_TM1,B1135&lt;=_TM2,OR(TH!L1135="1111",TH!M1135="1111")),TH!D1135,""),"")</f>
        <v/>
      </c>
      <c r="B1135" s="36" t="str">
        <f t="shared" si="43"/>
        <v/>
      </c>
      <c r="C1135" s="37"/>
      <c r="D1135" s="37"/>
      <c r="E1135" s="776"/>
      <c r="F1135" s="188"/>
      <c r="G1135" s="40"/>
      <c r="H1135" s="7"/>
      <c r="I1135" s="821"/>
      <c r="J1135" s="253"/>
      <c r="K1135" s="606"/>
      <c r="L1135" s="39"/>
      <c r="M1135" s="39"/>
      <c r="N1135" s="39" t="str">
        <f>IF(AND('331-CT'!$E$7=TH!H1135,OR(L1135="331",M1135="331")),"331",IF(AND(OR(L1135="131",M1135="131"),H1135='131-CT'!$E$7),"131",""))</f>
        <v/>
      </c>
      <c r="O1135" s="39" t="str">
        <f>IF(AND($B1135&gt;='111'!$N$11,$B1135&lt;='111'!$O$11,OR($L1135=$O$7,$M1135=$O$7)),"x","")</f>
        <v/>
      </c>
      <c r="P1135" s="39" t="str">
        <f>IF(AND($L1135=$O$7,$B1135&lt;'111'!$N$11),"x","")</f>
        <v/>
      </c>
      <c r="Q1135" s="39" t="str">
        <f>IF(AND($M1135=$O$7,$B1135&lt;'111'!$N$11),"x","")</f>
        <v/>
      </c>
      <c r="R1135" s="39" t="str">
        <f>IF(ISERROR(FIND('112'!$M$9,G1135,1)),"",IF((AND(FIND('112'!$M$9,G1135,1)&gt;=1,$B1135&gt;='112'!$N$8,$B1135&lt;='112'!$O$8,OR($L1135='112'!$I$6,$M1135='112'!$I$6))),"x",""))</f>
        <v/>
      </c>
      <c r="S1135" s="39" t="str">
        <f>IF(ISERROR(FIND('112'!$M$9,G1135,1)),"",IF((AND(LEFT(G1135,2)=LEFT('112'!$M$9,2),B1135&lt;'112'!$N$8,$L1135='112'!$I$6)),"x",""))</f>
        <v/>
      </c>
      <c r="T1135" s="39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39" t="str">
        <f>IF(OR(TH!L1135=TH!$V$7,M1135=TH!$V$7),"x","")</f>
        <v/>
      </c>
      <c r="W1135" s="39" t="str">
        <f>IF(AND(B1135&gt;='IN-NX'!$P$3,B1135&lt;='IN-NX'!$Q$3,'IN-NX'!$D$7=D1135,OR(LEFT(L1135,2)="15",AND(LEFT(M1135,2)&lt;&gt;"15",LEFT(M1135,2)&lt;&gt;"33"))),"x","")</f>
        <v/>
      </c>
      <c r="X1135" s="39" t="str">
        <f>IF(AND(OR(LEFT(TH!L1135,2)="15",LEFT(TH!M1135,2)="15"),'152-CT'!$J$8=TH!F1135),"x","")</f>
        <v/>
      </c>
      <c r="Y1135" s="39" t="str">
        <f>IF(AND(OR(LEFT(TH!L1135,2)="15",LEFT(TH!M1135,2)="15"),TK!$E$7=TH!F1135),"x","")</f>
        <v/>
      </c>
      <c r="Z1135" s="39" t="str">
        <f>IF(AND(B1135&lt;=NKC!$N$8,B1135&gt;=NKC!$M$8),"x","")</f>
        <v/>
      </c>
      <c r="AA1135" s="894"/>
    </row>
    <row r="1136" spans="1:27" ht="15.75" customHeight="1">
      <c r="A1136" s="199" t="str">
        <f>IF(B1136&lt;&gt;"",IF(AND(B1136&gt;=_TM1,B1136&lt;=_TM2,OR(TH!L1136="1111",TH!M1136="1111")),TH!D1136,""),"")</f>
        <v/>
      </c>
      <c r="B1136" s="36" t="str">
        <f t="shared" si="43"/>
        <v/>
      </c>
      <c r="C1136" s="37"/>
      <c r="D1136" s="37"/>
      <c r="E1136" s="776"/>
      <c r="F1136" s="293"/>
      <c r="G1136" s="40"/>
      <c r="H1136" s="7"/>
      <c r="I1136" s="253"/>
      <c r="J1136" s="253"/>
      <c r="K1136" s="606"/>
      <c r="L1136" s="39"/>
      <c r="M1136" s="39"/>
      <c r="N1136" s="39" t="str">
        <f>IF(AND('331-CT'!$E$7=TH!H1136,OR(L1136="331",M1136="331")),"331",IF(AND(OR(L1136="131",M1136="131"),H1136='131-CT'!$E$7),"131",""))</f>
        <v/>
      </c>
      <c r="O1136" s="39" t="str">
        <f>IF(AND($B1136&gt;='111'!$N$11,$B1136&lt;='111'!$O$11,OR($L1136=$O$7,$M1136=$O$7)),"x","")</f>
        <v/>
      </c>
      <c r="P1136" s="39" t="str">
        <f>IF(AND($L1136=$O$7,$B1136&lt;'111'!$N$11),"x","")</f>
        <v/>
      </c>
      <c r="Q1136" s="39" t="str">
        <f>IF(AND($M1136=$O$7,$B1136&lt;'111'!$N$11),"x","")</f>
        <v/>
      </c>
      <c r="R1136" s="39" t="str">
        <f>IF(ISERROR(FIND('112'!$M$9,G1136,1)),"",IF((AND(FIND('112'!$M$9,G1136,1)&gt;=1,$B1136&gt;='112'!$N$8,$B1136&lt;='112'!$O$8,OR($L1136='112'!$I$6,$M1136='112'!$I$6))),"x",""))</f>
        <v/>
      </c>
      <c r="S1136" s="39" t="str">
        <f>IF(ISERROR(FIND('112'!$M$9,G1136,1)),"",IF((AND(LEFT(G1136,2)=LEFT('112'!$M$9,2),B1136&lt;'112'!$N$8,$L1136='112'!$I$6)),"x",""))</f>
        <v/>
      </c>
      <c r="T1136" s="39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39" t="str">
        <f>IF(OR(TH!L1136=TH!$V$7,M1136=TH!$V$7),"x","")</f>
        <v/>
      </c>
      <c r="W1136" s="39" t="str">
        <f>IF(AND(B1136&gt;='IN-NX'!$P$3,B1136&lt;='IN-NX'!$Q$3,'IN-NX'!$D$7=D1136,OR(LEFT(L1136,2)="15",AND(LEFT(M1136,2)&lt;&gt;"15",LEFT(M1136,2)&lt;&gt;"33"))),"x","")</f>
        <v/>
      </c>
      <c r="X1136" s="39" t="str">
        <f>IF(AND(OR(LEFT(TH!L1136,2)="15",LEFT(TH!M1136,2)="15"),'152-CT'!$J$8=TH!F1136),"x","")</f>
        <v/>
      </c>
      <c r="Y1136" s="39" t="str">
        <f>IF(AND(OR(LEFT(TH!L1136,2)="15",LEFT(TH!M1136,2)="15"),TK!$E$7=TH!F1136),"x","")</f>
        <v/>
      </c>
      <c r="Z1136" s="39" t="str">
        <f>IF(AND(B1136&lt;=NKC!$N$8,B1136&gt;=NKC!$M$8),"x","")</f>
        <v/>
      </c>
      <c r="AA1136" s="894"/>
    </row>
    <row r="1137" spans="1:27" ht="15.75" customHeight="1">
      <c r="A1137" s="199" t="str">
        <f>IF(B1137&lt;&gt;"",IF(AND(B1137&gt;=_TM1,B1137&lt;=_TM2,OR(TH!L1137="1111",TH!M1137="1111")),TH!D1137,""),"")</f>
        <v/>
      </c>
      <c r="B1137" s="36" t="str">
        <f t="shared" si="43"/>
        <v/>
      </c>
      <c r="C1137" s="37"/>
      <c r="D1137" s="37"/>
      <c r="E1137" s="776"/>
      <c r="F1137" s="40"/>
      <c r="G1137" s="40"/>
      <c r="H1137" s="7"/>
      <c r="I1137" s="253"/>
      <c r="J1137" s="253"/>
      <c r="K1137" s="606"/>
      <c r="L1137" s="39"/>
      <c r="M1137" s="39"/>
      <c r="N1137" s="39" t="str">
        <f>IF(AND('331-CT'!$E$7=TH!H1137,OR(L1137="331",M1137="331")),"331",IF(AND(OR(L1137="131",M1137="131"),H1137='131-CT'!$E$7),"131",""))</f>
        <v/>
      </c>
      <c r="O1137" s="39" t="str">
        <f>IF(AND($B1137&gt;='111'!$N$11,$B1137&lt;='111'!$O$11,OR($L1137=$O$7,$M1137=$O$7)),"x","")</f>
        <v/>
      </c>
      <c r="P1137" s="39" t="str">
        <f>IF(AND($L1137=$O$7,$B1137&lt;'111'!$N$11),"x","")</f>
        <v/>
      </c>
      <c r="Q1137" s="39" t="str">
        <f>IF(AND($M1137=$O$7,$B1137&lt;'111'!$N$11),"x","")</f>
        <v/>
      </c>
      <c r="R1137" s="39" t="str">
        <f>IF(ISERROR(FIND('112'!$M$9,G1137,1)),"",IF((AND(FIND('112'!$M$9,G1137,1)&gt;=1,$B1137&gt;='112'!$N$8,$B1137&lt;='112'!$O$8,OR($L1137='112'!$I$6,$M1137='112'!$I$6))),"x",""))</f>
        <v/>
      </c>
      <c r="S1137" s="39" t="str">
        <f>IF(ISERROR(FIND('112'!$M$9,G1137,1)),"",IF((AND(LEFT(G1137,2)=LEFT('112'!$M$9,2),B1137&lt;'112'!$N$8,$L1137='112'!$I$6)),"x",""))</f>
        <v/>
      </c>
      <c r="T1137" s="39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39" t="str">
        <f>IF(OR(TH!L1137=TH!$V$7,M1137=TH!$V$7),"x","")</f>
        <v/>
      </c>
      <c r="W1137" s="39" t="str">
        <f>IF(AND(B1137&gt;='IN-NX'!$P$3,B1137&lt;='IN-NX'!$Q$3,'IN-NX'!$D$7=D1137,OR(LEFT(L1137,2)="15",AND(LEFT(M1137,2)&lt;&gt;"15",LEFT(M1137,2)&lt;&gt;"33"))),"x","")</f>
        <v/>
      </c>
      <c r="X1137" s="39" t="str">
        <f>IF(AND(OR(LEFT(TH!L1137,2)="15",LEFT(TH!M1137,2)="15"),'152-CT'!$J$8=TH!F1137),"x","")</f>
        <v/>
      </c>
      <c r="Y1137" s="39" t="str">
        <f>IF(AND(OR(LEFT(TH!L1137,2)="15",LEFT(TH!M1137,2)="15"),TK!$E$7=TH!F1137),"x","")</f>
        <v/>
      </c>
      <c r="Z1137" s="39" t="str">
        <f>IF(AND(B1137&lt;=NKC!$N$8,B1137&gt;=NKC!$M$8),"x","")</f>
        <v/>
      </c>
      <c r="AA1137" s="894"/>
    </row>
    <row r="1138" spans="1:27" ht="15.75" customHeight="1">
      <c r="A1138" s="199" t="str">
        <f>IF(B1138&lt;&gt;"",IF(AND(B1138&gt;=_TM1,B1138&lt;=_TM2,OR(TH!L1138="1111",TH!M1138="1111")),TH!D1138,""),"")</f>
        <v/>
      </c>
      <c r="B1138" s="36" t="str">
        <f t="shared" si="43"/>
        <v/>
      </c>
      <c r="C1138" s="37"/>
      <c r="D1138" s="37"/>
      <c r="E1138" s="37"/>
      <c r="F1138" s="40"/>
      <c r="G1138" s="40"/>
      <c r="H1138" s="7"/>
      <c r="I1138" s="253"/>
      <c r="J1138" s="253"/>
      <c r="K1138" s="606"/>
      <c r="L1138" s="39"/>
      <c r="M1138" s="39"/>
      <c r="N1138" s="39" t="str">
        <f>IF(AND('331-CT'!$E$7=TH!H1138,OR(L1138="331",M1138="331")),"331",IF(AND(OR(L1138="131",M1138="131"),H1138='131-CT'!$E$7),"131",""))</f>
        <v/>
      </c>
      <c r="O1138" s="39" t="str">
        <f>IF(AND($B1138&gt;='111'!$N$11,$B1138&lt;='111'!$O$11,OR($L1138=$O$7,$M1138=$O$7)),"x","")</f>
        <v/>
      </c>
      <c r="P1138" s="39" t="str">
        <f>IF(AND($L1138=$O$7,$B1138&lt;'111'!$N$11),"x","")</f>
        <v/>
      </c>
      <c r="Q1138" s="39" t="str">
        <f>IF(AND($M1138=$O$7,$B1138&lt;'111'!$N$11),"x","")</f>
        <v/>
      </c>
      <c r="R1138" s="39" t="str">
        <f>IF(ISERROR(FIND('112'!$M$9,G1138,1)),"",IF((AND(FIND('112'!$M$9,G1138,1)&gt;=1,$B1138&gt;='112'!$N$8,$B1138&lt;='112'!$O$8,OR($L1138='112'!$I$6,$M1138='112'!$I$6))),"x",""))</f>
        <v/>
      </c>
      <c r="S1138" s="39" t="str">
        <f>IF(ISERROR(FIND('112'!$M$9,G1138,1)),"",IF((AND(LEFT(G1138,2)=LEFT('112'!$M$9,2),B1138&lt;'112'!$N$8,$L1138='112'!$I$6)),"x",""))</f>
        <v/>
      </c>
      <c r="T1138" s="39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39" t="str">
        <f>IF(OR(TH!L1138=TH!$V$7,M1138=TH!$V$7),"x","")</f>
        <v/>
      </c>
      <c r="W1138" s="39" t="str">
        <f>IF(AND(B1138&gt;='IN-NX'!$P$3,B1138&lt;='IN-NX'!$Q$3,'IN-NX'!$D$7=D1138,OR(LEFT(L1138,2)="15",AND(LEFT(M1138,2)&lt;&gt;"15",LEFT(M1138,2)&lt;&gt;"33"))),"x","")</f>
        <v/>
      </c>
      <c r="X1138" s="39" t="str">
        <f>IF(AND(OR(LEFT(TH!L1138,2)="15",LEFT(TH!M1138,2)="15"),'152-CT'!$J$8=TH!F1138),"x","")</f>
        <v/>
      </c>
      <c r="Y1138" s="39" t="str">
        <f>IF(AND(OR(LEFT(TH!L1138,2)="15",LEFT(TH!M1138,2)="15"),TK!$E$7=TH!F1138),"x","")</f>
        <v/>
      </c>
      <c r="Z1138" s="39" t="str">
        <f>IF(AND(B1138&lt;=NKC!$N$8,B1138&gt;=NKC!$M$8),"x","")</f>
        <v/>
      </c>
      <c r="AA1138" s="894"/>
    </row>
    <row r="1139" spans="1:27" ht="15.75" customHeight="1">
      <c r="A1139" s="199" t="str">
        <f>IF(B1139&lt;&gt;"",IF(AND(B1139&gt;=_TM1,B1139&lt;=_TM2,OR(TH!L1139="1111",TH!M1139="1111")),TH!D1139,""),"")</f>
        <v/>
      </c>
      <c r="B1139" s="36" t="str">
        <f t="shared" si="43"/>
        <v/>
      </c>
      <c r="C1139" s="37"/>
      <c r="D1139" s="37"/>
      <c r="E1139" s="37"/>
      <c r="F1139" s="191"/>
      <c r="G1139" s="40"/>
      <c r="H1139" s="7"/>
      <c r="I1139" s="253"/>
      <c r="J1139" s="253"/>
      <c r="K1139" s="606"/>
      <c r="L1139" s="39"/>
      <c r="M1139" s="39"/>
      <c r="N1139" s="39" t="str">
        <f>IF(AND('331-CT'!$E$7=TH!H1139,OR(L1139="331",M1139="331")),"331",IF(AND(OR(L1139="131",M1139="131"),H1139='131-CT'!$E$7),"131",""))</f>
        <v/>
      </c>
      <c r="O1139" s="39" t="str">
        <f>IF(AND($B1139&gt;='111'!$N$11,$B1139&lt;='111'!$O$11,OR($L1139=$O$7,$M1139=$O$7)),"x","")</f>
        <v/>
      </c>
      <c r="P1139" s="39" t="str">
        <f>IF(AND($L1139=$O$7,$B1139&lt;'111'!$N$11),"x","")</f>
        <v/>
      </c>
      <c r="Q1139" s="39" t="str">
        <f>IF(AND($M1139=$O$7,$B1139&lt;'111'!$N$11),"x","")</f>
        <v/>
      </c>
      <c r="R1139" s="39" t="str">
        <f>IF(ISERROR(FIND('112'!$M$9,G1139,1)),"",IF((AND(FIND('112'!$M$9,G1139,1)&gt;=1,$B1139&gt;='112'!$N$8,$B1139&lt;='112'!$O$8,OR($L1139='112'!$I$6,$M1139='112'!$I$6))),"x",""))</f>
        <v/>
      </c>
      <c r="S1139" s="39" t="str">
        <f>IF(ISERROR(FIND('112'!$M$9,G1139,1)),"",IF((AND(LEFT(G1139,2)=LEFT('112'!$M$9,2),B1139&lt;'112'!$N$8,$L1139='112'!$I$6)),"x",""))</f>
        <v/>
      </c>
      <c r="T1139" s="39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39" t="str">
        <f>IF(OR(TH!L1139=TH!$V$7,M1139=TH!$V$7),"x","")</f>
        <v/>
      </c>
      <c r="W1139" s="39" t="str">
        <f>IF(AND(B1139&gt;='IN-NX'!$P$3,B1139&lt;='IN-NX'!$Q$3,'IN-NX'!$D$7=D1139,OR(LEFT(L1139,2)="15",AND(LEFT(M1139,2)&lt;&gt;"15",LEFT(M1139,2)&lt;&gt;"33"))),"x","")</f>
        <v/>
      </c>
      <c r="X1139" s="39" t="str">
        <f>IF(AND(OR(LEFT(TH!L1139,2)="15",LEFT(TH!M1139,2)="15"),'152-CT'!$J$8=TH!F1139),"x","")</f>
        <v/>
      </c>
      <c r="Y1139" s="39" t="str">
        <f>IF(AND(OR(LEFT(TH!L1139,2)="15",LEFT(TH!M1139,2)="15"),TK!$E$7=TH!F1139),"x","")</f>
        <v/>
      </c>
      <c r="Z1139" s="39" t="str">
        <f>IF(AND(B1139&lt;=NKC!$N$8,B1139&gt;=NKC!$M$8),"x","")</f>
        <v/>
      </c>
      <c r="AA1139" s="894"/>
    </row>
    <row r="1140" spans="1:27" ht="15.75" customHeight="1">
      <c r="A1140" s="199" t="str">
        <f>IF(B1140&lt;&gt;"",IF(AND(B1140&gt;=_TM1,B1140&lt;=_TM2,OR(TH!L1140="1111",TH!M1140="1111")),TH!D1140,""),"")</f>
        <v/>
      </c>
      <c r="B1140" s="36" t="str">
        <f t="shared" si="43"/>
        <v/>
      </c>
      <c r="C1140" s="37"/>
      <c r="D1140" s="37"/>
      <c r="E1140" s="37"/>
      <c r="F1140" s="40"/>
      <c r="G1140" s="40"/>
      <c r="H1140" s="7"/>
      <c r="I1140" s="253"/>
      <c r="J1140" s="253"/>
      <c r="K1140" s="606"/>
      <c r="L1140" s="39"/>
      <c r="M1140" s="39"/>
      <c r="N1140" s="39" t="str">
        <f>IF(AND('331-CT'!$E$7=TH!H1140,OR(L1140="331",M1140="331")),"331",IF(AND(OR(L1140="131",M1140="131"),H1140='131-CT'!$E$7),"131",""))</f>
        <v/>
      </c>
      <c r="O1140" s="39" t="str">
        <f>IF(AND($B1140&gt;='111'!$N$11,$B1140&lt;='111'!$O$11,OR($L1140=$O$7,$M1140=$O$7)),"x","")</f>
        <v/>
      </c>
      <c r="P1140" s="39" t="str">
        <f>IF(AND($L1140=$O$7,$B1140&lt;'111'!$N$11),"x","")</f>
        <v/>
      </c>
      <c r="Q1140" s="39" t="str">
        <f>IF(AND($M1140=$O$7,$B1140&lt;'111'!$N$11),"x","")</f>
        <v/>
      </c>
      <c r="R1140" s="39" t="str">
        <f>IF(ISERROR(FIND('112'!$M$9,G1140,1)),"",IF((AND(FIND('112'!$M$9,G1140,1)&gt;=1,$B1140&gt;='112'!$N$8,$B1140&lt;='112'!$O$8,OR($L1140='112'!$I$6,$M1140='112'!$I$6))),"x",""))</f>
        <v/>
      </c>
      <c r="S1140" s="39" t="str">
        <f>IF(ISERROR(FIND('112'!$M$9,G1140,1)),"",IF((AND(LEFT(G1140,2)=LEFT('112'!$M$9,2),B1140&lt;'112'!$N$8,$L1140='112'!$I$6)),"x",""))</f>
        <v/>
      </c>
      <c r="T1140" s="39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39" t="str">
        <f>IF(OR(TH!L1140=TH!$V$7,M1140=TH!$V$7),"x","")</f>
        <v/>
      </c>
      <c r="W1140" s="39" t="str">
        <f>IF(AND(B1140&gt;='IN-NX'!$P$3,B1140&lt;='IN-NX'!$Q$3,'IN-NX'!$D$7=D1140,OR(LEFT(L1140,2)="15",AND(LEFT(M1140,2)&lt;&gt;"15",LEFT(M1140,2)&lt;&gt;"33"))),"x","")</f>
        <v/>
      </c>
      <c r="X1140" s="39" t="str">
        <f>IF(AND(OR(LEFT(TH!L1140,2)="15",LEFT(TH!M1140,2)="15"),'152-CT'!$J$8=TH!F1140),"x","")</f>
        <v/>
      </c>
      <c r="Y1140" s="39" t="str">
        <f>IF(AND(OR(LEFT(TH!L1140,2)="15",LEFT(TH!M1140,2)="15"),TK!$E$7=TH!F1140),"x","")</f>
        <v/>
      </c>
      <c r="Z1140" s="39" t="str">
        <f>IF(AND(B1140&lt;=NKC!$N$8,B1140&gt;=NKC!$M$8),"x","")</f>
        <v/>
      </c>
      <c r="AA1140" s="894"/>
    </row>
    <row r="1141" spans="1:27" ht="15.75" customHeight="1">
      <c r="A1141" s="199" t="str">
        <f>IF(B1141&lt;&gt;"",IF(AND(B1141&gt;=_TM1,B1141&lt;=_TM2,OR(TH!L1141="1111",TH!M1141="1111")),TH!D1141,""),"")</f>
        <v/>
      </c>
      <c r="B1141" s="36" t="str">
        <f t="shared" si="43"/>
        <v/>
      </c>
      <c r="C1141" s="37"/>
      <c r="D1141" s="37"/>
      <c r="E1141" s="37"/>
      <c r="F1141" s="40"/>
      <c r="G1141" s="40"/>
      <c r="H1141" s="7"/>
      <c r="I1141" s="253"/>
      <c r="J1141" s="253"/>
      <c r="K1141" s="606"/>
      <c r="L1141" s="39"/>
      <c r="M1141" s="39"/>
      <c r="N1141" s="39" t="str">
        <f>IF(AND('331-CT'!$E$7=TH!H1141,OR(L1141="331",M1141="331")),"331",IF(AND(OR(L1141="131",M1141="131"),H1141='131-CT'!$E$7),"131",""))</f>
        <v/>
      </c>
      <c r="O1141" s="39" t="str">
        <f>IF(AND($B1141&gt;='111'!$N$11,$B1141&lt;='111'!$O$11,OR($L1141=$O$7,$M1141=$O$7)),"x","")</f>
        <v/>
      </c>
      <c r="P1141" s="39" t="str">
        <f>IF(AND($L1141=$O$7,$B1141&lt;'111'!$N$11),"x","")</f>
        <v/>
      </c>
      <c r="Q1141" s="39" t="str">
        <f>IF(AND($M1141=$O$7,$B1141&lt;'111'!$N$11),"x","")</f>
        <v/>
      </c>
      <c r="R1141" s="39" t="str">
        <f>IF(ISERROR(FIND('112'!$M$9,G1141,1)),"",IF((AND(FIND('112'!$M$9,G1141,1)&gt;=1,$B1141&gt;='112'!$N$8,$B1141&lt;='112'!$O$8,OR($L1141='112'!$I$6,$M1141='112'!$I$6))),"x",""))</f>
        <v/>
      </c>
      <c r="S1141" s="39" t="str">
        <f>IF(ISERROR(FIND('112'!$M$9,G1141,1)),"",IF((AND(LEFT(G1141,2)=LEFT('112'!$M$9,2),B1141&lt;'112'!$N$8,$L1141='112'!$I$6)),"x",""))</f>
        <v/>
      </c>
      <c r="T1141" s="39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39" t="str">
        <f>IF(OR(TH!L1141=TH!$V$7,M1141=TH!$V$7),"x","")</f>
        <v/>
      </c>
      <c r="W1141" s="39" t="str">
        <f>IF(AND(B1141&gt;='IN-NX'!$P$3,B1141&lt;='IN-NX'!$Q$3,'IN-NX'!$D$7=D1141,OR(LEFT(L1141,2)="15",AND(LEFT(M1141,2)&lt;&gt;"15",LEFT(M1141,2)&lt;&gt;"33"))),"x","")</f>
        <v/>
      </c>
      <c r="X1141" s="39" t="str">
        <f>IF(AND(OR(LEFT(TH!L1141,2)="15",LEFT(TH!M1141,2)="15"),'152-CT'!$J$8=TH!F1141),"x","")</f>
        <v/>
      </c>
      <c r="Y1141" s="39" t="str">
        <f>IF(AND(OR(LEFT(TH!L1141,2)="15",LEFT(TH!M1141,2)="15"),TK!$E$7=TH!F1141),"x","")</f>
        <v/>
      </c>
      <c r="Z1141" s="39" t="str">
        <f>IF(AND(B1141&lt;=NKC!$N$8,B1141&gt;=NKC!$M$8),"x","")</f>
        <v/>
      </c>
      <c r="AA1141" s="894"/>
    </row>
    <row r="1142" spans="1:27" ht="15.75" customHeight="1">
      <c r="A1142" s="199" t="str">
        <f>IF(B1142&lt;&gt;"",IF(AND(B1142&gt;=_TM1,B1142&lt;=_TM2,OR(TH!L1142="1111",TH!M1142="1111")),TH!D1142,""),"")</f>
        <v/>
      </c>
      <c r="B1142" s="36" t="str">
        <f t="shared" si="43"/>
        <v/>
      </c>
      <c r="C1142" s="37"/>
      <c r="D1142" s="37"/>
      <c r="E1142" s="37"/>
      <c r="F1142" s="191"/>
      <c r="G1142" s="40"/>
      <c r="H1142" s="7"/>
      <c r="I1142" s="253"/>
      <c r="J1142" s="253"/>
      <c r="K1142" s="606"/>
      <c r="L1142" s="39"/>
      <c r="M1142" s="39"/>
      <c r="N1142" s="39" t="str">
        <f>IF(AND('331-CT'!$E$7=TH!H1142,OR(L1142="331",M1142="331")),"331",IF(AND(OR(L1142="131",M1142="131"),H1142='131-CT'!$E$7),"131",""))</f>
        <v/>
      </c>
      <c r="O1142" s="39" t="str">
        <f>IF(AND($B1142&gt;='111'!$N$11,$B1142&lt;='111'!$O$11,OR($L1142=$O$7,$M1142=$O$7)),"x","")</f>
        <v/>
      </c>
      <c r="P1142" s="39" t="str">
        <f>IF(AND($L1142=$O$7,$B1142&lt;'111'!$N$11),"x","")</f>
        <v/>
      </c>
      <c r="Q1142" s="39" t="str">
        <f>IF(AND($M1142=$O$7,$B1142&lt;'111'!$N$11),"x","")</f>
        <v/>
      </c>
      <c r="R1142" s="39" t="str">
        <f>IF(ISERROR(FIND('112'!$M$9,G1142,1)),"",IF((AND(FIND('112'!$M$9,G1142,1)&gt;=1,$B1142&gt;='112'!$N$8,$B1142&lt;='112'!$O$8,OR($L1142='112'!$I$6,$M1142='112'!$I$6))),"x",""))</f>
        <v/>
      </c>
      <c r="S1142" s="39" t="str">
        <f>IF(ISERROR(FIND('112'!$M$9,G1142,1)),"",IF((AND(LEFT(G1142,2)=LEFT('112'!$M$9,2),B1142&lt;'112'!$N$8,$L1142='112'!$I$6)),"x",""))</f>
        <v/>
      </c>
      <c r="T1142" s="39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39" t="str">
        <f>IF(OR(TH!L1142=TH!$V$7,M1142=TH!$V$7),"x","")</f>
        <v/>
      </c>
      <c r="W1142" s="39" t="str">
        <f>IF(AND(B1142&gt;='IN-NX'!$P$3,B1142&lt;='IN-NX'!$Q$3,'IN-NX'!$D$7=D1142,OR(LEFT(L1142,2)="15",AND(LEFT(M1142,2)&lt;&gt;"15",LEFT(M1142,2)&lt;&gt;"33"))),"x","")</f>
        <v/>
      </c>
      <c r="X1142" s="39" t="str">
        <f>IF(AND(OR(LEFT(TH!L1142,2)="15",LEFT(TH!M1142,2)="15"),'152-CT'!$J$8=TH!F1142),"x","")</f>
        <v/>
      </c>
      <c r="Y1142" s="39" t="str">
        <f>IF(AND(OR(LEFT(TH!L1142,2)="15",LEFT(TH!M1142,2)="15"),TK!$E$7=TH!F1142),"x","")</f>
        <v/>
      </c>
      <c r="Z1142" s="39" t="str">
        <f>IF(AND(B1142&lt;=NKC!$N$8,B1142&gt;=NKC!$M$8),"x","")</f>
        <v/>
      </c>
      <c r="AA1142" s="894"/>
    </row>
    <row r="1143" spans="1:27" ht="15.75" customHeight="1">
      <c r="A1143" s="199" t="str">
        <f>IF(B1143&lt;&gt;"",IF(AND(B1143&gt;=_TM1,B1143&lt;=_TM2,OR(TH!L1143="1111",TH!M1143="1111")),TH!D1143,""),"")</f>
        <v/>
      </c>
      <c r="B1143" s="36" t="str">
        <f t="shared" si="43"/>
        <v/>
      </c>
      <c r="C1143" s="37"/>
      <c r="D1143" s="37"/>
      <c r="E1143" s="37"/>
      <c r="F1143" s="188"/>
      <c r="G1143" s="40"/>
      <c r="H1143" s="7"/>
      <c r="I1143" s="253"/>
      <c r="J1143" s="253"/>
      <c r="K1143" s="606"/>
      <c r="L1143" s="39"/>
      <c r="M1143" s="39"/>
      <c r="N1143" s="39" t="str">
        <f>IF(AND('331-CT'!$E$7=TH!H1143,OR(L1143="331",M1143="331")),"331",IF(AND(OR(L1143="131",M1143="131"),H1143='131-CT'!$E$7),"131",""))</f>
        <v/>
      </c>
      <c r="O1143" s="39" t="str">
        <f>IF(AND($B1143&gt;='111'!$N$11,$B1143&lt;='111'!$O$11,OR($L1143=$O$7,$M1143=$O$7)),"x","")</f>
        <v/>
      </c>
      <c r="P1143" s="39" t="str">
        <f>IF(AND($L1143=$O$7,$B1143&lt;'111'!$N$11),"x","")</f>
        <v/>
      </c>
      <c r="Q1143" s="39" t="str">
        <f>IF(AND($M1143=$O$7,$B1143&lt;'111'!$N$11),"x","")</f>
        <v/>
      </c>
      <c r="R1143" s="39" t="str">
        <f>IF(ISERROR(FIND('112'!$M$9,G1143,1)),"",IF((AND(FIND('112'!$M$9,G1143,1)&gt;=1,$B1143&gt;='112'!$N$8,$B1143&lt;='112'!$O$8,OR($L1143='112'!$I$6,$M1143='112'!$I$6))),"x",""))</f>
        <v/>
      </c>
      <c r="S1143" s="39" t="str">
        <f>IF(ISERROR(FIND('112'!$M$9,G1143,1)),"",IF((AND(LEFT(G1143,2)=LEFT('112'!$M$9,2),B1143&lt;'112'!$N$8,$L1143='112'!$I$6)),"x",""))</f>
        <v/>
      </c>
      <c r="T1143" s="39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39" t="str">
        <f>IF(OR(TH!L1143=TH!$V$7,M1143=TH!$V$7),"x","")</f>
        <v/>
      </c>
      <c r="W1143" s="39" t="str">
        <f>IF(AND(B1143&gt;='IN-NX'!$P$3,B1143&lt;='IN-NX'!$Q$3,'IN-NX'!$D$7=D1143,OR(LEFT(L1143,2)="15",AND(LEFT(M1143,2)&lt;&gt;"15",LEFT(M1143,2)&lt;&gt;"33"))),"x","")</f>
        <v/>
      </c>
      <c r="X1143" s="39" t="str">
        <f>IF(AND(OR(LEFT(TH!L1143,2)="15",LEFT(TH!M1143,2)="15"),'152-CT'!$J$8=TH!F1143),"x","")</f>
        <v/>
      </c>
      <c r="Y1143" s="39" t="str">
        <f>IF(AND(OR(LEFT(TH!L1143,2)="15",LEFT(TH!M1143,2)="15"),TK!$E$7=TH!F1143),"x","")</f>
        <v/>
      </c>
      <c r="Z1143" s="39" t="str">
        <f>IF(AND(B1143&lt;=NKC!$N$8,B1143&gt;=NKC!$M$8),"x","")</f>
        <v/>
      </c>
      <c r="AA1143" s="894"/>
    </row>
    <row r="1144" spans="1:27" ht="15.75" customHeight="1">
      <c r="A1144" s="199" t="str">
        <f>IF(B1144&lt;&gt;"",IF(AND(B1144&gt;=_TM1,B1144&lt;=_TM2,OR(TH!L1144="1111",TH!M1144="1111")),TH!D1144,""),"")</f>
        <v/>
      </c>
      <c r="B1144" s="36" t="str">
        <f t="shared" si="43"/>
        <v/>
      </c>
      <c r="C1144" s="37"/>
      <c r="D1144" s="37"/>
      <c r="E1144" s="37"/>
      <c r="F1144" s="40"/>
      <c r="G1144" s="40"/>
      <c r="H1144" s="7"/>
      <c r="I1144" s="253"/>
      <c r="J1144" s="253"/>
      <c r="K1144" s="606"/>
      <c r="L1144" s="39"/>
      <c r="M1144" s="39"/>
      <c r="N1144" s="39" t="str">
        <f>IF(AND('331-CT'!$E$7=TH!H1144,OR(L1144="331",M1144="331")),"331",IF(AND(OR(L1144="131",M1144="131"),H1144='131-CT'!$E$7),"131",""))</f>
        <v/>
      </c>
      <c r="O1144" s="39" t="str">
        <f>IF(AND($B1144&gt;='111'!$N$11,$B1144&lt;='111'!$O$11,OR($L1144=$O$7,$M1144=$O$7)),"x","")</f>
        <v/>
      </c>
      <c r="P1144" s="39" t="str">
        <f>IF(AND($L1144=$O$7,$B1144&lt;'111'!$N$11),"x","")</f>
        <v/>
      </c>
      <c r="Q1144" s="39" t="str">
        <f>IF(AND($M1144=$O$7,$B1144&lt;'111'!$N$11),"x","")</f>
        <v/>
      </c>
      <c r="R1144" s="39" t="str">
        <f>IF(ISERROR(FIND('112'!$M$9,G1144,1)),"",IF((AND(FIND('112'!$M$9,G1144,1)&gt;=1,$B1144&gt;='112'!$N$8,$B1144&lt;='112'!$O$8,OR($L1144='112'!$I$6,$M1144='112'!$I$6))),"x",""))</f>
        <v/>
      </c>
      <c r="S1144" s="39" t="str">
        <f>IF(ISERROR(FIND('112'!$M$9,G1144,1)),"",IF((AND(LEFT(G1144,2)=LEFT('112'!$M$9,2),B1144&lt;'112'!$N$8,$L1144='112'!$I$6)),"x",""))</f>
        <v/>
      </c>
      <c r="T1144" s="39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39" t="str">
        <f>IF(OR(TH!L1144=TH!$V$7,M1144=TH!$V$7),"x","")</f>
        <v/>
      </c>
      <c r="W1144" s="39" t="str">
        <f>IF(AND(B1144&gt;='IN-NX'!$P$3,B1144&lt;='IN-NX'!$Q$3,'IN-NX'!$D$7=D1144,OR(LEFT(L1144,2)="15",AND(LEFT(M1144,2)&lt;&gt;"15",LEFT(M1144,2)&lt;&gt;"33"))),"x","")</f>
        <v/>
      </c>
      <c r="X1144" s="39" t="str">
        <f>IF(AND(OR(LEFT(TH!L1144,2)="15",LEFT(TH!M1144,2)="15"),'152-CT'!$J$8=TH!F1144),"x","")</f>
        <v/>
      </c>
      <c r="Y1144" s="39" t="str">
        <f>IF(AND(OR(LEFT(TH!L1144,2)="15",LEFT(TH!M1144,2)="15"),TK!$E$7=TH!F1144),"x","")</f>
        <v/>
      </c>
      <c r="Z1144" s="39" t="str">
        <f>IF(AND(B1144&lt;=NKC!$N$8,B1144&gt;=NKC!$M$8),"x","")</f>
        <v/>
      </c>
      <c r="AA1144" s="894"/>
    </row>
    <row r="1145" spans="1:27" ht="15.75" customHeight="1">
      <c r="A1145" s="199" t="str">
        <f>IF(B1145&lt;&gt;"",IF(AND(B1145&gt;=_TM1,B1145&lt;=_TM2,OR(TH!L1145="1111",TH!M1145="1111")),TH!D1145,""),"")</f>
        <v/>
      </c>
      <c r="B1145" s="36" t="str">
        <f t="shared" si="43"/>
        <v/>
      </c>
      <c r="C1145" s="37"/>
      <c r="D1145" s="37"/>
      <c r="E1145" s="37"/>
      <c r="F1145" s="40"/>
      <c r="G1145" s="40"/>
      <c r="H1145" s="7"/>
      <c r="I1145" s="253"/>
      <c r="J1145" s="253"/>
      <c r="K1145" s="606"/>
      <c r="L1145" s="39"/>
      <c r="M1145" s="39"/>
      <c r="N1145" s="39" t="str">
        <f>IF(AND('331-CT'!$E$7=TH!H1145,OR(L1145="331",M1145="331")),"331",IF(AND(OR(L1145="131",M1145="131"),H1145='131-CT'!$E$7),"131",""))</f>
        <v/>
      </c>
      <c r="O1145" s="39" t="str">
        <f>IF(AND($B1145&gt;='111'!$N$11,$B1145&lt;='111'!$O$11,OR($L1145=$O$7,$M1145=$O$7)),"x","")</f>
        <v/>
      </c>
      <c r="P1145" s="39" t="str">
        <f>IF(AND($L1145=$O$7,$B1145&lt;'111'!$N$11),"x","")</f>
        <v/>
      </c>
      <c r="Q1145" s="39" t="str">
        <f>IF(AND($M1145=$O$7,$B1145&lt;'111'!$N$11),"x","")</f>
        <v/>
      </c>
      <c r="R1145" s="39" t="str">
        <f>IF(ISERROR(FIND('112'!$M$9,G1145,1)),"",IF((AND(FIND('112'!$M$9,G1145,1)&gt;=1,$B1145&gt;='112'!$N$8,$B1145&lt;='112'!$O$8,OR($L1145='112'!$I$6,$M1145='112'!$I$6))),"x",""))</f>
        <v/>
      </c>
      <c r="S1145" s="39" t="str">
        <f>IF(ISERROR(FIND('112'!$M$9,G1145,1)),"",IF((AND(LEFT(G1145,2)=LEFT('112'!$M$9,2),B1145&lt;'112'!$N$8,$L1145='112'!$I$6)),"x",""))</f>
        <v/>
      </c>
      <c r="T1145" s="39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39" t="str">
        <f>IF(OR(TH!L1145=TH!$V$7,M1145=TH!$V$7),"x","")</f>
        <v/>
      </c>
      <c r="W1145" s="39" t="str">
        <f>IF(AND(B1145&gt;='IN-NX'!$P$3,B1145&lt;='IN-NX'!$Q$3,'IN-NX'!$D$7=D1145,OR(LEFT(L1145,2)="15",AND(LEFT(M1145,2)&lt;&gt;"15",LEFT(M1145,2)&lt;&gt;"33"))),"x","")</f>
        <v/>
      </c>
      <c r="X1145" s="39" t="str">
        <f>IF(AND(OR(LEFT(TH!L1145,2)="15",LEFT(TH!M1145,2)="15"),'152-CT'!$J$8=TH!F1145),"x","")</f>
        <v/>
      </c>
      <c r="Y1145" s="39" t="str">
        <f>IF(AND(OR(LEFT(TH!L1145,2)="15",LEFT(TH!M1145,2)="15"),TK!$E$7=TH!F1145),"x","")</f>
        <v/>
      </c>
      <c r="Z1145" s="39" t="str">
        <f>IF(AND(B1145&lt;=NKC!$N$8,B1145&gt;=NKC!$M$8),"x","")</f>
        <v/>
      </c>
      <c r="AA1145" s="894"/>
    </row>
    <row r="1146" spans="1:27" ht="15.75" customHeight="1">
      <c r="A1146" s="199" t="str">
        <f>IF(B1146&lt;&gt;"",IF(AND(B1146&gt;=_TM1,B1146&lt;=_TM2,OR(TH!L1146="1111",TH!M1146="1111")),TH!D1146,""),"")</f>
        <v/>
      </c>
      <c r="B1146" s="36" t="str">
        <f t="shared" si="43"/>
        <v/>
      </c>
      <c r="C1146" s="37"/>
      <c r="D1146" s="37"/>
      <c r="E1146" s="37"/>
      <c r="F1146" s="40"/>
      <c r="G1146" s="40"/>
      <c r="H1146" s="7"/>
      <c r="I1146" s="253"/>
      <c r="J1146" s="253"/>
      <c r="K1146" s="606"/>
      <c r="L1146" s="39"/>
      <c r="M1146" s="39"/>
      <c r="N1146" s="39" t="str">
        <f>IF(AND('331-CT'!$E$7=TH!H1146,OR(L1146="331",M1146="331")),"331",IF(AND(OR(L1146="131",M1146="131"),H1146='131-CT'!$E$7),"131",""))</f>
        <v/>
      </c>
      <c r="O1146" s="39" t="str">
        <f>IF(AND($B1146&gt;='111'!$N$11,$B1146&lt;='111'!$O$11,OR($L1146=$O$7,$M1146=$O$7)),"x","")</f>
        <v/>
      </c>
      <c r="P1146" s="39" t="str">
        <f>IF(AND($L1146=$O$7,$B1146&lt;'111'!$N$11),"x","")</f>
        <v/>
      </c>
      <c r="Q1146" s="39" t="str">
        <f>IF(AND($M1146=$O$7,$B1146&lt;'111'!$N$11),"x","")</f>
        <v/>
      </c>
      <c r="R1146" s="39" t="str">
        <f>IF(ISERROR(FIND('112'!$M$9,G1146,1)),"",IF((AND(FIND('112'!$M$9,G1146,1)&gt;=1,$B1146&gt;='112'!$N$8,$B1146&lt;='112'!$O$8,OR($L1146='112'!$I$6,$M1146='112'!$I$6))),"x",""))</f>
        <v/>
      </c>
      <c r="S1146" s="39" t="str">
        <f>IF(ISERROR(FIND('112'!$M$9,G1146,1)),"",IF((AND(LEFT(G1146,2)=LEFT('112'!$M$9,2),B1146&lt;'112'!$N$8,$L1146='112'!$I$6)),"x",""))</f>
        <v/>
      </c>
      <c r="T1146" s="39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39" t="str">
        <f>IF(OR(TH!L1146=TH!$V$7,M1146=TH!$V$7),"x","")</f>
        <v/>
      </c>
      <c r="W1146" s="39" t="str">
        <f>IF(AND(B1146&gt;='IN-NX'!$P$3,B1146&lt;='IN-NX'!$Q$3,'IN-NX'!$D$7=D1146,OR(LEFT(L1146,2)="15",AND(LEFT(M1146,2)&lt;&gt;"15",LEFT(M1146,2)&lt;&gt;"33"))),"x","")</f>
        <v/>
      </c>
      <c r="X1146" s="39" t="str">
        <f>IF(AND(OR(LEFT(TH!L1146,2)="15",LEFT(TH!M1146,2)="15"),'152-CT'!$J$8=TH!F1146),"x","")</f>
        <v/>
      </c>
      <c r="Y1146" s="39" t="str">
        <f>IF(AND(OR(LEFT(TH!L1146,2)="15",LEFT(TH!M1146,2)="15"),TK!$E$7=TH!F1146),"x","")</f>
        <v/>
      </c>
      <c r="Z1146" s="39" t="str">
        <f>IF(AND(B1146&lt;=NKC!$N$8,B1146&gt;=NKC!$M$8),"x","")</f>
        <v/>
      </c>
      <c r="AA1146" s="894"/>
    </row>
    <row r="1147" spans="1:27" ht="15.75" customHeight="1">
      <c r="A1147" s="199" t="str">
        <f>IF(B1147&lt;&gt;"",IF(AND(B1147&gt;=_TM1,B1147&lt;=_TM2,OR(TH!L1147="1111",TH!M1147="1111")),TH!D1147,""),"")</f>
        <v/>
      </c>
      <c r="B1147" s="36" t="str">
        <f t="shared" si="43"/>
        <v/>
      </c>
      <c r="C1147" s="37"/>
      <c r="D1147" s="37"/>
      <c r="E1147" s="37"/>
      <c r="F1147" s="191"/>
      <c r="G1147" s="40"/>
      <c r="H1147" s="7"/>
      <c r="I1147" s="253"/>
      <c r="J1147" s="253"/>
      <c r="K1147" s="606"/>
      <c r="L1147" s="39"/>
      <c r="M1147" s="39"/>
      <c r="N1147" s="39" t="str">
        <f>IF(AND('331-CT'!$E$7=TH!H1147,OR(L1147="331",M1147="331")),"331",IF(AND(OR(L1147="131",M1147="131"),H1147='131-CT'!$E$7),"131",""))</f>
        <v/>
      </c>
      <c r="O1147" s="39" t="str">
        <f>IF(AND($B1147&gt;='111'!$N$11,$B1147&lt;='111'!$O$11,OR($L1147=$O$7,$M1147=$O$7)),"x","")</f>
        <v/>
      </c>
      <c r="P1147" s="39" t="str">
        <f>IF(AND($L1147=$O$7,$B1147&lt;'111'!$N$11),"x","")</f>
        <v/>
      </c>
      <c r="Q1147" s="39" t="str">
        <f>IF(AND($M1147=$O$7,$B1147&lt;'111'!$N$11),"x","")</f>
        <v/>
      </c>
      <c r="R1147" s="39" t="str">
        <f>IF(ISERROR(FIND('112'!$M$9,G1147,1)),"",IF((AND(FIND('112'!$M$9,G1147,1)&gt;=1,$B1147&gt;='112'!$N$8,$B1147&lt;='112'!$O$8,OR($L1147='112'!$I$6,$M1147='112'!$I$6))),"x",""))</f>
        <v/>
      </c>
      <c r="S1147" s="39" t="str">
        <f>IF(ISERROR(FIND('112'!$M$9,G1147,1)),"",IF((AND(LEFT(G1147,2)=LEFT('112'!$M$9,2),B1147&lt;'112'!$N$8,$L1147='112'!$I$6)),"x",""))</f>
        <v/>
      </c>
      <c r="T1147" s="39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39" t="str">
        <f>IF(OR(TH!L1147=TH!$V$7,M1147=TH!$V$7),"x","")</f>
        <v/>
      </c>
      <c r="W1147" s="39" t="str">
        <f>IF(AND(B1147&gt;='IN-NX'!$P$3,B1147&lt;='IN-NX'!$Q$3,'IN-NX'!$D$7=D1147,OR(LEFT(L1147,2)="15",AND(LEFT(M1147,2)&lt;&gt;"15",LEFT(M1147,2)&lt;&gt;"33"))),"x","")</f>
        <v/>
      </c>
      <c r="X1147" s="39" t="str">
        <f>IF(AND(OR(LEFT(TH!L1147,2)="15",LEFT(TH!M1147,2)="15"),'152-CT'!$J$8=TH!F1147),"x","")</f>
        <v/>
      </c>
      <c r="Y1147" s="39" t="str">
        <f>IF(AND(OR(LEFT(TH!L1147,2)="15",LEFT(TH!M1147,2)="15"),TK!$E$7=TH!F1147),"x","")</f>
        <v/>
      </c>
      <c r="Z1147" s="39" t="str">
        <f>IF(AND(B1147&lt;=NKC!$N$8,B1147&gt;=NKC!$M$8),"x","")</f>
        <v/>
      </c>
      <c r="AA1147" s="894"/>
    </row>
    <row r="1148" spans="1:27" ht="15.75" customHeight="1">
      <c r="A1148" s="199" t="str">
        <f>IF(B1148&lt;&gt;"",IF(AND(B1148&gt;=_TM1,B1148&lt;=_TM2,OR(TH!L1148="1111",TH!M1148="1111")),TH!D1148,""),"")</f>
        <v/>
      </c>
      <c r="B1148" s="36" t="str">
        <f t="shared" si="43"/>
        <v/>
      </c>
      <c r="C1148" s="37"/>
      <c r="D1148" s="37"/>
      <c r="E1148" s="37"/>
      <c r="F1148" s="40"/>
      <c r="G1148" s="40"/>
      <c r="H1148" s="7"/>
      <c r="I1148" s="253"/>
      <c r="J1148" s="253"/>
      <c r="K1148" s="606"/>
      <c r="L1148" s="39"/>
      <c r="M1148" s="39"/>
      <c r="N1148" s="39" t="str">
        <f>IF(AND('331-CT'!$E$7=TH!H1148,OR(L1148="331",M1148="331")),"331",IF(AND(OR(L1148="131",M1148="131"),H1148='131-CT'!$E$7),"131",""))</f>
        <v/>
      </c>
      <c r="O1148" s="39" t="str">
        <f>IF(AND($B1148&gt;='111'!$N$11,$B1148&lt;='111'!$O$11,OR($L1148=$O$7,$M1148=$O$7)),"x","")</f>
        <v/>
      </c>
      <c r="P1148" s="39" t="str">
        <f>IF(AND($L1148=$O$7,$B1148&lt;'111'!$N$11),"x","")</f>
        <v/>
      </c>
      <c r="Q1148" s="39" t="str">
        <f>IF(AND($M1148=$O$7,$B1148&lt;'111'!$N$11),"x","")</f>
        <v/>
      </c>
      <c r="R1148" s="39" t="str">
        <f>IF(ISERROR(FIND('112'!$M$9,G1148,1)),"",IF((AND(FIND('112'!$M$9,G1148,1)&gt;=1,$B1148&gt;='112'!$N$8,$B1148&lt;='112'!$O$8,OR($L1148='112'!$I$6,$M1148='112'!$I$6))),"x",""))</f>
        <v/>
      </c>
      <c r="S1148" s="39" t="str">
        <f>IF(ISERROR(FIND('112'!$M$9,G1148,1)),"",IF((AND(LEFT(G1148,2)=LEFT('112'!$M$9,2),B1148&lt;'112'!$N$8,$L1148='112'!$I$6)),"x",""))</f>
        <v/>
      </c>
      <c r="T1148" s="39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39" t="str">
        <f>IF(OR(TH!L1148=TH!$V$7,M1148=TH!$V$7),"x","")</f>
        <v/>
      </c>
      <c r="W1148" s="39" t="str">
        <f>IF(AND(B1148&gt;='IN-NX'!$P$3,B1148&lt;='IN-NX'!$Q$3,'IN-NX'!$D$7=D1148,OR(LEFT(L1148,2)="15",AND(LEFT(M1148,2)&lt;&gt;"15",LEFT(M1148,2)&lt;&gt;"33"))),"x","")</f>
        <v/>
      </c>
      <c r="X1148" s="39" t="str">
        <f>IF(AND(OR(LEFT(TH!L1148,2)="15",LEFT(TH!M1148,2)="15"),'152-CT'!$J$8=TH!F1148),"x","")</f>
        <v/>
      </c>
      <c r="Y1148" s="39" t="str">
        <f>IF(AND(OR(LEFT(TH!L1148,2)="15",LEFT(TH!M1148,2)="15"),TK!$E$7=TH!F1148),"x","")</f>
        <v/>
      </c>
      <c r="Z1148" s="39" t="str">
        <f>IF(AND(B1148&lt;=NKC!$N$8,B1148&gt;=NKC!$M$8),"x","")</f>
        <v/>
      </c>
      <c r="AA1148" s="894"/>
    </row>
    <row r="1149" spans="1:27" ht="15.75" customHeight="1">
      <c r="A1149" s="199" t="str">
        <f>IF(B1149&lt;&gt;"",IF(AND(B1149&gt;=_TM1,B1149&lt;=_TM2,OR(TH!L1149="1111",TH!M1149="1111")),TH!D1149,""),"")</f>
        <v/>
      </c>
      <c r="B1149" s="36" t="str">
        <f t="shared" si="43"/>
        <v/>
      </c>
      <c r="C1149" s="37"/>
      <c r="D1149" s="37"/>
      <c r="E1149" s="37"/>
      <c r="F1149" s="40"/>
      <c r="G1149" s="40"/>
      <c r="H1149" s="7"/>
      <c r="I1149" s="253"/>
      <c r="J1149" s="253"/>
      <c r="K1149" s="606"/>
      <c r="L1149" s="39"/>
      <c r="M1149" s="39"/>
      <c r="N1149" s="39" t="str">
        <f>IF(AND('331-CT'!$E$7=TH!H1149,OR(L1149="331",M1149="331")),"331",IF(AND(OR(L1149="131",M1149="131"),H1149='131-CT'!$E$7),"131",""))</f>
        <v/>
      </c>
      <c r="O1149" s="39" t="str">
        <f>IF(AND($B1149&gt;='111'!$N$11,$B1149&lt;='111'!$O$11,OR($L1149=$O$7,$M1149=$O$7)),"x","")</f>
        <v/>
      </c>
      <c r="P1149" s="39" t="str">
        <f>IF(AND($L1149=$O$7,$B1149&lt;'111'!$N$11),"x","")</f>
        <v/>
      </c>
      <c r="Q1149" s="39" t="str">
        <f>IF(AND($M1149=$O$7,$B1149&lt;'111'!$N$11),"x","")</f>
        <v/>
      </c>
      <c r="R1149" s="39" t="str">
        <f>IF(ISERROR(FIND('112'!$M$9,G1149,1)),"",IF((AND(FIND('112'!$M$9,G1149,1)&gt;=1,$B1149&gt;='112'!$N$8,$B1149&lt;='112'!$O$8,OR($L1149='112'!$I$6,$M1149='112'!$I$6))),"x",""))</f>
        <v/>
      </c>
      <c r="S1149" s="39" t="str">
        <f>IF(ISERROR(FIND('112'!$M$9,G1149,1)),"",IF((AND(LEFT(G1149,2)=LEFT('112'!$M$9,2),B1149&lt;'112'!$N$8,$L1149='112'!$I$6)),"x",""))</f>
        <v/>
      </c>
      <c r="T1149" s="39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39" t="str">
        <f>IF(OR(TH!L1149=TH!$V$7,M1149=TH!$V$7),"x","")</f>
        <v/>
      </c>
      <c r="W1149" s="39" t="str">
        <f>IF(AND(B1149&gt;='IN-NX'!$P$3,B1149&lt;='IN-NX'!$Q$3,'IN-NX'!$D$7=D1149,OR(LEFT(L1149,2)="15",AND(LEFT(M1149,2)&lt;&gt;"15",LEFT(M1149,2)&lt;&gt;"33"))),"x","")</f>
        <v/>
      </c>
      <c r="X1149" s="39" t="str">
        <f>IF(AND(OR(LEFT(TH!L1149,2)="15",LEFT(TH!M1149,2)="15"),'152-CT'!$J$8=TH!F1149),"x","")</f>
        <v/>
      </c>
      <c r="Y1149" s="39" t="str">
        <f>IF(AND(OR(LEFT(TH!L1149,2)="15",LEFT(TH!M1149,2)="15"),TK!$E$7=TH!F1149),"x","")</f>
        <v/>
      </c>
      <c r="Z1149" s="39" t="str">
        <f>IF(AND(B1149&lt;=NKC!$N$8,B1149&gt;=NKC!$M$8),"x","")</f>
        <v/>
      </c>
      <c r="AA1149" s="894"/>
    </row>
    <row r="1150" spans="1:27" ht="15.75" customHeight="1">
      <c r="A1150" s="199" t="str">
        <f>IF(B1150&lt;&gt;"",IF(AND(B1150&gt;=_TM1,B1150&lt;=_TM2,OR(TH!L1150="1111",TH!M1150="1111")),TH!D1150,""),"")</f>
        <v/>
      </c>
      <c r="B1150" s="36" t="str">
        <f t="shared" si="43"/>
        <v/>
      </c>
      <c r="C1150" s="37"/>
      <c r="D1150" s="37"/>
      <c r="E1150" s="37"/>
      <c r="F1150" s="191"/>
      <c r="G1150" s="40"/>
      <c r="H1150" s="7"/>
      <c r="I1150" s="253"/>
      <c r="J1150" s="253"/>
      <c r="K1150" s="606"/>
      <c r="L1150" s="39"/>
      <c r="M1150" s="39"/>
      <c r="N1150" s="39" t="str">
        <f>IF(AND('331-CT'!$E$7=TH!H1150,OR(L1150="331",M1150="331")),"331",IF(AND(OR(L1150="131",M1150="131"),H1150='131-CT'!$E$7),"131",""))</f>
        <v/>
      </c>
      <c r="O1150" s="39" t="str">
        <f>IF(AND($B1150&gt;='111'!$N$11,$B1150&lt;='111'!$O$11,OR($L1150=$O$7,$M1150=$O$7)),"x","")</f>
        <v/>
      </c>
      <c r="P1150" s="39" t="str">
        <f>IF(AND($L1150=$O$7,$B1150&lt;'111'!$N$11),"x","")</f>
        <v/>
      </c>
      <c r="Q1150" s="39" t="str">
        <f>IF(AND($M1150=$O$7,$B1150&lt;'111'!$N$11),"x","")</f>
        <v/>
      </c>
      <c r="R1150" s="39" t="str">
        <f>IF(ISERROR(FIND('112'!$M$9,G1150,1)),"",IF((AND(FIND('112'!$M$9,G1150,1)&gt;=1,$B1150&gt;='112'!$N$8,$B1150&lt;='112'!$O$8,OR($L1150='112'!$I$6,$M1150='112'!$I$6))),"x",""))</f>
        <v/>
      </c>
      <c r="S1150" s="39" t="str">
        <f>IF(ISERROR(FIND('112'!$M$9,G1150,1)),"",IF((AND(LEFT(G1150,2)=LEFT('112'!$M$9,2),B1150&lt;'112'!$N$8,$L1150='112'!$I$6)),"x",""))</f>
        <v/>
      </c>
      <c r="T1150" s="39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39" t="str">
        <f>IF(OR(TH!L1150=TH!$V$7,M1150=TH!$V$7),"x","")</f>
        <v/>
      </c>
      <c r="W1150" s="39" t="str">
        <f>IF(AND(B1150&gt;='IN-NX'!$P$3,B1150&lt;='IN-NX'!$Q$3,'IN-NX'!$D$7=D1150,OR(LEFT(L1150,2)="15",AND(LEFT(M1150,2)&lt;&gt;"15",LEFT(M1150,2)&lt;&gt;"33"))),"x","")</f>
        <v/>
      </c>
      <c r="X1150" s="39" t="str">
        <f>IF(AND(OR(LEFT(TH!L1150,2)="15",LEFT(TH!M1150,2)="15"),'152-CT'!$J$8=TH!F1150),"x","")</f>
        <v/>
      </c>
      <c r="Y1150" s="39" t="str">
        <f>IF(AND(OR(LEFT(TH!L1150,2)="15",LEFT(TH!M1150,2)="15"),TK!$E$7=TH!F1150),"x","")</f>
        <v/>
      </c>
      <c r="Z1150" s="39" t="str">
        <f>IF(AND(B1150&lt;=NKC!$N$8,B1150&gt;=NKC!$M$8),"x","")</f>
        <v/>
      </c>
      <c r="AA1150" s="894"/>
    </row>
    <row r="1151" spans="1:27" ht="15.75" customHeight="1">
      <c r="A1151" s="199" t="str">
        <f>IF(B1151&lt;&gt;"",IF(AND(B1151&gt;=_TM1,B1151&lt;=_TM2,OR(TH!L1151="1111",TH!M1151="1111")),TH!D1151,""),"")</f>
        <v/>
      </c>
      <c r="B1151" s="36" t="str">
        <f t="shared" si="43"/>
        <v/>
      </c>
      <c r="C1151" s="37"/>
      <c r="D1151" s="37"/>
      <c r="E1151" s="37"/>
      <c r="F1151" s="188"/>
      <c r="G1151" s="40"/>
      <c r="H1151" s="7"/>
      <c r="I1151" s="253"/>
      <c r="J1151" s="253"/>
      <c r="K1151" s="606"/>
      <c r="L1151" s="39"/>
      <c r="M1151" s="39"/>
      <c r="N1151" s="39" t="str">
        <f>IF(AND('331-CT'!$E$7=TH!H1151,OR(L1151="331",M1151="331")),"331",IF(AND(OR(L1151="131",M1151="131"),H1151='131-CT'!$E$7),"131",""))</f>
        <v/>
      </c>
      <c r="O1151" s="39" t="str">
        <f>IF(AND($B1151&gt;='111'!$N$11,$B1151&lt;='111'!$O$11,OR($L1151=$O$7,$M1151=$O$7)),"x","")</f>
        <v/>
      </c>
      <c r="P1151" s="39" t="str">
        <f>IF(AND($L1151=$O$7,$B1151&lt;'111'!$N$11),"x","")</f>
        <v/>
      </c>
      <c r="Q1151" s="39" t="str">
        <f>IF(AND($M1151=$O$7,$B1151&lt;'111'!$N$11),"x","")</f>
        <v/>
      </c>
      <c r="R1151" s="39" t="str">
        <f>IF(ISERROR(FIND('112'!$M$9,G1151,1)),"",IF((AND(FIND('112'!$M$9,G1151,1)&gt;=1,$B1151&gt;='112'!$N$8,$B1151&lt;='112'!$O$8,OR($L1151='112'!$I$6,$M1151='112'!$I$6))),"x",""))</f>
        <v/>
      </c>
      <c r="S1151" s="39" t="str">
        <f>IF(ISERROR(FIND('112'!$M$9,G1151,1)),"",IF((AND(LEFT(G1151,2)=LEFT('112'!$M$9,2),B1151&lt;'112'!$N$8,$L1151='112'!$I$6)),"x",""))</f>
        <v/>
      </c>
      <c r="T1151" s="39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39" t="str">
        <f>IF(OR(TH!L1151=TH!$V$7,M1151=TH!$V$7),"x","")</f>
        <v/>
      </c>
      <c r="W1151" s="39" t="str">
        <f>IF(AND(B1151&gt;='IN-NX'!$P$3,B1151&lt;='IN-NX'!$Q$3,'IN-NX'!$D$7=D1151,OR(LEFT(L1151,2)="15",AND(LEFT(M1151,2)&lt;&gt;"15",LEFT(M1151,2)&lt;&gt;"33"))),"x","")</f>
        <v/>
      </c>
      <c r="X1151" s="39" t="str">
        <f>IF(AND(OR(LEFT(TH!L1151,2)="15",LEFT(TH!M1151,2)="15"),'152-CT'!$J$8=TH!F1151),"x","")</f>
        <v/>
      </c>
      <c r="Y1151" s="39" t="str">
        <f>IF(AND(OR(LEFT(TH!L1151,2)="15",LEFT(TH!M1151,2)="15"),TK!$E$7=TH!F1151),"x","")</f>
        <v/>
      </c>
      <c r="Z1151" s="39" t="str">
        <f>IF(AND(B1151&lt;=NKC!$N$8,B1151&gt;=NKC!$M$8),"x","")</f>
        <v/>
      </c>
      <c r="AA1151" s="894"/>
    </row>
    <row r="1152" spans="1:27" ht="15.75" customHeight="1">
      <c r="A1152" s="199" t="str">
        <f>IF(B1152&lt;&gt;"",IF(AND(B1152&gt;=_TM1,B1152&lt;=_TM2,OR(TH!L1152="1111",TH!M1152="1111")),TH!D1152,""),"")</f>
        <v/>
      </c>
      <c r="B1152" s="36" t="str">
        <f t="shared" si="43"/>
        <v/>
      </c>
      <c r="C1152" s="37"/>
      <c r="D1152" s="37"/>
      <c r="E1152" s="37"/>
      <c r="F1152" s="40"/>
      <c r="G1152" s="40"/>
      <c r="H1152" s="7"/>
      <c r="I1152" s="253"/>
      <c r="J1152" s="253"/>
      <c r="K1152" s="606"/>
      <c r="L1152" s="39"/>
      <c r="M1152" s="39"/>
      <c r="N1152" s="39" t="str">
        <f>IF(AND('331-CT'!$E$7=TH!H1152,OR(L1152="331",M1152="331")),"331",IF(AND(OR(L1152="131",M1152="131"),H1152='131-CT'!$E$7),"131",""))</f>
        <v/>
      </c>
      <c r="O1152" s="39" t="str">
        <f>IF(AND($B1152&gt;='111'!$N$11,$B1152&lt;='111'!$O$11,OR($L1152=$O$7,$M1152=$O$7)),"x","")</f>
        <v/>
      </c>
      <c r="P1152" s="39" t="str">
        <f>IF(AND($L1152=$O$7,$B1152&lt;'111'!$N$11),"x","")</f>
        <v/>
      </c>
      <c r="Q1152" s="39" t="str">
        <f>IF(AND($M1152=$O$7,$B1152&lt;'111'!$N$11),"x","")</f>
        <v/>
      </c>
      <c r="R1152" s="39" t="str">
        <f>IF(ISERROR(FIND('112'!$M$9,G1152,1)),"",IF((AND(FIND('112'!$M$9,G1152,1)&gt;=1,$B1152&gt;='112'!$N$8,$B1152&lt;='112'!$O$8,OR($L1152='112'!$I$6,$M1152='112'!$I$6))),"x",""))</f>
        <v/>
      </c>
      <c r="S1152" s="39" t="str">
        <f>IF(ISERROR(FIND('112'!$M$9,G1152,1)),"",IF((AND(LEFT(G1152,2)=LEFT('112'!$M$9,2),B1152&lt;'112'!$N$8,$L1152='112'!$I$6)),"x",""))</f>
        <v/>
      </c>
      <c r="T1152" s="39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39" t="str">
        <f>IF(OR(TH!L1152=TH!$V$7,M1152=TH!$V$7),"x","")</f>
        <v/>
      </c>
      <c r="W1152" s="39" t="str">
        <f>IF(AND(B1152&gt;='IN-NX'!$P$3,B1152&lt;='IN-NX'!$Q$3,'IN-NX'!$D$7=D1152,OR(LEFT(L1152,2)="15",AND(LEFT(M1152,2)&lt;&gt;"15",LEFT(M1152,2)&lt;&gt;"33"))),"x","")</f>
        <v/>
      </c>
      <c r="X1152" s="39" t="str">
        <f>IF(AND(OR(LEFT(TH!L1152,2)="15",LEFT(TH!M1152,2)="15"),'152-CT'!$J$8=TH!F1152),"x","")</f>
        <v/>
      </c>
      <c r="Y1152" s="39" t="str">
        <f>IF(AND(OR(LEFT(TH!L1152,2)="15",LEFT(TH!M1152,2)="15"),TK!$E$7=TH!F1152),"x","")</f>
        <v/>
      </c>
      <c r="Z1152" s="39" t="str">
        <f>IF(AND(B1152&lt;=NKC!$N$8,B1152&gt;=NKC!$M$8),"x","")</f>
        <v/>
      </c>
      <c r="AA1152" s="894"/>
    </row>
    <row r="1153" spans="1:27" ht="15.75" customHeight="1">
      <c r="A1153" s="199" t="str">
        <f>IF(B1153&lt;&gt;"",IF(AND(B1153&gt;=_TM1,B1153&lt;=_TM2,OR(TH!L1153="1111",TH!M1153="1111")),TH!D1153,""),"")</f>
        <v/>
      </c>
      <c r="B1153" s="36" t="str">
        <f t="shared" si="43"/>
        <v/>
      </c>
      <c r="C1153" s="37"/>
      <c r="D1153" s="37"/>
      <c r="E1153" s="37"/>
      <c r="F1153" s="40"/>
      <c r="G1153" s="40"/>
      <c r="H1153" s="7"/>
      <c r="I1153" s="253"/>
      <c r="J1153" s="253"/>
      <c r="K1153" s="606"/>
      <c r="L1153" s="39"/>
      <c r="M1153" s="39"/>
      <c r="N1153" s="39" t="str">
        <f>IF(AND('331-CT'!$E$7=TH!H1153,OR(L1153="331",M1153="331")),"331",IF(AND(OR(L1153="131",M1153="131"),H1153='131-CT'!$E$7),"131",""))</f>
        <v/>
      </c>
      <c r="O1153" s="39" t="str">
        <f>IF(AND($B1153&gt;='111'!$N$11,$B1153&lt;='111'!$O$11,OR($L1153=$O$7,$M1153=$O$7)),"x","")</f>
        <v/>
      </c>
      <c r="P1153" s="39" t="str">
        <f>IF(AND($L1153=$O$7,$B1153&lt;'111'!$N$11),"x","")</f>
        <v/>
      </c>
      <c r="Q1153" s="39" t="str">
        <f>IF(AND($M1153=$O$7,$B1153&lt;'111'!$N$11),"x","")</f>
        <v/>
      </c>
      <c r="R1153" s="39" t="str">
        <f>IF(ISERROR(FIND('112'!$M$9,G1153,1)),"",IF((AND(FIND('112'!$M$9,G1153,1)&gt;=1,$B1153&gt;='112'!$N$8,$B1153&lt;='112'!$O$8,OR($L1153='112'!$I$6,$M1153='112'!$I$6))),"x",""))</f>
        <v/>
      </c>
      <c r="S1153" s="39" t="str">
        <f>IF(ISERROR(FIND('112'!$M$9,G1153,1)),"",IF((AND(LEFT(G1153,2)=LEFT('112'!$M$9,2),B1153&lt;'112'!$N$8,$L1153='112'!$I$6)),"x",""))</f>
        <v/>
      </c>
      <c r="T1153" s="39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39" t="str">
        <f>IF(OR(TH!L1153=TH!$V$7,M1153=TH!$V$7),"x","")</f>
        <v/>
      </c>
      <c r="W1153" s="39" t="str">
        <f>IF(AND(B1153&gt;='IN-NX'!$P$3,B1153&lt;='IN-NX'!$Q$3,'IN-NX'!$D$7=D1153,OR(LEFT(L1153,2)="15",AND(LEFT(M1153,2)&lt;&gt;"15",LEFT(M1153,2)&lt;&gt;"33"))),"x","")</f>
        <v/>
      </c>
      <c r="X1153" s="39" t="str">
        <f>IF(AND(OR(LEFT(TH!L1153,2)="15",LEFT(TH!M1153,2)="15"),'152-CT'!$J$8=TH!F1153),"x","")</f>
        <v/>
      </c>
      <c r="Y1153" s="39" t="str">
        <f>IF(AND(OR(LEFT(TH!L1153,2)="15",LEFT(TH!M1153,2)="15"),TK!$E$7=TH!F1153),"x","")</f>
        <v/>
      </c>
      <c r="Z1153" s="39" t="str">
        <f>IF(AND(B1153&lt;=NKC!$N$8,B1153&gt;=NKC!$M$8),"x","")</f>
        <v/>
      </c>
      <c r="AA1153" s="894"/>
    </row>
    <row r="1154" spans="1:27" ht="15.75" customHeight="1">
      <c r="A1154" s="199" t="str">
        <f>IF(B1154&lt;&gt;"",IF(AND(B1154&gt;=_TM1,B1154&lt;=_TM2,OR(TH!L1154="1111",TH!M1154="1111")),TH!D1154,""),"")</f>
        <v/>
      </c>
      <c r="B1154" s="36" t="str">
        <f t="shared" si="43"/>
        <v/>
      </c>
      <c r="C1154" s="190"/>
      <c r="D1154" s="183"/>
      <c r="E1154" s="798"/>
      <c r="F1154" s="191"/>
      <c r="G1154" s="491"/>
      <c r="H1154" s="7"/>
      <c r="I1154" s="254"/>
      <c r="J1154" s="254"/>
      <c r="K1154" s="38"/>
      <c r="L1154" s="193"/>
      <c r="M1154" s="193"/>
      <c r="N1154" s="39" t="str">
        <f>IF(AND('331-CT'!$E$7=TH!H1154,OR(L1154="331",M1154="331")),"331",IF(AND(OR(L1154="131",M1154="131"),H1154='131-CT'!$E$7),"131",""))</f>
        <v/>
      </c>
      <c r="O1154" s="39" t="str">
        <f>IF(AND($B1154&gt;='111'!$N$11,$B1154&lt;='111'!$O$11,OR($L1154=$O$7,$M1154=$O$7)),"x","")</f>
        <v/>
      </c>
      <c r="P1154" s="39" t="str">
        <f>IF(AND($L1154=$O$7,$B1154&lt;'111'!$N$11),"x","")</f>
        <v/>
      </c>
      <c r="Q1154" s="39" t="str">
        <f>IF(AND($M1154=$O$7,$B1154&lt;'111'!$N$11),"x","")</f>
        <v/>
      </c>
      <c r="R1154" s="39" t="str">
        <f>IF(ISERROR(FIND('112'!$M$9,G1154,1)),"",IF((AND(FIND('112'!$M$9,G1154,1)&gt;=1,$B1154&gt;='112'!$N$8,$B1154&lt;='112'!$O$8,OR($L1154='112'!$I$6,$M1154='112'!$I$6))),"x",""))</f>
        <v/>
      </c>
      <c r="S1154" s="39" t="str">
        <f>IF(ISERROR(FIND('112'!$M$9,G1154,1)),"",IF((AND(LEFT(G1154,2)=LEFT('112'!$M$9,2),B1154&lt;'112'!$N$8,$L1154='112'!$I$6)),"x",""))</f>
        <v/>
      </c>
      <c r="T1154" s="39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39" t="str">
        <f>IF(OR(TH!L1154=TH!$V$7,M1154=TH!$V$7),"x","")</f>
        <v/>
      </c>
      <c r="W1154" s="39" t="str">
        <f>IF(AND(B1154&gt;='IN-NX'!$P$3,B1154&lt;='IN-NX'!$Q$3,'IN-NX'!$D$7=D1154,OR(LEFT(L1154,2)="15",AND(LEFT(M1154,2)&lt;&gt;"15",LEFT(M1154,2)&lt;&gt;"33"))),"x","")</f>
        <v/>
      </c>
      <c r="X1154" s="39" t="str">
        <f>IF(AND(OR(LEFT(TH!L1154,2)="15",LEFT(TH!M1154,2)="15"),'152-CT'!$J$8=TH!F1154),"x","")</f>
        <v/>
      </c>
      <c r="Y1154" s="39" t="str">
        <f>IF(AND(OR(LEFT(TH!L1154,2)="15",LEFT(TH!M1154,2)="15"),TK!$E$7=TH!F1154),"x","")</f>
        <v/>
      </c>
      <c r="Z1154" s="39" t="str">
        <f>IF(AND(B1154&lt;=NKC!$N$8,B1154&gt;=NKC!$M$8),"x","")</f>
        <v/>
      </c>
      <c r="AA1154" s="894"/>
    </row>
    <row r="1155" spans="1:27" ht="15.75" customHeight="1">
      <c r="A1155" s="199" t="str">
        <f>IF(B1155&lt;&gt;"",IF(AND(B1155&gt;=_TM1,B1155&lt;=_TM2,OR(TH!L1155="1111",TH!M1155="1111")),TH!D1155,""),"")</f>
        <v/>
      </c>
      <c r="B1155" s="36" t="str">
        <f t="shared" si="43"/>
        <v/>
      </c>
      <c r="C1155" s="190"/>
      <c r="D1155" s="183"/>
      <c r="E1155" s="798"/>
      <c r="F1155" s="188"/>
      <c r="G1155" s="491"/>
      <c r="H1155" s="7"/>
      <c r="I1155" s="253"/>
      <c r="J1155" s="253"/>
      <c r="K1155" s="606"/>
      <c r="L1155" s="193"/>
      <c r="M1155" s="193"/>
      <c r="N1155" s="39" t="str">
        <f>IF(AND('331-CT'!$E$7=TH!H1155,OR(L1155="331",M1155="331")),"331",IF(AND(OR(L1155="131",M1155="131"),H1155='131-CT'!$E$7),"131",""))</f>
        <v/>
      </c>
      <c r="O1155" s="39" t="str">
        <f>IF(AND($B1155&gt;='111'!$N$11,$B1155&lt;='111'!$O$11,OR($L1155=$O$7,$M1155=$O$7)),"x","")</f>
        <v/>
      </c>
      <c r="P1155" s="39" t="str">
        <f>IF(AND($L1155=$O$7,$B1155&lt;'111'!$N$11),"x","")</f>
        <v/>
      </c>
      <c r="Q1155" s="39" t="str">
        <f>IF(AND($M1155=$O$7,$B1155&lt;'111'!$N$11),"x","")</f>
        <v/>
      </c>
      <c r="R1155" s="39" t="str">
        <f>IF(ISERROR(FIND('112'!$M$9,G1155,1)),"",IF((AND(FIND('112'!$M$9,G1155,1)&gt;=1,$B1155&gt;='112'!$N$8,$B1155&lt;='112'!$O$8,OR($L1155='112'!$I$6,$M1155='112'!$I$6))),"x",""))</f>
        <v/>
      </c>
      <c r="S1155" s="39" t="str">
        <f>IF(ISERROR(FIND('112'!$M$9,G1155,1)),"",IF((AND(LEFT(G1155,2)=LEFT('112'!$M$9,2),B1155&lt;'112'!$N$8,$L1155='112'!$I$6)),"x",""))</f>
        <v/>
      </c>
      <c r="T1155" s="39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39" t="str">
        <f>IF(OR(TH!L1155=TH!$V$7,M1155=TH!$V$7),"x","")</f>
        <v/>
      </c>
      <c r="W1155" s="39" t="str">
        <f>IF(AND(B1155&gt;='IN-NX'!$P$3,B1155&lt;='IN-NX'!$Q$3,'IN-NX'!$D$7=D1155,OR(LEFT(L1155,2)="15",AND(LEFT(M1155,2)&lt;&gt;"15",LEFT(M1155,2)&lt;&gt;"33"))),"x","")</f>
        <v/>
      </c>
      <c r="X1155" s="39" t="str">
        <f>IF(AND(OR(LEFT(TH!L1155,2)="15",LEFT(TH!M1155,2)="15"),'152-CT'!$J$8=TH!F1155),"x","")</f>
        <v/>
      </c>
      <c r="Y1155" s="39" t="str">
        <f>IF(AND(OR(LEFT(TH!L1155,2)="15",LEFT(TH!M1155,2)="15"),TK!$E$7=TH!F1155),"x","")</f>
        <v/>
      </c>
      <c r="Z1155" s="39" t="str">
        <f>IF(AND(B1155&lt;=NKC!$N$8,B1155&gt;=NKC!$M$8),"x","")</f>
        <v/>
      </c>
      <c r="AA1155" s="894"/>
    </row>
    <row r="1156" spans="1:27" ht="15.75" customHeight="1">
      <c r="A1156" s="199" t="str">
        <f>IF(B1156&lt;&gt;"",IF(AND(B1156&gt;=_TM1,B1156&lt;=_TM2,OR(TH!L1156="1111",TH!M1156="1111")),TH!D1156,""),"")</f>
        <v/>
      </c>
      <c r="B1156" s="36" t="str">
        <f t="shared" si="43"/>
        <v/>
      </c>
      <c r="C1156" s="190"/>
      <c r="D1156" s="183"/>
      <c r="E1156" s="798"/>
      <c r="F1156" s="188"/>
      <c r="G1156" s="491"/>
      <c r="H1156" s="7"/>
      <c r="I1156" s="253"/>
      <c r="J1156" s="253"/>
      <c r="K1156" s="38"/>
      <c r="L1156" s="193"/>
      <c r="M1156" s="193"/>
      <c r="N1156" s="39" t="str">
        <f>IF(AND('331-CT'!$E$7=TH!H1156,OR(L1156="331",M1156="331")),"331",IF(AND(OR(L1156="131",M1156="131"),H1156='131-CT'!$E$7),"131",""))</f>
        <v/>
      </c>
      <c r="O1156" s="39" t="str">
        <f>IF(AND($B1156&gt;='111'!$N$11,$B1156&lt;='111'!$O$11,OR($L1156=$O$7,$M1156=$O$7)),"x","")</f>
        <v/>
      </c>
      <c r="P1156" s="39" t="str">
        <f>IF(AND($L1156=$O$7,$B1156&lt;'111'!$N$11),"x","")</f>
        <v/>
      </c>
      <c r="Q1156" s="39" t="str">
        <f>IF(AND($M1156=$O$7,$B1156&lt;'111'!$N$11),"x","")</f>
        <v/>
      </c>
      <c r="R1156" s="39" t="str">
        <f>IF(ISERROR(FIND('112'!$M$9,G1156,1)),"",IF((AND(FIND('112'!$M$9,G1156,1)&gt;=1,$B1156&gt;='112'!$N$8,$B1156&lt;='112'!$O$8,OR($L1156='112'!$I$6,$M1156='112'!$I$6))),"x",""))</f>
        <v/>
      </c>
      <c r="S1156" s="39" t="str">
        <f>IF(ISERROR(FIND('112'!$M$9,G1156,1)),"",IF((AND(LEFT(G1156,2)=LEFT('112'!$M$9,2),B1156&lt;'112'!$N$8,$L1156='112'!$I$6)),"x",""))</f>
        <v/>
      </c>
      <c r="T1156" s="39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39" t="str">
        <f>IF(OR(TH!L1156=TH!$V$7,M1156=TH!$V$7),"x","")</f>
        <v/>
      </c>
      <c r="W1156" s="39" t="str">
        <f>IF(AND(B1156&gt;='IN-NX'!$P$3,B1156&lt;='IN-NX'!$Q$3,'IN-NX'!$D$7=D1156,OR(LEFT(L1156,2)="15",AND(LEFT(M1156,2)&lt;&gt;"15",LEFT(M1156,2)&lt;&gt;"33"))),"x","")</f>
        <v/>
      </c>
      <c r="X1156" s="39" t="str">
        <f>IF(AND(OR(LEFT(TH!L1156,2)="15",LEFT(TH!M1156,2)="15"),'152-CT'!$J$8=TH!F1156),"x","")</f>
        <v/>
      </c>
      <c r="Y1156" s="39" t="str">
        <f>IF(AND(OR(LEFT(TH!L1156,2)="15",LEFT(TH!M1156,2)="15"),TK!$E$7=TH!F1156),"x","")</f>
        <v/>
      </c>
      <c r="Z1156" s="39" t="str">
        <f>IF(AND(B1156&lt;=NKC!$N$8,B1156&gt;=NKC!$M$8),"x","")</f>
        <v/>
      </c>
      <c r="AA1156" s="894"/>
    </row>
    <row r="1157" spans="1:27" ht="15.75" customHeight="1">
      <c r="A1157" s="199" t="str">
        <f>IF(B1157&lt;&gt;"",IF(AND(B1157&gt;=_TM1,B1157&lt;=_TM2,OR(TH!L1157="1111",TH!M1157="1111")),TH!D1157,""),"")</f>
        <v/>
      </c>
      <c r="B1157" s="36" t="str">
        <f t="shared" si="43"/>
        <v/>
      </c>
      <c r="C1157" s="190"/>
      <c r="D1157" s="190"/>
      <c r="E1157" s="190"/>
      <c r="F1157" s="191"/>
      <c r="G1157" s="491"/>
      <c r="H1157" s="192"/>
      <c r="I1157" s="253"/>
      <c r="J1157" s="253"/>
      <c r="K1157" s="606"/>
      <c r="L1157" s="193"/>
      <c r="M1157" s="193"/>
      <c r="N1157" s="39" t="str">
        <f>IF(AND('331-CT'!$E$7=TH!H1157,OR(L1157="331",M1157="331")),"331",IF(AND(OR(L1157="131",M1157="131"),H1157='131-CT'!$E$7),"131",""))</f>
        <v/>
      </c>
      <c r="O1157" s="39" t="str">
        <f>IF(AND($B1157&gt;='111'!$N$11,$B1157&lt;='111'!$O$11,OR($L1157=$O$7,$M1157=$O$7)),"x","")</f>
        <v/>
      </c>
      <c r="P1157" s="39" t="str">
        <f>IF(AND($L1157=$O$7,$B1157&lt;'111'!$N$11),"x","")</f>
        <v/>
      </c>
      <c r="Q1157" s="39" t="str">
        <f>IF(AND($M1157=$O$7,$B1157&lt;'111'!$N$11),"x","")</f>
        <v/>
      </c>
      <c r="R1157" s="39" t="str">
        <f>IF(ISERROR(FIND('112'!$M$9,G1157,1)),"",IF((AND(FIND('112'!$M$9,G1157,1)&gt;=1,$B1157&gt;='112'!$N$8,$B1157&lt;='112'!$O$8,OR($L1157='112'!$I$6,$M1157='112'!$I$6))),"x",""))</f>
        <v/>
      </c>
      <c r="S1157" s="39" t="str">
        <f>IF(ISERROR(FIND('112'!$M$9,G1157,1)),"",IF((AND(LEFT(G1157,2)=LEFT('112'!$M$9,2),B1157&lt;'112'!$N$8,$L1157='112'!$I$6)),"x",""))</f>
        <v/>
      </c>
      <c r="T1157" s="39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39" t="str">
        <f>IF(OR(TH!L1157=TH!$V$7,M1157=TH!$V$7),"x","")</f>
        <v/>
      </c>
      <c r="W1157" s="39" t="str">
        <f>IF(AND(B1157&gt;='IN-NX'!$P$3,B1157&lt;='IN-NX'!$Q$3,'IN-NX'!$D$7=D1157,OR(LEFT(L1157,2)="15",AND(LEFT(M1157,2)&lt;&gt;"15",LEFT(M1157,2)&lt;&gt;"33"))),"x","")</f>
        <v/>
      </c>
      <c r="X1157" s="39" t="str">
        <f>IF(AND(OR(LEFT(TH!L1157,2)="15",LEFT(TH!M1157,2)="15"),'152-CT'!$J$8=TH!F1157),"x","")</f>
        <v/>
      </c>
      <c r="Y1157" s="39" t="str">
        <f>IF(AND(OR(LEFT(TH!L1157,2)="15",LEFT(TH!M1157,2)="15"),TK!$E$7=TH!F1157),"x","")</f>
        <v/>
      </c>
      <c r="Z1157" s="39" t="str">
        <f>IF(AND(B1157&lt;=NKC!$N$8,B1157&gt;=NKC!$M$8),"x","")</f>
        <v/>
      </c>
      <c r="AA1157" s="894"/>
    </row>
    <row r="1158" spans="1:27" ht="15.75" customHeight="1">
      <c r="A1158" s="199" t="str">
        <f>IF(B1158&lt;&gt;"",IF(AND(B1158&gt;=_TM1,B1158&lt;=_TM2,OR(TH!L1158="1111",TH!M1158="1111")),TH!D1158,""),"")</f>
        <v/>
      </c>
      <c r="B1158" s="36" t="str">
        <f t="shared" si="43"/>
        <v/>
      </c>
      <c r="C1158" s="190"/>
      <c r="D1158" s="190"/>
      <c r="E1158" s="190"/>
      <c r="F1158" s="191"/>
      <c r="G1158" s="491"/>
      <c r="H1158" s="192"/>
      <c r="I1158" s="253"/>
      <c r="J1158" s="253"/>
      <c r="K1158" s="606"/>
      <c r="L1158" s="193"/>
      <c r="M1158" s="193"/>
      <c r="N1158" s="39" t="str">
        <f>IF(AND('331-CT'!$E$7=TH!H1158,OR(L1158="331",M1158="331")),"331",IF(AND(OR(L1158="131",M1158="131"),H1158='131-CT'!$E$7),"131",""))</f>
        <v/>
      </c>
      <c r="O1158" s="39" t="str">
        <f>IF(AND($B1158&gt;='111'!$N$11,$B1158&lt;='111'!$O$11,OR($L1158=$O$7,$M1158=$O$7)),"x","")</f>
        <v/>
      </c>
      <c r="P1158" s="39" t="str">
        <f>IF(AND($L1158=$O$7,$B1158&lt;'111'!$N$11),"x","")</f>
        <v/>
      </c>
      <c r="Q1158" s="39" t="str">
        <f>IF(AND($M1158=$O$7,$B1158&lt;'111'!$N$11),"x","")</f>
        <v/>
      </c>
      <c r="R1158" s="39" t="str">
        <f>IF(ISERROR(FIND('112'!$M$9,G1158,1)),"",IF((AND(FIND('112'!$M$9,G1158,1)&gt;=1,$B1158&gt;='112'!$N$8,$B1158&lt;='112'!$O$8,OR($L1158='112'!$I$6,$M1158='112'!$I$6))),"x",""))</f>
        <v/>
      </c>
      <c r="S1158" s="39" t="str">
        <f>IF(ISERROR(FIND('112'!$M$9,G1158,1)),"",IF((AND(LEFT(G1158,2)=LEFT('112'!$M$9,2),B1158&lt;'112'!$N$8,$L1158='112'!$I$6)),"x",""))</f>
        <v/>
      </c>
      <c r="T1158" s="39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39" t="str">
        <f>IF(OR(TH!L1158=TH!$V$7,M1158=TH!$V$7),"x","")</f>
        <v/>
      </c>
      <c r="W1158" s="39" t="str">
        <f>IF(AND(B1158&gt;='IN-NX'!$P$3,B1158&lt;='IN-NX'!$Q$3,'IN-NX'!$D$7=D1158,OR(LEFT(L1158,2)="15",AND(LEFT(M1158,2)&lt;&gt;"15",LEFT(M1158,2)&lt;&gt;"33"))),"x","")</f>
        <v/>
      </c>
      <c r="X1158" s="39" t="str">
        <f>IF(AND(OR(LEFT(TH!L1158,2)="15",LEFT(TH!M1158,2)="15"),'152-CT'!$J$8=TH!F1158),"x","")</f>
        <v/>
      </c>
      <c r="Y1158" s="39" t="str">
        <f>IF(AND(OR(LEFT(TH!L1158,2)="15",LEFT(TH!M1158,2)="15"),TK!$E$7=TH!F1158),"x","")</f>
        <v/>
      </c>
      <c r="Z1158" s="39" t="str">
        <f>IF(AND(B1158&lt;=NKC!$N$8,B1158&gt;=NKC!$M$8),"x","")</f>
        <v/>
      </c>
      <c r="AA1158" s="894"/>
    </row>
    <row r="1159" spans="1:27" ht="15.75" customHeight="1">
      <c r="A1159" s="199" t="str">
        <f>IF(B1159&lt;&gt;"",IF(AND(B1159&gt;=_TM1,B1159&lt;=_TM2,OR(TH!L1159="1111",TH!M1159="1111")),TH!D1159,""),"")</f>
        <v/>
      </c>
      <c r="B1159" s="36" t="str">
        <f t="shared" si="43"/>
        <v/>
      </c>
      <c r="C1159" s="190"/>
      <c r="D1159" s="190"/>
      <c r="E1159" s="190"/>
      <c r="F1159" s="191"/>
      <c r="G1159" s="491"/>
      <c r="H1159" s="192"/>
      <c r="I1159" s="253"/>
      <c r="J1159" s="253"/>
      <c r="K1159" s="606"/>
      <c r="L1159" s="193"/>
      <c r="M1159" s="193"/>
      <c r="N1159" s="39" t="str">
        <f>IF(AND('331-CT'!$E$7=TH!H1159,OR(L1159="331",M1159="331")),"331",IF(AND(OR(L1159="131",M1159="131"),H1159='131-CT'!$E$7),"131",""))</f>
        <v/>
      </c>
      <c r="O1159" s="39" t="str">
        <f>IF(AND($B1159&gt;='111'!$N$11,$B1159&lt;='111'!$O$11,OR($L1159=$O$7,$M1159=$O$7)),"x","")</f>
        <v/>
      </c>
      <c r="P1159" s="39" t="str">
        <f>IF(AND($L1159=$O$7,$B1159&lt;'111'!$N$11),"x","")</f>
        <v/>
      </c>
      <c r="Q1159" s="39" t="str">
        <f>IF(AND($M1159=$O$7,$B1159&lt;'111'!$N$11),"x","")</f>
        <v/>
      </c>
      <c r="R1159" s="39" t="str">
        <f>IF(ISERROR(FIND('112'!$M$9,G1159,1)),"",IF((AND(FIND('112'!$M$9,G1159,1)&gt;=1,$B1159&gt;='112'!$N$8,$B1159&lt;='112'!$O$8,OR($L1159='112'!$I$6,$M1159='112'!$I$6))),"x",""))</f>
        <v/>
      </c>
      <c r="S1159" s="39" t="str">
        <f>IF(ISERROR(FIND('112'!$M$9,G1159,1)),"",IF((AND(LEFT(G1159,2)=LEFT('112'!$M$9,2),B1159&lt;'112'!$N$8,$L1159='112'!$I$6)),"x",""))</f>
        <v/>
      </c>
      <c r="T1159" s="39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39" t="str">
        <f>IF(OR(TH!L1159=TH!$V$7,M1159=TH!$V$7),"x","")</f>
        <v/>
      </c>
      <c r="W1159" s="39" t="str">
        <f>IF(AND(B1159&gt;='IN-NX'!$P$3,B1159&lt;='IN-NX'!$Q$3,'IN-NX'!$D$7=D1159,OR(LEFT(L1159,2)="15",AND(LEFT(M1159,2)&lt;&gt;"15",LEFT(M1159,2)&lt;&gt;"33"))),"x","")</f>
        <v/>
      </c>
      <c r="X1159" s="39" t="str">
        <f>IF(AND(OR(LEFT(TH!L1159,2)="15",LEFT(TH!M1159,2)="15"),'152-CT'!$J$8=TH!F1159),"x","")</f>
        <v/>
      </c>
      <c r="Y1159" s="39" t="str">
        <f>IF(AND(OR(LEFT(TH!L1159,2)="15",LEFT(TH!M1159,2)="15"),TK!$E$7=TH!F1159),"x","")</f>
        <v/>
      </c>
      <c r="Z1159" s="39" t="str">
        <f>IF(AND(B1159&lt;=NKC!$N$8,B1159&gt;=NKC!$M$8),"x","")</f>
        <v/>
      </c>
      <c r="AA1159" s="894"/>
    </row>
    <row r="1160" spans="1:27" ht="15.75" customHeight="1">
      <c r="A1160" s="199" t="str">
        <f>IF(B1160&lt;&gt;"",IF(AND(B1160&gt;=_TM1,B1160&lt;=_TM2,OR(TH!L1160="1111",TH!M1160="1111")),TH!D1160,""),"")</f>
        <v/>
      </c>
      <c r="B1160" s="36" t="str">
        <f t="shared" si="43"/>
        <v/>
      </c>
      <c r="C1160" s="190"/>
      <c r="D1160" s="190"/>
      <c r="E1160" s="190"/>
      <c r="F1160" s="191"/>
      <c r="G1160" s="491"/>
      <c r="H1160" s="192"/>
      <c r="I1160" s="253"/>
      <c r="J1160" s="253"/>
      <c r="K1160" s="606"/>
      <c r="L1160" s="193"/>
      <c r="M1160" s="193"/>
      <c r="N1160" s="39" t="str">
        <f>IF(AND('331-CT'!$E$7=TH!H1160,OR(L1160="331",M1160="331")),"331",IF(AND(OR(L1160="131",M1160="131"),H1160='131-CT'!$E$7),"131",""))</f>
        <v/>
      </c>
      <c r="O1160" s="39" t="str">
        <f>IF(AND($B1160&gt;='111'!$N$11,$B1160&lt;='111'!$O$11,OR($L1160=$O$7,$M1160=$O$7)),"x","")</f>
        <v/>
      </c>
      <c r="P1160" s="39" t="str">
        <f>IF(AND($L1160=$O$7,$B1160&lt;'111'!$N$11),"x","")</f>
        <v/>
      </c>
      <c r="Q1160" s="39" t="str">
        <f>IF(AND($M1160=$O$7,$B1160&lt;'111'!$N$11),"x","")</f>
        <v/>
      </c>
      <c r="R1160" s="39" t="str">
        <f>IF(ISERROR(FIND('112'!$M$9,G1160,1)),"",IF((AND(FIND('112'!$M$9,G1160,1)&gt;=1,$B1160&gt;='112'!$N$8,$B1160&lt;='112'!$O$8,OR($L1160='112'!$I$6,$M1160='112'!$I$6))),"x",""))</f>
        <v/>
      </c>
      <c r="S1160" s="39" t="str">
        <f>IF(ISERROR(FIND('112'!$M$9,G1160,1)),"",IF((AND(LEFT(G1160,2)=LEFT('112'!$M$9,2),B1160&lt;'112'!$N$8,$L1160='112'!$I$6)),"x",""))</f>
        <v/>
      </c>
      <c r="T1160" s="39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39" t="str">
        <f>IF(OR(TH!L1160=TH!$V$7,M1160=TH!$V$7),"x","")</f>
        <v/>
      </c>
      <c r="W1160" s="39" t="str">
        <f>IF(AND(B1160&gt;='IN-NX'!$P$3,B1160&lt;='IN-NX'!$Q$3,'IN-NX'!$D$7=D1160,OR(LEFT(L1160,2)="15",AND(LEFT(M1160,2)&lt;&gt;"15",LEFT(M1160,2)&lt;&gt;"33"))),"x","")</f>
        <v/>
      </c>
      <c r="X1160" s="39" t="str">
        <f>IF(AND(OR(LEFT(TH!L1160,2)="15",LEFT(TH!M1160,2)="15"),'152-CT'!$J$8=TH!F1160),"x","")</f>
        <v/>
      </c>
      <c r="Y1160" s="39" t="str">
        <f>IF(AND(OR(LEFT(TH!L1160,2)="15",LEFT(TH!M1160,2)="15"),TK!$E$7=TH!F1160),"x","")</f>
        <v/>
      </c>
      <c r="Z1160" s="39" t="str">
        <f>IF(AND(B1160&lt;=NKC!$N$8,B1160&gt;=NKC!$M$8),"x","")</f>
        <v/>
      </c>
      <c r="AA1160" s="894"/>
    </row>
    <row r="1161" spans="1:27" ht="15.75" customHeight="1">
      <c r="A1161" s="199" t="str">
        <f>IF(B1161&lt;&gt;"",IF(AND(B1161&gt;=_TM1,B1161&lt;=_TM2,OR(TH!L1161="1111",TH!M1161="1111")),TH!D1161,""),"")</f>
        <v/>
      </c>
      <c r="B1161" s="36" t="str">
        <f t="shared" si="43"/>
        <v/>
      </c>
      <c r="C1161" s="190"/>
      <c r="D1161" s="190"/>
      <c r="E1161" s="190"/>
      <c r="F1161" s="191"/>
      <c r="G1161" s="491"/>
      <c r="H1161" s="192"/>
      <c r="I1161" s="253"/>
      <c r="J1161" s="253"/>
      <c r="K1161" s="606"/>
      <c r="L1161" s="193"/>
      <c r="M1161" s="193"/>
      <c r="N1161" s="39" t="str">
        <f>IF(AND('331-CT'!$E$7=TH!H1161,OR(L1161="331",M1161="331")),"331",IF(AND(OR(L1161="131",M1161="131"),H1161='131-CT'!$E$7),"131",""))</f>
        <v/>
      </c>
      <c r="O1161" s="39" t="str">
        <f>IF(AND($B1161&gt;='111'!$N$11,$B1161&lt;='111'!$O$11,OR($L1161=$O$7,$M1161=$O$7)),"x","")</f>
        <v/>
      </c>
      <c r="P1161" s="39" t="str">
        <f>IF(AND($L1161=$O$7,$B1161&lt;'111'!$N$11),"x","")</f>
        <v/>
      </c>
      <c r="Q1161" s="39" t="str">
        <f>IF(AND($M1161=$O$7,$B1161&lt;'111'!$N$11),"x","")</f>
        <v/>
      </c>
      <c r="R1161" s="39" t="str">
        <f>IF(ISERROR(FIND('112'!$M$9,G1161,1)),"",IF((AND(FIND('112'!$M$9,G1161,1)&gt;=1,$B1161&gt;='112'!$N$8,$B1161&lt;='112'!$O$8,OR($L1161='112'!$I$6,$M1161='112'!$I$6))),"x",""))</f>
        <v/>
      </c>
      <c r="S1161" s="39" t="str">
        <f>IF(ISERROR(FIND('112'!$M$9,G1161,1)),"",IF((AND(LEFT(G1161,2)=LEFT('112'!$M$9,2),B1161&lt;'112'!$N$8,$L1161='112'!$I$6)),"x",""))</f>
        <v/>
      </c>
      <c r="T1161" s="39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39" t="str">
        <f>IF(OR(TH!L1161=TH!$V$7,M1161=TH!$V$7),"x","")</f>
        <v/>
      </c>
      <c r="W1161" s="39" t="str">
        <f>IF(AND(B1161&gt;='IN-NX'!$P$3,B1161&lt;='IN-NX'!$Q$3,'IN-NX'!$D$7=D1161,OR(LEFT(L1161,2)="15",AND(LEFT(M1161,2)&lt;&gt;"15",LEFT(M1161,2)&lt;&gt;"33"))),"x","")</f>
        <v/>
      </c>
      <c r="X1161" s="39" t="str">
        <f>IF(AND(OR(LEFT(TH!L1161,2)="15",LEFT(TH!M1161,2)="15"),'152-CT'!$J$8=TH!F1161),"x","")</f>
        <v/>
      </c>
      <c r="Y1161" s="39" t="str">
        <f>IF(AND(OR(LEFT(TH!L1161,2)="15",LEFT(TH!M1161,2)="15"),TK!$E$7=TH!F1161),"x","")</f>
        <v/>
      </c>
      <c r="Z1161" s="39" t="str">
        <f>IF(AND(B1161&lt;=NKC!$N$8,B1161&gt;=NKC!$M$8),"x","")</f>
        <v/>
      </c>
      <c r="AA1161" s="894"/>
    </row>
    <row r="1162" spans="1:27" ht="15.75" customHeight="1">
      <c r="A1162" s="199" t="str">
        <f>IF(B1162&lt;&gt;"",IF(AND(B1162&gt;=_TM1,B1162&lt;=_TM2,OR(TH!L1162="1111",TH!M1162="1111")),TH!D1162,""),"")</f>
        <v/>
      </c>
      <c r="B1162" s="36" t="str">
        <f t="shared" si="43"/>
        <v/>
      </c>
      <c r="C1162" s="190"/>
      <c r="D1162" s="190"/>
      <c r="E1162" s="190"/>
      <c r="F1162" s="191"/>
      <c r="G1162" s="491"/>
      <c r="H1162" s="192"/>
      <c r="I1162" s="253"/>
      <c r="J1162" s="253"/>
      <c r="K1162" s="606"/>
      <c r="L1162" s="193"/>
      <c r="M1162" s="193"/>
      <c r="N1162" s="39" t="str">
        <f>IF(AND('331-CT'!$E$7=TH!H1162,OR(L1162="331",M1162="331")),"331",IF(AND(OR(L1162="131",M1162="131"),H1162='131-CT'!$E$7),"131",""))</f>
        <v/>
      </c>
      <c r="O1162" s="39" t="str">
        <f>IF(AND($B1162&gt;='111'!$N$11,$B1162&lt;='111'!$O$11,OR($L1162=$O$7,$M1162=$O$7)),"x","")</f>
        <v/>
      </c>
      <c r="P1162" s="39" t="str">
        <f>IF(AND($L1162=$O$7,$B1162&lt;'111'!$N$11),"x","")</f>
        <v/>
      </c>
      <c r="Q1162" s="39" t="str">
        <f>IF(AND($M1162=$O$7,$B1162&lt;'111'!$N$11),"x","")</f>
        <v/>
      </c>
      <c r="R1162" s="39" t="str">
        <f>IF(ISERROR(FIND('112'!$M$9,G1162,1)),"",IF((AND(FIND('112'!$M$9,G1162,1)&gt;=1,$B1162&gt;='112'!$N$8,$B1162&lt;='112'!$O$8,OR($L1162='112'!$I$6,$M1162='112'!$I$6))),"x",""))</f>
        <v/>
      </c>
      <c r="S1162" s="39" t="str">
        <f>IF(ISERROR(FIND('112'!$M$9,G1162,1)),"",IF((AND(LEFT(G1162,2)=LEFT('112'!$M$9,2),B1162&lt;'112'!$N$8,$L1162='112'!$I$6)),"x",""))</f>
        <v/>
      </c>
      <c r="T1162" s="39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39" t="str">
        <f>IF(OR(TH!L1162=TH!$V$7,M1162=TH!$V$7),"x","")</f>
        <v/>
      </c>
      <c r="W1162" s="39" t="str">
        <f>IF(AND(B1162&gt;='IN-NX'!$P$3,B1162&lt;='IN-NX'!$Q$3,'IN-NX'!$D$7=D1162,OR(LEFT(L1162,2)="15",AND(LEFT(M1162,2)&lt;&gt;"15",LEFT(M1162,2)&lt;&gt;"33"))),"x","")</f>
        <v/>
      </c>
      <c r="X1162" s="39" t="str">
        <f>IF(AND(OR(LEFT(TH!L1162,2)="15",LEFT(TH!M1162,2)="15"),'152-CT'!$J$8=TH!F1162),"x","")</f>
        <v/>
      </c>
      <c r="Y1162" s="39" t="str">
        <f>IF(AND(OR(LEFT(TH!L1162,2)="15",LEFT(TH!M1162,2)="15"),TK!$E$7=TH!F1162),"x","")</f>
        <v/>
      </c>
      <c r="Z1162" s="39" t="str">
        <f>IF(AND(B1162&lt;=NKC!$N$8,B1162&gt;=NKC!$M$8),"x","")</f>
        <v/>
      </c>
      <c r="AA1162" s="894"/>
    </row>
    <row r="1163" spans="1:27" ht="15.75" customHeight="1">
      <c r="A1163" s="199" t="str">
        <f>IF(B1163&lt;&gt;"",IF(AND(B1163&gt;=_TM1,B1163&lt;=_TM2,OR(TH!L1163="1111",TH!M1163="1111")),TH!D1163,""),"")</f>
        <v/>
      </c>
      <c r="B1163" s="36" t="str">
        <f t="shared" si="43"/>
        <v/>
      </c>
      <c r="C1163" s="190"/>
      <c r="D1163" s="190"/>
      <c r="E1163" s="190"/>
      <c r="F1163" s="191"/>
      <c r="G1163" s="491"/>
      <c r="H1163" s="192"/>
      <c r="I1163" s="253"/>
      <c r="J1163" s="253"/>
      <c r="K1163" s="606"/>
      <c r="L1163" s="193"/>
      <c r="M1163" s="193"/>
      <c r="N1163" s="39" t="str">
        <f>IF(AND('331-CT'!$E$7=TH!H1163,OR(L1163="331",M1163="331")),"331",IF(AND(OR(L1163="131",M1163="131"),H1163='131-CT'!$E$7),"131",""))</f>
        <v/>
      </c>
      <c r="O1163" s="39" t="str">
        <f>IF(AND($B1163&gt;='111'!$N$11,$B1163&lt;='111'!$O$11,OR($L1163=$O$7,$M1163=$O$7)),"x","")</f>
        <v/>
      </c>
      <c r="P1163" s="39" t="str">
        <f>IF(AND($L1163=$O$7,$B1163&lt;'111'!$N$11),"x","")</f>
        <v/>
      </c>
      <c r="Q1163" s="39" t="str">
        <f>IF(AND($M1163=$O$7,$B1163&lt;'111'!$N$11),"x","")</f>
        <v/>
      </c>
      <c r="R1163" s="39" t="str">
        <f>IF(ISERROR(FIND('112'!$M$9,G1163,1)),"",IF((AND(FIND('112'!$M$9,G1163,1)&gt;=1,$B1163&gt;='112'!$N$8,$B1163&lt;='112'!$O$8,OR($L1163='112'!$I$6,$M1163='112'!$I$6))),"x",""))</f>
        <v/>
      </c>
      <c r="S1163" s="39" t="str">
        <f>IF(ISERROR(FIND('112'!$M$9,G1163,1)),"",IF((AND(LEFT(G1163,2)=LEFT('112'!$M$9,2),B1163&lt;'112'!$N$8,$L1163='112'!$I$6)),"x",""))</f>
        <v/>
      </c>
      <c r="T1163" s="39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39" t="str">
        <f>IF(OR(TH!L1163=TH!$V$7,M1163=TH!$V$7),"x","")</f>
        <v/>
      </c>
      <c r="W1163" s="39" t="str">
        <f>IF(AND(B1163&gt;='IN-NX'!$P$3,B1163&lt;='IN-NX'!$Q$3,'IN-NX'!$D$7=D1163,OR(LEFT(L1163,2)="15",AND(LEFT(M1163,2)&lt;&gt;"15",LEFT(M1163,2)&lt;&gt;"33"))),"x","")</f>
        <v/>
      </c>
      <c r="X1163" s="39" t="str">
        <f>IF(AND(OR(LEFT(TH!L1163,2)="15",LEFT(TH!M1163,2)="15"),'152-CT'!$J$8=TH!F1163),"x","")</f>
        <v/>
      </c>
      <c r="Y1163" s="39" t="str">
        <f>IF(AND(OR(LEFT(TH!L1163,2)="15",LEFT(TH!M1163,2)="15"),TK!$E$7=TH!F1163),"x","")</f>
        <v/>
      </c>
      <c r="Z1163" s="39" t="str">
        <f>IF(AND(B1163&lt;=NKC!$N$8,B1163&gt;=NKC!$M$8),"x","")</f>
        <v/>
      </c>
      <c r="AA1163" s="894"/>
    </row>
    <row r="1164" spans="1:27" ht="15.75" customHeight="1">
      <c r="A1164" s="199" t="str">
        <f>IF(B1164&lt;&gt;"",IF(AND(B1164&gt;=_TM1,B1164&lt;=_TM2,OR(TH!L1164="1111",TH!M1164="1111")),TH!D1164,""),"")</f>
        <v/>
      </c>
      <c r="B1164" s="36" t="str">
        <f t="shared" si="43"/>
        <v/>
      </c>
      <c r="C1164" s="190"/>
      <c r="D1164" s="190"/>
      <c r="E1164" s="190"/>
      <c r="F1164" s="191"/>
      <c r="G1164" s="491"/>
      <c r="H1164" s="192"/>
      <c r="I1164" s="253"/>
      <c r="J1164" s="253"/>
      <c r="K1164" s="606"/>
      <c r="L1164" s="193"/>
      <c r="M1164" s="193"/>
      <c r="N1164" s="39" t="str">
        <f>IF(AND('331-CT'!$E$7=TH!H1164,OR(L1164="331",M1164="331")),"331",IF(AND(OR(L1164="131",M1164="131"),H1164='131-CT'!$E$7),"131",""))</f>
        <v/>
      </c>
      <c r="O1164" s="39" t="str">
        <f>IF(AND($B1164&gt;='111'!$N$11,$B1164&lt;='111'!$O$11,OR($L1164=$O$7,$M1164=$O$7)),"x","")</f>
        <v/>
      </c>
      <c r="P1164" s="39" t="str">
        <f>IF(AND($L1164=$O$7,$B1164&lt;'111'!$N$11),"x","")</f>
        <v/>
      </c>
      <c r="Q1164" s="39" t="str">
        <f>IF(AND($M1164=$O$7,$B1164&lt;'111'!$N$11),"x","")</f>
        <v/>
      </c>
      <c r="R1164" s="39" t="str">
        <f>IF(ISERROR(FIND('112'!$M$9,G1164,1)),"",IF((AND(FIND('112'!$M$9,G1164,1)&gt;=1,$B1164&gt;='112'!$N$8,$B1164&lt;='112'!$O$8,OR($L1164='112'!$I$6,$M1164='112'!$I$6))),"x",""))</f>
        <v/>
      </c>
      <c r="S1164" s="39" t="str">
        <f>IF(ISERROR(FIND('112'!$M$9,G1164,1)),"",IF((AND(LEFT(G1164,2)=LEFT('112'!$M$9,2),B1164&lt;'112'!$N$8,$L1164='112'!$I$6)),"x",""))</f>
        <v/>
      </c>
      <c r="T1164" s="39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39" t="str">
        <f>IF(OR(TH!L1164=TH!$V$7,M1164=TH!$V$7),"x","")</f>
        <v/>
      </c>
      <c r="W1164" s="39" t="str">
        <f>IF(AND(B1164&gt;='IN-NX'!$P$3,B1164&lt;='IN-NX'!$Q$3,'IN-NX'!$D$7=D1164,OR(LEFT(L1164,2)="15",AND(LEFT(M1164,2)&lt;&gt;"15",LEFT(M1164,2)&lt;&gt;"33"))),"x","")</f>
        <v/>
      </c>
      <c r="X1164" s="39" t="str">
        <f>IF(AND(OR(LEFT(TH!L1164,2)="15",LEFT(TH!M1164,2)="15"),'152-CT'!$J$8=TH!F1164),"x","")</f>
        <v/>
      </c>
      <c r="Y1164" s="39" t="str">
        <f>IF(AND(OR(LEFT(TH!L1164,2)="15",LEFT(TH!M1164,2)="15"),TK!$E$7=TH!F1164),"x","")</f>
        <v/>
      </c>
      <c r="Z1164" s="39" t="str">
        <f>IF(AND(B1164&lt;=NKC!$N$8,B1164&gt;=NKC!$M$8),"x","")</f>
        <v/>
      </c>
      <c r="AA1164" s="894"/>
    </row>
    <row r="1165" spans="1:27" ht="15.75" customHeight="1">
      <c r="A1165" s="199" t="str">
        <f>IF(B1165&lt;&gt;"",IF(AND(B1165&gt;=_TM1,B1165&lt;=_TM2,OR(TH!L1165="1111",TH!M1165="1111")),TH!D1165,""),"")</f>
        <v/>
      </c>
      <c r="B1165" s="36" t="str">
        <f t="shared" si="43"/>
        <v/>
      </c>
      <c r="C1165" s="190"/>
      <c r="D1165" s="190"/>
      <c r="E1165" s="190"/>
      <c r="F1165" s="191"/>
      <c r="G1165" s="491"/>
      <c r="H1165" s="192"/>
      <c r="I1165" s="253"/>
      <c r="J1165" s="253"/>
      <c r="K1165" s="606"/>
      <c r="L1165" s="193"/>
      <c r="M1165" s="193"/>
      <c r="N1165" s="39" t="str">
        <f>IF(AND('331-CT'!$E$7=TH!H1165,OR(L1165="331",M1165="331")),"331",IF(AND(OR(L1165="131",M1165="131"),H1165='131-CT'!$E$7),"131",""))</f>
        <v/>
      </c>
      <c r="O1165" s="39" t="str">
        <f>IF(AND($B1165&gt;='111'!$N$11,$B1165&lt;='111'!$O$11,OR($L1165=$O$7,$M1165=$O$7)),"x","")</f>
        <v/>
      </c>
      <c r="P1165" s="39" t="str">
        <f>IF(AND($L1165=$O$7,$B1165&lt;'111'!$N$11),"x","")</f>
        <v/>
      </c>
      <c r="Q1165" s="39" t="str">
        <f>IF(AND($M1165=$O$7,$B1165&lt;'111'!$N$11),"x","")</f>
        <v/>
      </c>
      <c r="R1165" s="39" t="str">
        <f>IF(ISERROR(FIND('112'!$M$9,G1165,1)),"",IF((AND(FIND('112'!$M$9,G1165,1)&gt;=1,$B1165&gt;='112'!$N$8,$B1165&lt;='112'!$O$8,OR($L1165='112'!$I$6,$M1165='112'!$I$6))),"x",""))</f>
        <v/>
      </c>
      <c r="S1165" s="39" t="str">
        <f>IF(ISERROR(FIND('112'!$M$9,G1165,1)),"",IF((AND(LEFT(G1165,2)=LEFT('112'!$M$9,2),B1165&lt;'112'!$N$8,$L1165='112'!$I$6)),"x",""))</f>
        <v/>
      </c>
      <c r="T1165" s="39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39" t="str">
        <f>IF(OR(TH!L1165=TH!$V$7,M1165=TH!$V$7),"x","")</f>
        <v/>
      </c>
      <c r="W1165" s="39" t="str">
        <f>IF(AND(B1165&gt;='IN-NX'!$P$3,B1165&lt;='IN-NX'!$Q$3,'IN-NX'!$D$7=D1165,OR(LEFT(L1165,2)="15",AND(LEFT(M1165,2)&lt;&gt;"15",LEFT(M1165,2)&lt;&gt;"33"))),"x","")</f>
        <v/>
      </c>
      <c r="X1165" s="39" t="str">
        <f>IF(AND(OR(LEFT(TH!L1165,2)="15",LEFT(TH!M1165,2)="15"),'152-CT'!$J$8=TH!F1165),"x","")</f>
        <v/>
      </c>
      <c r="Y1165" s="39" t="str">
        <f>IF(AND(OR(LEFT(TH!L1165,2)="15",LEFT(TH!M1165,2)="15"),TK!$E$7=TH!F1165),"x","")</f>
        <v/>
      </c>
      <c r="Z1165" s="39" t="str">
        <f>IF(AND(B1165&lt;=NKC!$N$8,B1165&gt;=NKC!$M$8),"x","")</f>
        <v/>
      </c>
      <c r="AA1165" s="894"/>
    </row>
    <row r="1166" spans="1:27" ht="15.75" customHeight="1">
      <c r="A1166" s="199" t="str">
        <f>IF(B1166&lt;&gt;"",IF(AND(B1166&gt;=_TM1,B1166&lt;=_TM2,OR(TH!L1166="1111",TH!M1166="1111")),TH!D1166,""),"")</f>
        <v/>
      </c>
      <c r="B1166" s="36" t="str">
        <f t="shared" si="43"/>
        <v/>
      </c>
      <c r="C1166" s="190"/>
      <c r="D1166" s="190"/>
      <c r="E1166" s="190"/>
      <c r="F1166" s="191"/>
      <c r="G1166" s="491"/>
      <c r="H1166" s="192"/>
      <c r="I1166" s="253"/>
      <c r="J1166" s="253"/>
      <c r="K1166" s="606"/>
      <c r="L1166" s="193"/>
      <c r="M1166" s="193"/>
      <c r="N1166" s="39" t="str">
        <f>IF(AND('331-CT'!$E$7=TH!H1166,OR(L1166="331",M1166="331")),"331",IF(AND(OR(L1166="131",M1166="131"),H1166='131-CT'!$E$7),"131",""))</f>
        <v/>
      </c>
      <c r="O1166" s="39" t="str">
        <f>IF(AND($B1166&gt;='111'!$N$11,$B1166&lt;='111'!$O$11,OR($L1166=$O$7,$M1166=$O$7)),"x","")</f>
        <v/>
      </c>
      <c r="P1166" s="39" t="str">
        <f>IF(AND($L1166=$O$7,$B1166&lt;'111'!$N$11),"x","")</f>
        <v/>
      </c>
      <c r="Q1166" s="39" t="str">
        <f>IF(AND($M1166=$O$7,$B1166&lt;'111'!$N$11),"x","")</f>
        <v/>
      </c>
      <c r="R1166" s="39" t="str">
        <f>IF(ISERROR(FIND('112'!$M$9,G1166,1)),"",IF((AND(FIND('112'!$M$9,G1166,1)&gt;=1,$B1166&gt;='112'!$N$8,$B1166&lt;='112'!$O$8,OR($L1166='112'!$I$6,$M1166='112'!$I$6))),"x",""))</f>
        <v/>
      </c>
      <c r="S1166" s="39" t="str">
        <f>IF(ISERROR(FIND('112'!$M$9,G1166,1)),"",IF((AND(LEFT(G1166,2)=LEFT('112'!$M$9,2),B1166&lt;'112'!$N$8,$L1166='112'!$I$6)),"x",""))</f>
        <v/>
      </c>
      <c r="T1166" s="39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39" t="str">
        <f>IF(OR(TH!L1166=TH!$V$7,M1166=TH!$V$7),"x","")</f>
        <v/>
      </c>
      <c r="W1166" s="39" t="str">
        <f>IF(AND(B1166&gt;='IN-NX'!$P$3,B1166&lt;='IN-NX'!$Q$3,'IN-NX'!$D$7=D1166,OR(LEFT(L1166,2)="15",AND(LEFT(M1166,2)&lt;&gt;"15",LEFT(M1166,2)&lt;&gt;"33"))),"x","")</f>
        <v/>
      </c>
      <c r="X1166" s="39" t="str">
        <f>IF(AND(OR(LEFT(TH!L1166,2)="15",LEFT(TH!M1166,2)="15"),'152-CT'!$J$8=TH!F1166),"x","")</f>
        <v/>
      </c>
      <c r="Y1166" s="39" t="str">
        <f>IF(AND(OR(LEFT(TH!L1166,2)="15",LEFT(TH!M1166,2)="15"),TK!$E$7=TH!F1166),"x","")</f>
        <v/>
      </c>
      <c r="Z1166" s="39" t="str">
        <f>IF(AND(B1166&lt;=NKC!$N$8,B1166&gt;=NKC!$M$8),"x","")</f>
        <v/>
      </c>
      <c r="AA1166" s="894"/>
    </row>
    <row r="1167" spans="1:27" ht="15.75" customHeight="1">
      <c r="A1167" s="199" t="str">
        <f>IF(B1167&lt;&gt;"",IF(AND(B1167&gt;=_TM1,B1167&lt;=_TM2,OR(TH!L1167="1111",TH!M1167="1111")),TH!D1167,""),"")</f>
        <v/>
      </c>
      <c r="B1167" s="36" t="str">
        <f t="shared" si="43"/>
        <v/>
      </c>
      <c r="C1167" s="190"/>
      <c r="D1167" s="190"/>
      <c r="E1167" s="190"/>
      <c r="F1167" s="191"/>
      <c r="G1167" s="491"/>
      <c r="H1167" s="192"/>
      <c r="I1167" s="253"/>
      <c r="J1167" s="253"/>
      <c r="K1167" s="606"/>
      <c r="L1167" s="193"/>
      <c r="M1167" s="193"/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/>
      </c>
      <c r="AA1167" s="894"/>
    </row>
    <row r="1168" spans="1:27" ht="15.75" customHeight="1">
      <c r="A1168" s="199" t="str">
        <f>IF(B1168&lt;&gt;"",IF(AND(B1168&gt;=_TM1,B1168&lt;=_TM2,OR(TH!L1168="1111",TH!M1168="1111")),TH!D1168,""),"")</f>
        <v/>
      </c>
      <c r="B1168" s="36" t="str">
        <f t="shared" si="43"/>
        <v/>
      </c>
      <c r="C1168" s="190"/>
      <c r="D1168" s="190"/>
      <c r="E1168" s="190"/>
      <c r="F1168" s="191"/>
      <c r="G1168" s="491"/>
      <c r="H1168" s="192"/>
      <c r="I1168" s="253"/>
      <c r="J1168" s="253"/>
      <c r="K1168" s="606"/>
      <c r="L1168" s="193"/>
      <c r="M1168" s="193"/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/>
      </c>
      <c r="AA1168" s="894"/>
    </row>
    <row r="1169" spans="1:27" ht="15.75" customHeight="1">
      <c r="A1169" s="199" t="str">
        <f>IF(B1169&lt;&gt;"",IF(AND(B1169&gt;=_TM1,B1169&lt;=_TM2,OR(TH!L1169="1111",TH!M1169="1111")),TH!D1169,""),"")</f>
        <v/>
      </c>
      <c r="B1169" s="36" t="str">
        <f t="shared" si="43"/>
        <v/>
      </c>
      <c r="C1169" s="190"/>
      <c r="D1169" s="190"/>
      <c r="E1169" s="190"/>
      <c r="F1169" s="191"/>
      <c r="G1169" s="491"/>
      <c r="H1169" s="192"/>
      <c r="I1169" s="253"/>
      <c r="J1169" s="253"/>
      <c r="K1169" s="606"/>
      <c r="L1169" s="193"/>
      <c r="M1169" s="193"/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/>
      </c>
      <c r="AA1169" s="894"/>
    </row>
    <row r="1170" spans="1:27" ht="15.75" customHeight="1">
      <c r="A1170" s="199" t="str">
        <f>IF(B1170&lt;&gt;"",IF(AND(B1170&gt;=_TM1,B1170&lt;=_TM2,OR(TH!L1170="1111",TH!M1170="1111")),TH!D1170,""),"")</f>
        <v/>
      </c>
      <c r="B1170" s="36" t="str">
        <f t="shared" si="43"/>
        <v/>
      </c>
      <c r="C1170" s="190"/>
      <c r="D1170" s="190"/>
      <c r="E1170" s="190"/>
      <c r="F1170" s="191"/>
      <c r="G1170" s="491"/>
      <c r="H1170" s="192"/>
      <c r="I1170" s="253"/>
      <c r="J1170" s="253"/>
      <c r="K1170" s="606"/>
      <c r="L1170" s="193"/>
      <c r="M1170" s="193"/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/>
      </c>
      <c r="AA1170" s="894"/>
    </row>
    <row r="1171" spans="1:27" ht="15.75" customHeight="1">
      <c r="A1171" s="199" t="str">
        <f>IF(B1171&lt;&gt;"",IF(AND(B1171&gt;=_TM1,B1171&lt;=_TM2,OR(TH!L1171="1111",TH!M1171="1111")),TH!D1171,""),"")</f>
        <v/>
      </c>
      <c r="B1171" s="36" t="str">
        <f t="shared" si="43"/>
        <v/>
      </c>
      <c r="C1171" s="190"/>
      <c r="D1171" s="190"/>
      <c r="E1171" s="190"/>
      <c r="F1171" s="191"/>
      <c r="G1171" s="491"/>
      <c r="H1171" s="192"/>
      <c r="I1171" s="253"/>
      <c r="J1171" s="253"/>
      <c r="K1171" s="606"/>
      <c r="L1171" s="193"/>
      <c r="M1171" s="193"/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/>
      </c>
      <c r="AA1171" s="894"/>
    </row>
    <row r="1172" spans="1:27" ht="15.75" customHeight="1">
      <c r="A1172" s="199" t="str">
        <f>IF(B1172&lt;&gt;"",IF(AND(B1172&gt;=_TM1,B1172&lt;=_TM2,OR(TH!L1172="1111",TH!M1172="1111")),TH!D1172,""),"")</f>
        <v/>
      </c>
      <c r="B1172" s="36" t="str">
        <f t="shared" si="43"/>
        <v/>
      </c>
      <c r="C1172" s="190"/>
      <c r="D1172" s="190"/>
      <c r="E1172" s="190"/>
      <c r="F1172" s="191"/>
      <c r="G1172" s="491"/>
      <c r="H1172" s="192"/>
      <c r="I1172" s="253"/>
      <c r="J1172" s="253"/>
      <c r="K1172" s="606"/>
      <c r="L1172" s="193"/>
      <c r="M1172" s="193"/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/>
      </c>
      <c r="AA1172" s="894"/>
    </row>
    <row r="1173" spans="1:27" ht="15.75" customHeight="1">
      <c r="A1173" s="199" t="str">
        <f>IF(B1173&lt;&gt;"",IF(AND(B1173&gt;=_TM1,B1173&lt;=_TM2,OR(TH!L1173="1111",TH!M1173="1111")),TH!D1173,""),"")</f>
        <v/>
      </c>
      <c r="B1173" s="36" t="str">
        <f t="shared" si="43"/>
        <v/>
      </c>
      <c r="C1173" s="190"/>
      <c r="D1173" s="190"/>
      <c r="E1173" s="190"/>
      <c r="F1173" s="191"/>
      <c r="G1173" s="491"/>
      <c r="H1173" s="192"/>
      <c r="I1173" s="253"/>
      <c r="J1173" s="253"/>
      <c r="K1173" s="606"/>
      <c r="L1173" s="193"/>
      <c r="M1173" s="193"/>
      <c r="N1173" s="39" t="str">
        <f>IF(AND('331-CT'!$E$7=TH!H1173,OR(L1173="331",M1173="331")),"331",IF(AND(OR(L1173="131",M1173="131"),H1173='131-CT'!$E$7),"131",""))</f>
        <v/>
      </c>
      <c r="O1173" s="39" t="str">
        <f>IF(AND($B1173&gt;='111'!$N$11,$B1173&lt;='111'!$O$11,OR($L1173=$O$7,$M1173=$O$7)),"x","")</f>
        <v/>
      </c>
      <c r="P1173" s="39" t="str">
        <f>IF(AND($L1173=$O$7,$B1173&lt;'111'!$N$11),"x","")</f>
        <v/>
      </c>
      <c r="Q1173" s="39" t="str">
        <f>IF(AND($M1173=$O$7,$B1173&lt;'111'!$N$11),"x","")</f>
        <v/>
      </c>
      <c r="R1173" s="39" t="str">
        <f>IF(ISERROR(FIND('112'!$M$9,G1173,1)),"",IF((AND(FIND('112'!$M$9,G1173,1)&gt;=1,$B1173&gt;='112'!$N$8,$B1173&lt;='112'!$O$8,OR($L1173='112'!$I$6,$M1173='112'!$I$6))),"x",""))</f>
        <v/>
      </c>
      <c r="S1173" s="39" t="str">
        <f>IF(ISERROR(FIND('112'!$M$9,G1173,1)),"",IF((AND(LEFT(G1173,2)=LEFT('112'!$M$9,2),B1173&lt;'112'!$N$8,$L1173='112'!$I$6)),"x",""))</f>
        <v/>
      </c>
      <c r="T1173" s="39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39" t="str">
        <f>IF(OR(TH!L1173=TH!$V$7,M1173=TH!$V$7),"x","")</f>
        <v/>
      </c>
      <c r="W1173" s="39" t="str">
        <f>IF(AND(B1173&gt;='IN-NX'!$P$3,B1173&lt;='IN-NX'!$Q$3,'IN-NX'!$D$7=D1173,OR(LEFT(L1173,2)="15",AND(LEFT(M1173,2)&lt;&gt;"15",LEFT(M1173,2)&lt;&gt;"33"))),"x","")</f>
        <v/>
      </c>
      <c r="X1173" s="39" t="str">
        <f>IF(AND(OR(LEFT(TH!L1173,2)="15",LEFT(TH!M1173,2)="15"),'152-CT'!$J$8=TH!F1173),"x","")</f>
        <v/>
      </c>
      <c r="Y1173" s="39" t="str">
        <f>IF(AND(OR(LEFT(TH!L1173,2)="15",LEFT(TH!M1173,2)="15"),TK!$E$7=TH!F1173),"x","")</f>
        <v/>
      </c>
      <c r="Z1173" s="39" t="str">
        <f>IF(AND(B1173&lt;=NKC!$N$8,B1173&gt;=NKC!$M$8),"x","")</f>
        <v/>
      </c>
      <c r="AA1173" s="894"/>
    </row>
    <row r="1174" spans="1:27" ht="15.75" customHeight="1">
      <c r="A1174" s="199" t="str">
        <f>IF(B1174&lt;&gt;"",IF(AND(B1174&gt;=_TM1,B1174&lt;=_TM2,OR(TH!L1174="1111",TH!M1174="1111")),TH!D1174,""),"")</f>
        <v/>
      </c>
      <c r="B1174" s="36" t="str">
        <f t="shared" si="43"/>
        <v/>
      </c>
      <c r="C1174" s="190"/>
      <c r="D1174" s="190"/>
      <c r="E1174" s="190"/>
      <c r="F1174" s="191"/>
      <c r="G1174" s="491"/>
      <c r="H1174" s="192"/>
      <c r="I1174" s="253"/>
      <c r="J1174" s="253"/>
      <c r="K1174" s="606"/>
      <c r="L1174" s="193"/>
      <c r="M1174" s="193"/>
      <c r="N1174" s="39" t="str">
        <f>IF(AND('331-CT'!$E$7=TH!H1174,OR(L1174="331",M1174="331")),"331",IF(AND(OR(L1174="131",M1174="131"),H1174='131-CT'!$E$7),"131",""))</f>
        <v/>
      </c>
      <c r="O1174" s="39" t="str">
        <f>IF(AND($B1174&gt;='111'!$N$11,$B1174&lt;='111'!$O$11,OR($L1174=$O$7,$M1174=$O$7)),"x","")</f>
        <v/>
      </c>
      <c r="P1174" s="39" t="str">
        <f>IF(AND($L1174=$O$7,$B1174&lt;'111'!$N$11),"x","")</f>
        <v/>
      </c>
      <c r="Q1174" s="39" t="str">
        <f>IF(AND($M1174=$O$7,$B1174&lt;'111'!$N$11),"x","")</f>
        <v/>
      </c>
      <c r="R1174" s="39" t="str">
        <f>IF(ISERROR(FIND('112'!$M$9,G1174,1)),"",IF((AND(FIND('112'!$M$9,G1174,1)&gt;=1,$B1174&gt;='112'!$N$8,$B1174&lt;='112'!$O$8,OR($L1174='112'!$I$6,$M1174='112'!$I$6))),"x",""))</f>
        <v/>
      </c>
      <c r="S1174" s="39" t="str">
        <f>IF(ISERROR(FIND('112'!$M$9,G1174,1)),"",IF((AND(LEFT(G1174,2)=LEFT('112'!$M$9,2),B1174&lt;'112'!$N$8,$L1174='112'!$I$6)),"x",""))</f>
        <v/>
      </c>
      <c r="T1174" s="39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39" t="str">
        <f>IF(OR(TH!L1174=TH!$V$7,M1174=TH!$V$7),"x","")</f>
        <v/>
      </c>
      <c r="W1174" s="39" t="str">
        <f>IF(AND(B1174&gt;='IN-NX'!$P$3,B1174&lt;='IN-NX'!$Q$3,'IN-NX'!$D$7=D1174,OR(LEFT(L1174,2)="15",AND(LEFT(M1174,2)&lt;&gt;"15",LEFT(M1174,2)&lt;&gt;"33"))),"x","")</f>
        <v/>
      </c>
      <c r="X1174" s="39" t="str">
        <f>IF(AND(OR(LEFT(TH!L1174,2)="15",LEFT(TH!M1174,2)="15"),'152-CT'!$J$8=TH!F1174),"x","")</f>
        <v/>
      </c>
      <c r="Y1174" s="39" t="str">
        <f>IF(AND(OR(LEFT(TH!L1174,2)="15",LEFT(TH!M1174,2)="15"),TK!$E$7=TH!F1174),"x","")</f>
        <v/>
      </c>
      <c r="Z1174" s="39" t="str">
        <f>IF(AND(B1174&lt;=NKC!$N$8,B1174&gt;=NKC!$M$8),"x","")</f>
        <v/>
      </c>
      <c r="AA1174" s="894"/>
    </row>
    <row r="1175" spans="1:27" ht="15.75" customHeight="1">
      <c r="A1175" s="199" t="str">
        <f>IF(B1175&lt;&gt;"",IF(AND(B1175&gt;=_TM1,B1175&lt;=_TM2,OR(TH!L1175="1111",TH!M1175="1111")),TH!D1175,""),"")</f>
        <v/>
      </c>
      <c r="B1175" s="36" t="str">
        <f t="shared" si="43"/>
        <v/>
      </c>
      <c r="C1175" s="37"/>
      <c r="D1175" s="37"/>
      <c r="E1175" s="37"/>
      <c r="F1175" s="40"/>
      <c r="G1175" s="40"/>
      <c r="H1175" s="7"/>
      <c r="I1175" s="253"/>
      <c r="J1175" s="253"/>
      <c r="K1175" s="606"/>
      <c r="L1175" s="39"/>
      <c r="M1175" s="39"/>
      <c r="N1175" s="39" t="str">
        <f>IF(AND('331-CT'!$E$7=TH!H1175,OR(L1175="331",M1175="331")),"331",IF(AND(OR(L1175="131",M1175="131"),H1175='131-CT'!$E$7),"131",""))</f>
        <v/>
      </c>
      <c r="O1175" s="39" t="str">
        <f>IF(AND($B1175&gt;='111'!$N$11,$B1175&lt;='111'!$O$11,OR($L1175=$O$7,$M1175=$O$7)),"x","")</f>
        <v/>
      </c>
      <c r="P1175" s="39" t="str">
        <f>IF(AND($L1175=$O$7,$B1175&lt;'111'!$N$11),"x","")</f>
        <v/>
      </c>
      <c r="Q1175" s="39" t="str">
        <f>IF(AND($M1175=$O$7,$B1175&lt;'111'!$N$11),"x","")</f>
        <v/>
      </c>
      <c r="R1175" s="39" t="str">
        <f>IF(ISERROR(FIND('112'!$M$9,G1175,1)),"",IF((AND(FIND('112'!$M$9,G1175,1)&gt;=1,$B1175&gt;='112'!$N$8,$B1175&lt;='112'!$O$8,OR($L1175='112'!$I$6,$M1175='112'!$I$6))),"x",""))</f>
        <v/>
      </c>
      <c r="S1175" s="39" t="str">
        <f>IF(ISERROR(FIND('112'!$M$9,G1175,1)),"",IF((AND(LEFT(G1175,2)=LEFT('112'!$M$9,2),B1175&lt;'112'!$N$8,$L1175='112'!$I$6)),"x",""))</f>
        <v/>
      </c>
      <c r="T1175" s="39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39" t="str">
        <f>IF(OR(TH!L1175=TH!$V$7,M1175=TH!$V$7),"x","")</f>
        <v/>
      </c>
      <c r="W1175" s="39" t="str">
        <f>IF(AND(B1175&gt;='IN-NX'!$P$3,B1175&lt;='IN-NX'!$Q$3,'IN-NX'!$D$7=D1175,OR(LEFT(L1175,2)="15",AND(LEFT(M1175,2)&lt;&gt;"15",LEFT(M1175,2)&lt;&gt;"33"))),"x","")</f>
        <v/>
      </c>
      <c r="X1175" s="39" t="str">
        <f>IF(AND(OR(LEFT(TH!L1175,2)="15",LEFT(TH!M1175,2)="15"),'152-CT'!$J$8=TH!F1175),"x","")</f>
        <v/>
      </c>
      <c r="Y1175" s="39" t="str">
        <f>IF(AND(OR(LEFT(TH!L1175,2)="15",LEFT(TH!M1175,2)="15"),TK!$E$7=TH!F1175),"x","")</f>
        <v/>
      </c>
      <c r="Z1175" s="39" t="str">
        <f>IF(AND(B1175&lt;=NKC!$N$8,B1175&gt;=NKC!$M$8),"x","")</f>
        <v/>
      </c>
      <c r="AA1175" s="894"/>
    </row>
    <row r="1176" spans="1:27" ht="15.75" customHeight="1">
      <c r="A1176" s="199" t="str">
        <f>IF(B1176&lt;&gt;"",IF(AND(B1176&gt;=_TM1,B1176&lt;=_TM2,OR(TH!L1176="1111",TH!M1176="1111")),TH!D1176,""),"")</f>
        <v/>
      </c>
      <c r="B1176" s="36" t="str">
        <f t="shared" si="43"/>
        <v/>
      </c>
      <c r="C1176" s="37"/>
      <c r="D1176" s="37"/>
      <c r="E1176" s="37"/>
      <c r="F1176" s="40"/>
      <c r="G1176" s="40"/>
      <c r="H1176" s="7"/>
      <c r="I1176" s="253"/>
      <c r="J1176" s="253"/>
      <c r="K1176" s="606"/>
      <c r="L1176" s="39"/>
      <c r="M1176" s="39"/>
      <c r="N1176" s="39" t="str">
        <f>IF(AND('331-CT'!$E$7=TH!H1176,OR(L1176="331",M1176="331")),"331",IF(AND(OR(L1176="131",M1176="131"),H1176='131-CT'!$E$7),"131",""))</f>
        <v/>
      </c>
      <c r="O1176" s="39" t="str">
        <f>IF(AND($B1176&gt;='111'!$N$11,$B1176&lt;='111'!$O$11,OR($L1176=$O$7,$M1176=$O$7)),"x","")</f>
        <v/>
      </c>
      <c r="P1176" s="39" t="str">
        <f>IF(AND($L1176=$O$7,$B1176&lt;'111'!$N$11),"x","")</f>
        <v/>
      </c>
      <c r="Q1176" s="39" t="str">
        <f>IF(AND($M1176=$O$7,$B1176&lt;'111'!$N$11),"x","")</f>
        <v/>
      </c>
      <c r="R1176" s="39" t="str">
        <f>IF(ISERROR(FIND('112'!$M$9,G1176,1)),"",IF((AND(FIND('112'!$M$9,G1176,1)&gt;=1,$B1176&gt;='112'!$N$8,$B1176&lt;='112'!$O$8,OR($L1176='112'!$I$6,$M1176='112'!$I$6))),"x",""))</f>
        <v/>
      </c>
      <c r="S1176" s="39" t="str">
        <f>IF(ISERROR(FIND('112'!$M$9,G1176,1)),"",IF((AND(LEFT(G1176,2)=LEFT('112'!$M$9,2),B1176&lt;'112'!$N$8,$L1176='112'!$I$6)),"x",""))</f>
        <v/>
      </c>
      <c r="T1176" s="39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39" t="str">
        <f>IF(OR(TH!L1176=TH!$V$7,M1176=TH!$V$7),"x","")</f>
        <v/>
      </c>
      <c r="W1176" s="39" t="str">
        <f>IF(AND(B1176&gt;='IN-NX'!$P$3,B1176&lt;='IN-NX'!$Q$3,'IN-NX'!$D$7=D1176,OR(LEFT(L1176,2)="15",AND(LEFT(M1176,2)&lt;&gt;"15",LEFT(M1176,2)&lt;&gt;"33"))),"x","")</f>
        <v/>
      </c>
      <c r="X1176" s="39" t="str">
        <f>IF(AND(OR(LEFT(TH!L1176,2)="15",LEFT(TH!M1176,2)="15"),'152-CT'!$J$8=TH!F1176),"x","")</f>
        <v/>
      </c>
      <c r="Y1176" s="39" t="str">
        <f>IF(AND(OR(LEFT(TH!L1176,2)="15",LEFT(TH!M1176,2)="15"),TK!$E$7=TH!F1176),"x","")</f>
        <v/>
      </c>
      <c r="Z1176" s="39" t="str">
        <f>IF(AND(B1176&lt;=NKC!$N$8,B1176&gt;=NKC!$M$8),"x","")</f>
        <v/>
      </c>
      <c r="AA1176" s="894"/>
    </row>
    <row r="1177" spans="1:27" ht="15.75" customHeight="1">
      <c r="A1177" s="199" t="str">
        <f>IF(B1177&lt;&gt;"",IF(AND(B1177&gt;=_TM1,B1177&lt;=_TM2,OR(TH!L1177="1111",TH!M1177="1111")),TH!D1177,""),"")</f>
        <v/>
      </c>
      <c r="B1177" s="36" t="str">
        <f t="shared" ref="B1177:B1240" si="44">IF(C1177&lt;&gt;"",MONTH(C1177),"")</f>
        <v/>
      </c>
      <c r="C1177" s="37"/>
      <c r="D1177" s="37"/>
      <c r="E1177" s="37"/>
      <c r="F1177" s="40"/>
      <c r="G1177" s="40"/>
      <c r="H1177" s="7"/>
      <c r="I1177" s="253"/>
      <c r="J1177" s="253"/>
      <c r="K1177" s="606"/>
      <c r="L1177" s="39"/>
      <c r="M1177" s="39"/>
      <c r="N1177" s="39" t="str">
        <f>IF(AND('331-CT'!$E$7=TH!H1177,OR(L1177="331",M1177="331")),"331",IF(AND(OR(L1177="131",M1177="131"),H1177='131-CT'!$E$7),"131",""))</f>
        <v/>
      </c>
      <c r="O1177" s="39" t="str">
        <f>IF(AND($B1177&gt;='111'!$N$11,$B1177&lt;='111'!$O$11,OR($L1177=$O$7,$M1177=$O$7)),"x","")</f>
        <v/>
      </c>
      <c r="P1177" s="39" t="str">
        <f>IF(AND($L1177=$O$7,$B1177&lt;'111'!$N$11),"x","")</f>
        <v/>
      </c>
      <c r="Q1177" s="39" t="str">
        <f>IF(AND($M1177=$O$7,$B1177&lt;'111'!$N$11),"x","")</f>
        <v/>
      </c>
      <c r="R1177" s="39" t="str">
        <f>IF(ISERROR(FIND('112'!$M$9,G1177,1)),"",IF((AND(FIND('112'!$M$9,G1177,1)&gt;=1,$B1177&gt;='112'!$N$8,$B1177&lt;='112'!$O$8,OR($L1177='112'!$I$6,$M1177='112'!$I$6))),"x",""))</f>
        <v/>
      </c>
      <c r="S1177" s="39" t="str">
        <f>IF(ISERROR(FIND('112'!$M$9,G1177,1)),"",IF((AND(LEFT(G1177,2)=LEFT('112'!$M$9,2),B1177&lt;'112'!$N$8,$L1177='112'!$I$6)),"x",""))</f>
        <v/>
      </c>
      <c r="T1177" s="39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39" t="str">
        <f>IF(OR(TH!L1177=TH!$V$7,M1177=TH!$V$7),"x","")</f>
        <v/>
      </c>
      <c r="W1177" s="39" t="str">
        <f>IF(AND(B1177&gt;='IN-NX'!$P$3,B1177&lt;='IN-NX'!$Q$3,'IN-NX'!$D$7=D1177,OR(LEFT(L1177,2)="15",AND(LEFT(M1177,2)&lt;&gt;"15",LEFT(M1177,2)&lt;&gt;"33"))),"x","")</f>
        <v/>
      </c>
      <c r="X1177" s="39" t="str">
        <f>IF(AND(OR(LEFT(TH!L1177,2)="15",LEFT(TH!M1177,2)="15"),'152-CT'!$J$8=TH!F1177),"x","")</f>
        <v/>
      </c>
      <c r="Y1177" s="39" t="str">
        <f>IF(AND(OR(LEFT(TH!L1177,2)="15",LEFT(TH!M1177,2)="15"),TK!$E$7=TH!F1177),"x","")</f>
        <v/>
      </c>
      <c r="Z1177" s="39" t="str">
        <f>IF(AND(B1177&lt;=NKC!$N$8,B1177&gt;=NKC!$M$8),"x","")</f>
        <v/>
      </c>
      <c r="AA1177" s="894"/>
    </row>
    <row r="1178" spans="1:27" ht="15.75" customHeight="1">
      <c r="A1178" s="199" t="str">
        <f>IF(B1178&lt;&gt;"",IF(AND(B1178&gt;=_TM1,B1178&lt;=_TM2,OR(TH!L1178="1111",TH!M1178="1111")),TH!D1178,""),"")</f>
        <v/>
      </c>
      <c r="B1178" s="36" t="str">
        <f t="shared" si="44"/>
        <v/>
      </c>
      <c r="C1178" s="37"/>
      <c r="D1178" s="37"/>
      <c r="E1178" s="37"/>
      <c r="F1178" s="40"/>
      <c r="G1178" s="40"/>
      <c r="H1178" s="7"/>
      <c r="I1178" s="253"/>
      <c r="J1178" s="253"/>
      <c r="K1178" s="606"/>
      <c r="L1178" s="39"/>
      <c r="M1178" s="39"/>
      <c r="N1178" s="39" t="str">
        <f>IF(AND('331-CT'!$E$7=TH!H1178,OR(L1178="331",M1178="331")),"331",IF(AND(OR(L1178="131",M1178="131"),H1178='131-CT'!$E$7),"131",""))</f>
        <v/>
      </c>
      <c r="O1178" s="39" t="str">
        <f>IF(AND($B1178&gt;='111'!$N$11,$B1178&lt;='111'!$O$11,OR($L1178=$O$7,$M1178=$O$7)),"x","")</f>
        <v/>
      </c>
      <c r="P1178" s="39" t="str">
        <f>IF(AND($L1178=$O$7,$B1178&lt;'111'!$N$11),"x","")</f>
        <v/>
      </c>
      <c r="Q1178" s="39" t="str">
        <f>IF(AND($M1178=$O$7,$B1178&lt;'111'!$N$11),"x","")</f>
        <v/>
      </c>
      <c r="R1178" s="39" t="str">
        <f>IF(ISERROR(FIND('112'!$M$9,G1178,1)),"",IF((AND(FIND('112'!$M$9,G1178,1)&gt;=1,$B1178&gt;='112'!$N$8,$B1178&lt;='112'!$O$8,OR($L1178='112'!$I$6,$M1178='112'!$I$6))),"x",""))</f>
        <v/>
      </c>
      <c r="S1178" s="39" t="str">
        <f>IF(ISERROR(FIND('112'!$M$9,G1178,1)),"",IF((AND(LEFT(G1178,2)=LEFT('112'!$M$9,2),B1178&lt;'112'!$N$8,$L1178='112'!$I$6)),"x",""))</f>
        <v/>
      </c>
      <c r="T1178" s="39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39" t="str">
        <f>IF(OR(TH!L1178=TH!$V$7,M1178=TH!$V$7),"x","")</f>
        <v/>
      </c>
      <c r="W1178" s="39" t="str">
        <f>IF(AND(B1178&gt;='IN-NX'!$P$3,B1178&lt;='IN-NX'!$Q$3,'IN-NX'!$D$7=D1178,OR(LEFT(L1178,2)="15",AND(LEFT(M1178,2)&lt;&gt;"15",LEFT(M1178,2)&lt;&gt;"33"))),"x","")</f>
        <v/>
      </c>
      <c r="X1178" s="39" t="str">
        <f>IF(AND(OR(LEFT(TH!L1178,2)="15",LEFT(TH!M1178,2)="15"),'152-CT'!$J$8=TH!F1178),"x","")</f>
        <v/>
      </c>
      <c r="Y1178" s="39" t="str">
        <f>IF(AND(OR(LEFT(TH!L1178,2)="15",LEFT(TH!M1178,2)="15"),TK!$E$7=TH!F1178),"x","")</f>
        <v/>
      </c>
      <c r="Z1178" s="39" t="str">
        <f>IF(AND(B1178&lt;=NKC!$N$8,B1178&gt;=NKC!$M$8),"x","")</f>
        <v/>
      </c>
      <c r="AA1178" s="894"/>
    </row>
    <row r="1179" spans="1:27" ht="15.75" customHeight="1">
      <c r="A1179" s="199" t="str">
        <f>IF(B1179&lt;&gt;"",IF(AND(B1179&gt;=_TM1,B1179&lt;=_TM2,OR(TH!L1179="1111",TH!M1179="1111")),TH!D1179,""),"")</f>
        <v/>
      </c>
      <c r="B1179" s="36" t="str">
        <f t="shared" si="44"/>
        <v/>
      </c>
      <c r="C1179" s="37"/>
      <c r="D1179" s="37"/>
      <c r="E1179" s="37"/>
      <c r="F1179" s="40"/>
      <c r="G1179" s="40"/>
      <c r="H1179" s="7"/>
      <c r="I1179" s="253"/>
      <c r="J1179" s="253"/>
      <c r="K1179" s="606"/>
      <c r="L1179" s="39"/>
      <c r="M1179" s="39"/>
      <c r="N1179" s="39" t="str">
        <f>IF(AND('331-CT'!$E$7=TH!H1179,OR(L1179="331",M1179="331")),"331",IF(AND(OR(L1179="131",M1179="131"),H1179='131-CT'!$E$7),"131",""))</f>
        <v/>
      </c>
      <c r="O1179" s="39" t="str">
        <f>IF(AND($B1179&gt;='111'!$N$11,$B1179&lt;='111'!$O$11,OR($L1179=$O$7,$M1179=$O$7)),"x","")</f>
        <v/>
      </c>
      <c r="P1179" s="39" t="str">
        <f>IF(AND($L1179=$O$7,$B1179&lt;'111'!$N$11),"x","")</f>
        <v/>
      </c>
      <c r="Q1179" s="39" t="str">
        <f>IF(AND($M1179=$O$7,$B1179&lt;'111'!$N$11),"x","")</f>
        <v/>
      </c>
      <c r="R1179" s="39" t="str">
        <f>IF(ISERROR(FIND('112'!$M$9,G1179,1)),"",IF((AND(FIND('112'!$M$9,G1179,1)&gt;=1,$B1179&gt;='112'!$N$8,$B1179&lt;='112'!$O$8,OR($L1179='112'!$I$6,$M1179='112'!$I$6))),"x",""))</f>
        <v/>
      </c>
      <c r="S1179" s="39" t="str">
        <f>IF(ISERROR(FIND('112'!$M$9,G1179,1)),"",IF((AND(LEFT(G1179,2)=LEFT('112'!$M$9,2),B1179&lt;'112'!$N$8,$L1179='112'!$I$6)),"x",""))</f>
        <v/>
      </c>
      <c r="T1179" s="39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39" t="str">
        <f>IF(OR(TH!L1179=TH!$V$7,M1179=TH!$V$7),"x","")</f>
        <v/>
      </c>
      <c r="W1179" s="39" t="str">
        <f>IF(AND(B1179&gt;='IN-NX'!$P$3,B1179&lt;='IN-NX'!$Q$3,'IN-NX'!$D$7=D1179,OR(LEFT(L1179,2)="15",AND(LEFT(M1179,2)&lt;&gt;"15",LEFT(M1179,2)&lt;&gt;"33"))),"x","")</f>
        <v/>
      </c>
      <c r="X1179" s="39" t="str">
        <f>IF(AND(OR(LEFT(TH!L1179,2)="15",LEFT(TH!M1179,2)="15"),'152-CT'!$J$8=TH!F1179),"x","")</f>
        <v/>
      </c>
      <c r="Y1179" s="39" t="str">
        <f>IF(AND(OR(LEFT(TH!L1179,2)="15",LEFT(TH!M1179,2)="15"),TK!$E$7=TH!F1179),"x","")</f>
        <v/>
      </c>
      <c r="Z1179" s="39" t="str">
        <f>IF(AND(B1179&lt;=NKC!$N$8,B1179&gt;=NKC!$M$8),"x","")</f>
        <v/>
      </c>
      <c r="AA1179" s="894"/>
    </row>
    <row r="1180" spans="1:27" ht="15.75" customHeight="1">
      <c r="A1180" s="199" t="str">
        <f>IF(B1180&lt;&gt;"",IF(AND(B1180&gt;=_TM1,B1180&lt;=_TM2,OR(TH!L1180="1111",TH!M1180="1111")),TH!D1180,""),"")</f>
        <v/>
      </c>
      <c r="B1180" s="36" t="str">
        <f t="shared" si="44"/>
        <v/>
      </c>
      <c r="C1180" s="37"/>
      <c r="D1180" s="37"/>
      <c r="E1180" s="37"/>
      <c r="F1180" s="40"/>
      <c r="G1180" s="40"/>
      <c r="H1180" s="7"/>
      <c r="I1180" s="253"/>
      <c r="J1180" s="253"/>
      <c r="K1180" s="606"/>
      <c r="L1180" s="39"/>
      <c r="M1180" s="39"/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/>
      </c>
      <c r="AA1180" s="894"/>
    </row>
    <row r="1181" spans="1:27" ht="15.75" customHeight="1">
      <c r="A1181" s="199" t="str">
        <f>IF(B1181&lt;&gt;"",IF(AND(B1181&gt;=_TM1,B1181&lt;=_TM2,OR(TH!L1181="1111",TH!M1181="1111")),TH!D1181,""),"")</f>
        <v/>
      </c>
      <c r="B1181" s="36" t="str">
        <f t="shared" si="44"/>
        <v/>
      </c>
      <c r="C1181" s="37"/>
      <c r="D1181" s="37"/>
      <c r="E1181" s="37"/>
      <c r="F1181" s="191"/>
      <c r="G1181" s="40"/>
      <c r="H1181" s="7"/>
      <c r="I1181" s="253"/>
      <c r="J1181" s="253"/>
      <c r="K1181" s="606"/>
      <c r="L1181" s="39"/>
      <c r="M1181" s="39"/>
      <c r="N1181" s="39" t="str">
        <f>IF(AND('331-CT'!$E$7=TH!H1181,OR(L1181="331",M1181="331")),"331",IF(AND(OR(L1181="131",M1181="131"),H1181='131-CT'!$E$7),"131",""))</f>
        <v/>
      </c>
      <c r="O1181" s="39" t="str">
        <f>IF(AND($B1181&gt;='111'!$N$11,$B1181&lt;='111'!$O$11,OR($L1181=$O$7,$M1181=$O$7)),"x","")</f>
        <v/>
      </c>
      <c r="P1181" s="39" t="str">
        <f>IF(AND($L1181=$O$7,$B1181&lt;'111'!$N$11),"x","")</f>
        <v/>
      </c>
      <c r="Q1181" s="39" t="str">
        <f>IF(AND($M1181=$O$7,$B1181&lt;'111'!$N$11),"x","")</f>
        <v/>
      </c>
      <c r="R1181" s="39" t="str">
        <f>IF(ISERROR(FIND('112'!$M$9,G1181,1)),"",IF((AND(FIND('112'!$M$9,G1181,1)&gt;=1,$B1181&gt;='112'!$N$8,$B1181&lt;='112'!$O$8,OR($L1181='112'!$I$6,$M1181='112'!$I$6))),"x",""))</f>
        <v/>
      </c>
      <c r="S1181" s="39" t="str">
        <f>IF(ISERROR(FIND('112'!$M$9,G1181,1)),"",IF((AND(LEFT(G1181,2)=LEFT('112'!$M$9,2),B1181&lt;'112'!$N$8,$L1181='112'!$I$6)),"x",""))</f>
        <v/>
      </c>
      <c r="T1181" s="39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39" t="str">
        <f>IF(OR(TH!L1181=TH!$V$7,M1181=TH!$V$7),"x","")</f>
        <v/>
      </c>
      <c r="W1181" s="39" t="str">
        <f>IF(AND(B1181&gt;='IN-NX'!$P$3,B1181&lt;='IN-NX'!$Q$3,'IN-NX'!$D$7=D1181,OR(LEFT(L1181,2)="15",AND(LEFT(M1181,2)&lt;&gt;"15",LEFT(M1181,2)&lt;&gt;"33"))),"x","")</f>
        <v/>
      </c>
      <c r="X1181" s="39" t="str">
        <f>IF(AND(OR(LEFT(TH!L1181,2)="15",LEFT(TH!M1181,2)="15"),'152-CT'!$J$8=TH!F1181),"x","")</f>
        <v/>
      </c>
      <c r="Y1181" s="39" t="str">
        <f>IF(AND(OR(LEFT(TH!L1181,2)="15",LEFT(TH!M1181,2)="15"),TK!$E$7=TH!F1181),"x","")</f>
        <v/>
      </c>
      <c r="Z1181" s="39" t="str">
        <f>IF(AND(B1181&lt;=NKC!$N$8,B1181&gt;=NKC!$M$8),"x","")</f>
        <v/>
      </c>
      <c r="AA1181" s="894"/>
    </row>
    <row r="1182" spans="1:27" ht="15.75" customHeight="1">
      <c r="A1182" s="199" t="str">
        <f>IF(B1182&lt;&gt;"",IF(AND(B1182&gt;=_TM1,B1182&lt;=_TM2,OR(TH!L1182="1111",TH!M1182="1111")),TH!D1182,""),"")</f>
        <v/>
      </c>
      <c r="B1182" s="36" t="str">
        <f t="shared" si="44"/>
        <v/>
      </c>
      <c r="C1182" s="37"/>
      <c r="D1182" s="37"/>
      <c r="E1182" s="37"/>
      <c r="F1182" s="40"/>
      <c r="G1182" s="40"/>
      <c r="H1182" s="7"/>
      <c r="I1182" s="253"/>
      <c r="J1182" s="253"/>
      <c r="K1182" s="606"/>
      <c r="L1182" s="39"/>
      <c r="M1182" s="39"/>
      <c r="N1182" s="39" t="str">
        <f>IF(AND('331-CT'!$E$7=TH!H1182,OR(L1182="331",M1182="331")),"331",IF(AND(OR(L1182="131",M1182="131"),H1182='131-CT'!$E$7),"131",""))</f>
        <v/>
      </c>
      <c r="O1182" s="39" t="str">
        <f>IF(AND($B1182&gt;='111'!$N$11,$B1182&lt;='111'!$O$11,OR($L1182=$O$7,$M1182=$O$7)),"x","")</f>
        <v/>
      </c>
      <c r="P1182" s="39" t="str">
        <f>IF(AND($L1182=$O$7,$B1182&lt;'111'!$N$11),"x","")</f>
        <v/>
      </c>
      <c r="Q1182" s="39" t="str">
        <f>IF(AND($M1182=$O$7,$B1182&lt;'111'!$N$11),"x","")</f>
        <v/>
      </c>
      <c r="R1182" s="39" t="str">
        <f>IF(ISERROR(FIND('112'!$M$9,G1182,1)),"",IF((AND(FIND('112'!$M$9,G1182,1)&gt;=1,$B1182&gt;='112'!$N$8,$B1182&lt;='112'!$O$8,OR($L1182='112'!$I$6,$M1182='112'!$I$6))),"x",""))</f>
        <v/>
      </c>
      <c r="S1182" s="39" t="str">
        <f>IF(ISERROR(FIND('112'!$M$9,G1182,1)),"",IF((AND(LEFT(G1182,2)=LEFT('112'!$M$9,2),B1182&lt;'112'!$N$8,$L1182='112'!$I$6)),"x",""))</f>
        <v/>
      </c>
      <c r="T1182" s="39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39" t="str">
        <f>IF(OR(TH!L1182=TH!$V$7,M1182=TH!$V$7),"x","")</f>
        <v/>
      </c>
      <c r="W1182" s="39" t="str">
        <f>IF(AND(B1182&gt;='IN-NX'!$P$3,B1182&lt;='IN-NX'!$Q$3,'IN-NX'!$D$7=D1182,OR(LEFT(L1182,2)="15",AND(LEFT(M1182,2)&lt;&gt;"15",LEFT(M1182,2)&lt;&gt;"33"))),"x","")</f>
        <v/>
      </c>
      <c r="X1182" s="39" t="str">
        <f>IF(AND(OR(LEFT(TH!L1182,2)="15",LEFT(TH!M1182,2)="15"),'152-CT'!$J$8=TH!F1182),"x","")</f>
        <v/>
      </c>
      <c r="Y1182" s="39" t="str">
        <f>IF(AND(OR(LEFT(TH!L1182,2)="15",LEFT(TH!M1182,2)="15"),TK!$E$7=TH!F1182),"x","")</f>
        <v/>
      </c>
      <c r="Z1182" s="39" t="str">
        <f>IF(AND(B1182&lt;=NKC!$N$8,B1182&gt;=NKC!$M$8),"x","")</f>
        <v/>
      </c>
      <c r="AA1182" s="894"/>
    </row>
    <row r="1183" spans="1:27" ht="15.75" customHeight="1">
      <c r="A1183" s="199" t="str">
        <f>IF(B1183&lt;&gt;"",IF(AND(B1183&gt;=_TM1,B1183&lt;=_TM2,OR(TH!L1183="1111",TH!M1183="1111")),TH!D1183,""),"")</f>
        <v/>
      </c>
      <c r="B1183" s="36" t="str">
        <f t="shared" si="44"/>
        <v/>
      </c>
      <c r="C1183" s="37"/>
      <c r="D1183" s="37"/>
      <c r="E1183" s="37"/>
      <c r="F1183" s="40"/>
      <c r="G1183" s="40"/>
      <c r="H1183" s="7"/>
      <c r="I1183" s="253"/>
      <c r="J1183" s="253"/>
      <c r="K1183" s="606"/>
      <c r="L1183" s="39"/>
      <c r="M1183" s="39"/>
      <c r="N1183" s="39" t="str">
        <f>IF(AND('331-CT'!$E$7=TH!H1183,OR(L1183="331",M1183="331")),"331",IF(AND(OR(L1183="131",M1183="131"),H1183='131-CT'!$E$7),"131",""))</f>
        <v/>
      </c>
      <c r="O1183" s="39" t="str">
        <f>IF(AND($B1183&gt;='111'!$N$11,$B1183&lt;='111'!$O$11,OR($L1183=$O$7,$M1183=$O$7)),"x","")</f>
        <v/>
      </c>
      <c r="P1183" s="39" t="str">
        <f>IF(AND($L1183=$O$7,$B1183&lt;'111'!$N$11),"x","")</f>
        <v/>
      </c>
      <c r="Q1183" s="39" t="str">
        <f>IF(AND($M1183=$O$7,$B1183&lt;'111'!$N$11),"x","")</f>
        <v/>
      </c>
      <c r="R1183" s="39" t="str">
        <f>IF(ISERROR(FIND('112'!$M$9,G1183,1)),"",IF((AND(FIND('112'!$M$9,G1183,1)&gt;=1,$B1183&gt;='112'!$N$8,$B1183&lt;='112'!$O$8,OR($L1183='112'!$I$6,$M1183='112'!$I$6))),"x",""))</f>
        <v/>
      </c>
      <c r="S1183" s="39" t="str">
        <f>IF(ISERROR(FIND('112'!$M$9,G1183,1)),"",IF((AND(LEFT(G1183,2)=LEFT('112'!$M$9,2),B1183&lt;'112'!$N$8,$L1183='112'!$I$6)),"x",""))</f>
        <v/>
      </c>
      <c r="T1183" s="39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39" t="str">
        <f>IF(OR(TH!L1183=TH!$V$7,M1183=TH!$V$7),"x","")</f>
        <v/>
      </c>
      <c r="W1183" s="39" t="str">
        <f>IF(AND(B1183&gt;='IN-NX'!$P$3,B1183&lt;='IN-NX'!$Q$3,'IN-NX'!$D$7=D1183,OR(LEFT(L1183,2)="15",AND(LEFT(M1183,2)&lt;&gt;"15",LEFT(M1183,2)&lt;&gt;"33"))),"x","")</f>
        <v/>
      </c>
      <c r="X1183" s="39" t="str">
        <f>IF(AND(OR(LEFT(TH!L1183,2)="15",LEFT(TH!M1183,2)="15"),'152-CT'!$J$8=TH!F1183),"x","")</f>
        <v/>
      </c>
      <c r="Y1183" s="39" t="str">
        <f>IF(AND(OR(LEFT(TH!L1183,2)="15",LEFT(TH!M1183,2)="15"),TK!$E$7=TH!F1183),"x","")</f>
        <v/>
      </c>
      <c r="Z1183" s="39" t="str">
        <f>IF(AND(B1183&lt;=NKC!$N$8,B1183&gt;=NKC!$M$8),"x","")</f>
        <v/>
      </c>
      <c r="AA1183" s="894"/>
    </row>
    <row r="1184" spans="1:27" ht="15.75" customHeight="1">
      <c r="A1184" s="199" t="str">
        <f>IF(B1184&lt;&gt;"",IF(AND(B1184&gt;=_TM1,B1184&lt;=_TM2,OR(TH!L1184="1111",TH!M1184="1111")),TH!D1184,""),"")</f>
        <v/>
      </c>
      <c r="B1184" s="36" t="str">
        <f t="shared" si="44"/>
        <v/>
      </c>
      <c r="C1184" s="37"/>
      <c r="D1184" s="37"/>
      <c r="E1184" s="37"/>
      <c r="F1184" s="40"/>
      <c r="G1184" s="40"/>
      <c r="H1184" s="7"/>
      <c r="I1184" s="253"/>
      <c r="J1184" s="253"/>
      <c r="K1184" s="606"/>
      <c r="L1184" s="39"/>
      <c r="M1184" s="39"/>
      <c r="N1184" s="39" t="str">
        <f>IF(AND('331-CT'!$E$7=TH!H1184,OR(L1184="331",M1184="331")),"331",IF(AND(OR(L1184="131",M1184="131"),H1184='131-CT'!$E$7),"131",""))</f>
        <v/>
      </c>
      <c r="O1184" s="39" t="str">
        <f>IF(AND($B1184&gt;='111'!$N$11,$B1184&lt;='111'!$O$11,OR($L1184=$O$7,$M1184=$O$7)),"x","")</f>
        <v/>
      </c>
      <c r="P1184" s="39" t="str">
        <f>IF(AND($L1184=$O$7,$B1184&lt;'111'!$N$11),"x","")</f>
        <v/>
      </c>
      <c r="Q1184" s="39" t="str">
        <f>IF(AND($M1184=$O$7,$B1184&lt;'111'!$N$11),"x","")</f>
        <v/>
      </c>
      <c r="R1184" s="39" t="str">
        <f>IF(ISERROR(FIND('112'!$M$9,G1184,1)),"",IF((AND(FIND('112'!$M$9,G1184,1)&gt;=1,$B1184&gt;='112'!$N$8,$B1184&lt;='112'!$O$8,OR($L1184='112'!$I$6,$M1184='112'!$I$6))),"x",""))</f>
        <v/>
      </c>
      <c r="S1184" s="39" t="str">
        <f>IF(ISERROR(FIND('112'!$M$9,G1184,1)),"",IF((AND(LEFT(G1184,2)=LEFT('112'!$M$9,2),B1184&lt;'112'!$N$8,$L1184='112'!$I$6)),"x",""))</f>
        <v/>
      </c>
      <c r="T1184" s="39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39" t="str">
        <f>IF(OR(TH!L1184=TH!$V$7,M1184=TH!$V$7),"x","")</f>
        <v/>
      </c>
      <c r="W1184" s="39" t="str">
        <f>IF(AND(B1184&gt;='IN-NX'!$P$3,B1184&lt;='IN-NX'!$Q$3,'IN-NX'!$D$7=D1184,OR(LEFT(L1184,2)="15",AND(LEFT(M1184,2)&lt;&gt;"15",LEFT(M1184,2)&lt;&gt;"33"))),"x","")</f>
        <v/>
      </c>
      <c r="X1184" s="39" t="str">
        <f>IF(AND(OR(LEFT(TH!L1184,2)="15",LEFT(TH!M1184,2)="15"),'152-CT'!$J$8=TH!F1184),"x","")</f>
        <v/>
      </c>
      <c r="Y1184" s="39" t="str">
        <f>IF(AND(OR(LEFT(TH!L1184,2)="15",LEFT(TH!M1184,2)="15"),TK!$E$7=TH!F1184),"x","")</f>
        <v/>
      </c>
      <c r="Z1184" s="39" t="str">
        <f>IF(AND(B1184&lt;=NKC!$N$8,B1184&gt;=NKC!$M$8),"x","")</f>
        <v/>
      </c>
      <c r="AA1184" s="894"/>
    </row>
    <row r="1185" spans="1:27" ht="15.75" customHeight="1">
      <c r="A1185" s="199" t="str">
        <f>IF(B1185&lt;&gt;"",IF(AND(B1185&gt;=_TM1,B1185&lt;=_TM2,OR(TH!L1185="1111",TH!M1185="1111")),TH!D1185,""),"")</f>
        <v/>
      </c>
      <c r="B1185" s="36" t="str">
        <f t="shared" si="44"/>
        <v/>
      </c>
      <c r="C1185" s="37"/>
      <c r="D1185" s="37"/>
      <c r="E1185" s="37"/>
      <c r="F1185" s="40"/>
      <c r="G1185" s="40"/>
      <c r="H1185" s="7"/>
      <c r="I1185" s="253"/>
      <c r="J1185" s="253"/>
      <c r="K1185" s="606"/>
      <c r="L1185" s="39"/>
      <c r="M1185" s="39"/>
      <c r="N1185" s="39" t="str">
        <f>IF(AND('331-CT'!$E$7=TH!H1185,OR(L1185="331",M1185="331")),"331",IF(AND(OR(L1185="131",M1185="131"),H1185='131-CT'!$E$7),"131",""))</f>
        <v/>
      </c>
      <c r="O1185" s="39" t="str">
        <f>IF(AND($B1185&gt;='111'!$N$11,$B1185&lt;='111'!$O$11,OR($L1185=$O$7,$M1185=$O$7)),"x","")</f>
        <v/>
      </c>
      <c r="P1185" s="39" t="str">
        <f>IF(AND($L1185=$O$7,$B1185&lt;'111'!$N$11),"x","")</f>
        <v/>
      </c>
      <c r="Q1185" s="39" t="str">
        <f>IF(AND($M1185=$O$7,$B1185&lt;'111'!$N$11),"x","")</f>
        <v/>
      </c>
      <c r="R1185" s="39" t="str">
        <f>IF(ISERROR(FIND('112'!$M$9,G1185,1)),"",IF((AND(FIND('112'!$M$9,G1185,1)&gt;=1,$B1185&gt;='112'!$N$8,$B1185&lt;='112'!$O$8,OR($L1185='112'!$I$6,$M1185='112'!$I$6))),"x",""))</f>
        <v/>
      </c>
      <c r="S1185" s="39" t="str">
        <f>IF(ISERROR(FIND('112'!$M$9,G1185,1)),"",IF((AND(LEFT(G1185,2)=LEFT('112'!$M$9,2),B1185&lt;'112'!$N$8,$L1185='112'!$I$6)),"x",""))</f>
        <v/>
      </c>
      <c r="T1185" s="39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39" t="str">
        <f>IF(OR(TH!L1185=TH!$V$7,M1185=TH!$V$7),"x","")</f>
        <v/>
      </c>
      <c r="W1185" s="39" t="str">
        <f>IF(AND(B1185&gt;='IN-NX'!$P$3,B1185&lt;='IN-NX'!$Q$3,'IN-NX'!$D$7=D1185,OR(LEFT(L1185,2)="15",AND(LEFT(M1185,2)&lt;&gt;"15",LEFT(M1185,2)&lt;&gt;"33"))),"x","")</f>
        <v/>
      </c>
      <c r="X1185" s="39" t="str">
        <f>IF(AND(OR(LEFT(TH!L1185,2)="15",LEFT(TH!M1185,2)="15"),'152-CT'!$J$8=TH!F1185),"x","")</f>
        <v/>
      </c>
      <c r="Y1185" s="39" t="str">
        <f>IF(AND(OR(LEFT(TH!L1185,2)="15",LEFT(TH!M1185,2)="15"),TK!$E$7=TH!F1185),"x","")</f>
        <v/>
      </c>
      <c r="Z1185" s="39" t="str">
        <f>IF(AND(B1185&lt;=NKC!$N$8,B1185&gt;=NKC!$M$8),"x","")</f>
        <v/>
      </c>
      <c r="AA1185" s="894"/>
    </row>
    <row r="1186" spans="1:27" ht="15.75" customHeight="1">
      <c r="A1186" s="199" t="str">
        <f>IF(B1186&lt;&gt;"",IF(AND(B1186&gt;=_TM1,B1186&lt;=_TM2,OR(TH!L1186="1111",TH!M1186="1111")),TH!D1186,""),"")</f>
        <v/>
      </c>
      <c r="B1186" s="36" t="str">
        <f t="shared" si="44"/>
        <v/>
      </c>
      <c r="C1186" s="37"/>
      <c r="D1186" s="37"/>
      <c r="E1186" s="37"/>
      <c r="F1186" s="40"/>
      <c r="G1186" s="40"/>
      <c r="H1186" s="7"/>
      <c r="I1186" s="253"/>
      <c r="J1186" s="253"/>
      <c r="K1186" s="606"/>
      <c r="L1186" s="39"/>
      <c r="M1186" s="39"/>
      <c r="N1186" s="39" t="str">
        <f>IF(AND('331-CT'!$E$7=TH!H1186,OR(L1186="331",M1186="331")),"331",IF(AND(OR(L1186="131",M1186="131"),H1186='131-CT'!$E$7),"131",""))</f>
        <v/>
      </c>
      <c r="O1186" s="39" t="str">
        <f>IF(AND($B1186&gt;='111'!$N$11,$B1186&lt;='111'!$O$11,OR($L1186=$O$7,$M1186=$O$7)),"x","")</f>
        <v/>
      </c>
      <c r="P1186" s="39" t="str">
        <f>IF(AND($L1186=$O$7,$B1186&lt;'111'!$N$11),"x","")</f>
        <v/>
      </c>
      <c r="Q1186" s="39" t="str">
        <f>IF(AND($M1186=$O$7,$B1186&lt;'111'!$N$11),"x","")</f>
        <v/>
      </c>
      <c r="R1186" s="39" t="str">
        <f>IF(ISERROR(FIND('112'!$M$9,G1186,1)),"",IF((AND(FIND('112'!$M$9,G1186,1)&gt;=1,$B1186&gt;='112'!$N$8,$B1186&lt;='112'!$O$8,OR($L1186='112'!$I$6,$M1186='112'!$I$6))),"x",""))</f>
        <v/>
      </c>
      <c r="S1186" s="39" t="str">
        <f>IF(ISERROR(FIND('112'!$M$9,G1186,1)),"",IF((AND(LEFT(G1186,2)=LEFT('112'!$M$9,2),B1186&lt;'112'!$N$8,$L1186='112'!$I$6)),"x",""))</f>
        <v/>
      </c>
      <c r="T1186" s="39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39" t="str">
        <f>IF(OR(TH!L1186=TH!$V$7,M1186=TH!$V$7),"x","")</f>
        <v/>
      </c>
      <c r="W1186" s="39" t="str">
        <f>IF(AND(B1186&gt;='IN-NX'!$P$3,B1186&lt;='IN-NX'!$Q$3,'IN-NX'!$D$7=D1186,OR(LEFT(L1186,2)="15",AND(LEFT(M1186,2)&lt;&gt;"15",LEFT(M1186,2)&lt;&gt;"33"))),"x","")</f>
        <v/>
      </c>
      <c r="X1186" s="39" t="str">
        <f>IF(AND(OR(LEFT(TH!L1186,2)="15",LEFT(TH!M1186,2)="15"),'152-CT'!$J$8=TH!F1186),"x","")</f>
        <v/>
      </c>
      <c r="Y1186" s="39" t="str">
        <f>IF(AND(OR(LEFT(TH!L1186,2)="15",LEFT(TH!M1186,2)="15"),TK!$E$7=TH!F1186),"x","")</f>
        <v/>
      </c>
      <c r="Z1186" s="39" t="str">
        <f>IF(AND(B1186&lt;=NKC!$N$8,B1186&gt;=NKC!$M$8),"x","")</f>
        <v/>
      </c>
      <c r="AA1186" s="894"/>
    </row>
    <row r="1187" spans="1:27" ht="15.75" customHeight="1">
      <c r="A1187" s="199" t="str">
        <f>IF(B1187&lt;&gt;"",IF(AND(B1187&gt;=_TM1,B1187&lt;=_TM2,OR(TH!L1187="1111",TH!M1187="1111")),TH!D1187,""),"")</f>
        <v/>
      </c>
      <c r="B1187" s="36" t="str">
        <f t="shared" si="44"/>
        <v/>
      </c>
      <c r="C1187" s="37"/>
      <c r="D1187" s="37"/>
      <c r="E1187" s="37"/>
      <c r="F1187" s="40"/>
      <c r="G1187" s="40"/>
      <c r="H1187" s="7"/>
      <c r="I1187" s="253"/>
      <c r="J1187" s="253"/>
      <c r="K1187" s="606"/>
      <c r="L1187" s="39"/>
      <c r="M1187" s="39"/>
      <c r="N1187" s="39" t="str">
        <f>IF(AND('331-CT'!$E$7=TH!H1187,OR(L1187="331",M1187="331")),"331",IF(AND(OR(L1187="131",M1187="131"),H1187='131-CT'!$E$7),"131",""))</f>
        <v/>
      </c>
      <c r="O1187" s="39" t="str">
        <f>IF(AND($B1187&gt;='111'!$N$11,$B1187&lt;='111'!$O$11,OR($L1187=$O$7,$M1187=$O$7)),"x","")</f>
        <v/>
      </c>
      <c r="P1187" s="39" t="str">
        <f>IF(AND($L1187=$O$7,$B1187&lt;'111'!$N$11),"x","")</f>
        <v/>
      </c>
      <c r="Q1187" s="39" t="str">
        <f>IF(AND($M1187=$O$7,$B1187&lt;'111'!$N$11),"x","")</f>
        <v/>
      </c>
      <c r="R1187" s="39" t="str">
        <f>IF(ISERROR(FIND('112'!$M$9,G1187,1)),"",IF((AND(FIND('112'!$M$9,G1187,1)&gt;=1,$B1187&gt;='112'!$N$8,$B1187&lt;='112'!$O$8,OR($L1187='112'!$I$6,$M1187='112'!$I$6))),"x",""))</f>
        <v/>
      </c>
      <c r="S1187" s="39" t="str">
        <f>IF(ISERROR(FIND('112'!$M$9,G1187,1)),"",IF((AND(LEFT(G1187,2)=LEFT('112'!$M$9,2),B1187&lt;'112'!$N$8,$L1187='112'!$I$6)),"x",""))</f>
        <v/>
      </c>
      <c r="T1187" s="39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39" t="str">
        <f>IF(OR(TH!L1187=TH!$V$7,M1187=TH!$V$7),"x","")</f>
        <v/>
      </c>
      <c r="W1187" s="39" t="str">
        <f>IF(AND(B1187&gt;='IN-NX'!$P$3,B1187&lt;='IN-NX'!$Q$3,'IN-NX'!$D$7=D1187,OR(LEFT(L1187,2)="15",AND(LEFT(M1187,2)&lt;&gt;"15",LEFT(M1187,2)&lt;&gt;"33"))),"x","")</f>
        <v/>
      </c>
      <c r="X1187" s="39" t="str">
        <f>IF(AND(OR(LEFT(TH!L1187,2)="15",LEFT(TH!M1187,2)="15"),'152-CT'!$J$8=TH!F1187),"x","")</f>
        <v/>
      </c>
      <c r="Y1187" s="39" t="str">
        <f>IF(AND(OR(LEFT(TH!L1187,2)="15",LEFT(TH!M1187,2)="15"),TK!$E$7=TH!F1187),"x","")</f>
        <v/>
      </c>
      <c r="Z1187" s="39" t="str">
        <f>IF(AND(B1187&lt;=NKC!$N$8,B1187&gt;=NKC!$M$8),"x","")</f>
        <v/>
      </c>
      <c r="AA1187" s="894"/>
    </row>
    <row r="1188" spans="1:27" ht="15.75" customHeight="1">
      <c r="A1188" s="199" t="str">
        <f>IF(B1188&lt;&gt;"",IF(AND(B1188&gt;=_TM1,B1188&lt;=_TM2,OR(TH!L1188="1111",TH!M1188="1111")),TH!D1188,""),"")</f>
        <v/>
      </c>
      <c r="B1188" s="36" t="str">
        <f t="shared" si="44"/>
        <v/>
      </c>
      <c r="C1188" s="37"/>
      <c r="D1188" s="37"/>
      <c r="E1188" s="37"/>
      <c r="F1188" s="191"/>
      <c r="G1188" s="40"/>
      <c r="H1188" s="7"/>
      <c r="I1188" s="253"/>
      <c r="J1188" s="253"/>
      <c r="K1188" s="606"/>
      <c r="L1188" s="39"/>
      <c r="M1188" s="39"/>
      <c r="N1188" s="39" t="str">
        <f>IF(AND('331-CT'!$E$7=TH!H1188,OR(L1188="331",M1188="331")),"331",IF(AND(OR(L1188="131",M1188="131"),H1188='131-CT'!$E$7),"131",""))</f>
        <v/>
      </c>
      <c r="O1188" s="39" t="str">
        <f>IF(AND($B1188&gt;='111'!$N$11,$B1188&lt;='111'!$O$11,OR($L1188=$O$7,$M1188=$O$7)),"x","")</f>
        <v/>
      </c>
      <c r="P1188" s="39" t="str">
        <f>IF(AND($L1188=$O$7,$B1188&lt;'111'!$N$11),"x","")</f>
        <v/>
      </c>
      <c r="Q1188" s="39" t="str">
        <f>IF(AND($M1188=$O$7,$B1188&lt;'111'!$N$11),"x","")</f>
        <v/>
      </c>
      <c r="R1188" s="39" t="str">
        <f>IF(ISERROR(FIND('112'!$M$9,G1188,1)),"",IF((AND(FIND('112'!$M$9,G1188,1)&gt;=1,$B1188&gt;='112'!$N$8,$B1188&lt;='112'!$O$8,OR($L1188='112'!$I$6,$M1188='112'!$I$6))),"x",""))</f>
        <v/>
      </c>
      <c r="S1188" s="39" t="str">
        <f>IF(ISERROR(FIND('112'!$M$9,G1188,1)),"",IF((AND(LEFT(G1188,2)=LEFT('112'!$M$9,2),B1188&lt;'112'!$N$8,$L1188='112'!$I$6)),"x",""))</f>
        <v/>
      </c>
      <c r="T1188" s="39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39" t="str">
        <f>IF(OR(TH!L1188=TH!$V$7,M1188=TH!$V$7),"x","")</f>
        <v/>
      </c>
      <c r="W1188" s="39" t="str">
        <f>IF(AND(B1188&gt;='IN-NX'!$P$3,B1188&lt;='IN-NX'!$Q$3,'IN-NX'!$D$7=D1188,OR(LEFT(L1188,2)="15",AND(LEFT(M1188,2)&lt;&gt;"15",LEFT(M1188,2)&lt;&gt;"33"))),"x","")</f>
        <v/>
      </c>
      <c r="X1188" s="39" t="str">
        <f>IF(AND(OR(LEFT(TH!L1188,2)="15",LEFT(TH!M1188,2)="15"),'152-CT'!$J$8=TH!F1188),"x","")</f>
        <v/>
      </c>
      <c r="Y1188" s="39" t="str">
        <f>IF(AND(OR(LEFT(TH!L1188,2)="15",LEFT(TH!M1188,2)="15"),TK!$E$7=TH!F1188),"x","")</f>
        <v/>
      </c>
      <c r="Z1188" s="39" t="str">
        <f>IF(AND(B1188&lt;=NKC!$N$8,B1188&gt;=NKC!$M$8),"x","")</f>
        <v/>
      </c>
      <c r="AA1188" s="894"/>
    </row>
    <row r="1189" spans="1:27" ht="15.75" customHeight="1">
      <c r="A1189" s="199" t="str">
        <f>IF(B1189&lt;&gt;"",IF(AND(B1189&gt;=_TM1,B1189&lt;=_TM2,OR(TH!L1189="1111",TH!M1189="1111")),TH!D1189,""),"")</f>
        <v/>
      </c>
      <c r="B1189" s="36" t="str">
        <f t="shared" si="44"/>
        <v/>
      </c>
      <c r="C1189" s="37"/>
      <c r="D1189" s="37"/>
      <c r="E1189" s="37"/>
      <c r="F1189" s="191"/>
      <c r="G1189" s="40"/>
      <c r="H1189" s="7"/>
      <c r="I1189" s="253"/>
      <c r="J1189" s="253"/>
      <c r="K1189" s="606"/>
      <c r="L1189" s="39"/>
      <c r="M1189" s="39"/>
      <c r="N1189" s="39" t="str">
        <f>IF(AND('331-CT'!$E$7=TH!H1189,OR(L1189="331",M1189="331")),"331",IF(AND(OR(L1189="131",M1189="131"),H1189='131-CT'!$E$7),"131",""))</f>
        <v/>
      </c>
      <c r="O1189" s="39" t="str">
        <f>IF(AND($B1189&gt;='111'!$N$11,$B1189&lt;='111'!$O$11,OR($L1189=$O$7,$M1189=$O$7)),"x","")</f>
        <v/>
      </c>
      <c r="P1189" s="39" t="str">
        <f>IF(AND($L1189=$O$7,$B1189&lt;'111'!$N$11),"x","")</f>
        <v/>
      </c>
      <c r="Q1189" s="39" t="str">
        <f>IF(AND($M1189=$O$7,$B1189&lt;'111'!$N$11),"x","")</f>
        <v/>
      </c>
      <c r="R1189" s="39" t="str">
        <f>IF(ISERROR(FIND('112'!$M$9,G1189,1)),"",IF((AND(FIND('112'!$M$9,G1189,1)&gt;=1,$B1189&gt;='112'!$N$8,$B1189&lt;='112'!$O$8,OR($L1189='112'!$I$6,$M1189='112'!$I$6))),"x",""))</f>
        <v/>
      </c>
      <c r="S1189" s="39" t="str">
        <f>IF(ISERROR(FIND('112'!$M$9,G1189,1)),"",IF((AND(LEFT(G1189,2)=LEFT('112'!$M$9,2),B1189&lt;'112'!$N$8,$L1189='112'!$I$6)),"x",""))</f>
        <v/>
      </c>
      <c r="T1189" s="39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39" t="str">
        <f>IF(OR(TH!L1189=TH!$V$7,M1189=TH!$V$7),"x","")</f>
        <v/>
      </c>
      <c r="W1189" s="39" t="str">
        <f>IF(AND(B1189&gt;='IN-NX'!$P$3,B1189&lt;='IN-NX'!$Q$3,'IN-NX'!$D$7=D1189,OR(LEFT(L1189,2)="15",AND(LEFT(M1189,2)&lt;&gt;"15",LEFT(M1189,2)&lt;&gt;"33"))),"x","")</f>
        <v/>
      </c>
      <c r="X1189" s="39" t="str">
        <f>IF(AND(OR(LEFT(TH!L1189,2)="15",LEFT(TH!M1189,2)="15"),'152-CT'!$J$8=TH!F1189),"x","")</f>
        <v/>
      </c>
      <c r="Y1189" s="39" t="str">
        <f>IF(AND(OR(LEFT(TH!L1189,2)="15",LEFT(TH!M1189,2)="15"),TK!$E$7=TH!F1189),"x","")</f>
        <v/>
      </c>
      <c r="Z1189" s="39" t="str">
        <f>IF(AND(B1189&lt;=NKC!$N$8,B1189&gt;=NKC!$M$8),"x","")</f>
        <v/>
      </c>
      <c r="AA1189" s="894"/>
    </row>
    <row r="1190" spans="1:27" ht="15.75" customHeight="1">
      <c r="A1190" s="199" t="str">
        <f>IF(B1190&lt;&gt;"",IF(AND(B1190&gt;=_TM1,B1190&lt;=_TM2,OR(TH!L1190="1111",TH!M1190="1111")),TH!D1190,""),"")</f>
        <v/>
      </c>
      <c r="B1190" s="36" t="str">
        <f t="shared" si="44"/>
        <v/>
      </c>
      <c r="C1190" s="37"/>
      <c r="D1190" s="37"/>
      <c r="E1190" s="37"/>
      <c r="F1190" s="40"/>
      <c r="G1190" s="40"/>
      <c r="H1190" s="7"/>
      <c r="I1190" s="253"/>
      <c r="J1190" s="253"/>
      <c r="K1190" s="606"/>
      <c r="L1190" s="39"/>
      <c r="M1190" s="39"/>
      <c r="N1190" s="39" t="str">
        <f>IF(AND('331-CT'!$E$7=TH!H1190,OR(L1190="331",M1190="331")),"331",IF(AND(OR(L1190="131",M1190="131"),H1190='131-CT'!$E$7),"131",""))</f>
        <v/>
      </c>
      <c r="O1190" s="39" t="str">
        <f>IF(AND($B1190&gt;='111'!$N$11,$B1190&lt;='111'!$O$11,OR($L1190=$O$7,$M1190=$O$7)),"x","")</f>
        <v/>
      </c>
      <c r="P1190" s="39" t="str">
        <f>IF(AND($L1190=$O$7,$B1190&lt;'111'!$N$11),"x","")</f>
        <v/>
      </c>
      <c r="Q1190" s="39" t="str">
        <f>IF(AND($M1190=$O$7,$B1190&lt;'111'!$N$11),"x","")</f>
        <v/>
      </c>
      <c r="R1190" s="39" t="str">
        <f>IF(ISERROR(FIND('112'!$M$9,G1190,1)),"",IF((AND(FIND('112'!$M$9,G1190,1)&gt;=1,$B1190&gt;='112'!$N$8,$B1190&lt;='112'!$O$8,OR($L1190='112'!$I$6,$M1190='112'!$I$6))),"x",""))</f>
        <v/>
      </c>
      <c r="S1190" s="39" t="str">
        <f>IF(ISERROR(FIND('112'!$M$9,G1190,1)),"",IF((AND(LEFT(G1190,2)=LEFT('112'!$M$9,2),B1190&lt;'112'!$N$8,$L1190='112'!$I$6)),"x",""))</f>
        <v/>
      </c>
      <c r="T1190" s="39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39" t="str">
        <f>IF(OR(TH!L1190=TH!$V$7,M1190=TH!$V$7),"x","")</f>
        <v/>
      </c>
      <c r="W1190" s="39" t="str">
        <f>IF(AND(B1190&gt;='IN-NX'!$P$3,B1190&lt;='IN-NX'!$Q$3,'IN-NX'!$D$7=D1190,OR(LEFT(L1190,2)="15",AND(LEFT(M1190,2)&lt;&gt;"15",LEFT(M1190,2)&lt;&gt;"33"))),"x","")</f>
        <v/>
      </c>
      <c r="X1190" s="39" t="str">
        <f>IF(AND(OR(LEFT(TH!L1190,2)="15",LEFT(TH!M1190,2)="15"),'152-CT'!$J$8=TH!F1190),"x","")</f>
        <v/>
      </c>
      <c r="Y1190" s="39" t="str">
        <f>IF(AND(OR(LEFT(TH!L1190,2)="15",LEFT(TH!M1190,2)="15"),TK!$E$7=TH!F1190),"x","")</f>
        <v/>
      </c>
      <c r="Z1190" s="39" t="str">
        <f>IF(AND(B1190&lt;=NKC!$N$8,B1190&gt;=NKC!$M$8),"x","")</f>
        <v/>
      </c>
      <c r="AA1190" s="894"/>
    </row>
    <row r="1191" spans="1:27" ht="15.75" customHeight="1">
      <c r="A1191" s="199" t="str">
        <f>IF(B1191&lt;&gt;"",IF(AND(B1191&gt;=_TM1,B1191&lt;=_TM2,OR(TH!L1191="1111",TH!M1191="1111")),TH!D1191,""),"")</f>
        <v/>
      </c>
      <c r="B1191" s="36" t="str">
        <f t="shared" si="44"/>
        <v/>
      </c>
      <c r="C1191" s="37"/>
      <c r="D1191" s="37"/>
      <c r="E1191" s="37"/>
      <c r="F1191" s="40"/>
      <c r="G1191" s="40"/>
      <c r="H1191" s="7"/>
      <c r="I1191" s="253"/>
      <c r="J1191" s="253"/>
      <c r="K1191" s="606"/>
      <c r="L1191" s="39"/>
      <c r="M1191" s="39"/>
      <c r="N1191" s="39" t="str">
        <f>IF(AND('331-CT'!$E$7=TH!H1191,OR(L1191="331",M1191="331")),"331",IF(AND(OR(L1191="131",M1191="131"),H1191='131-CT'!$E$7),"131",""))</f>
        <v/>
      </c>
      <c r="O1191" s="39" t="str">
        <f>IF(AND($B1191&gt;='111'!$N$11,$B1191&lt;='111'!$O$11,OR($L1191=$O$7,$M1191=$O$7)),"x","")</f>
        <v/>
      </c>
      <c r="P1191" s="39" t="str">
        <f>IF(AND($L1191=$O$7,$B1191&lt;'111'!$N$11),"x","")</f>
        <v/>
      </c>
      <c r="Q1191" s="39" t="str">
        <f>IF(AND($M1191=$O$7,$B1191&lt;'111'!$N$11),"x","")</f>
        <v/>
      </c>
      <c r="R1191" s="39" t="str">
        <f>IF(ISERROR(FIND('112'!$M$9,G1191,1)),"",IF((AND(FIND('112'!$M$9,G1191,1)&gt;=1,$B1191&gt;='112'!$N$8,$B1191&lt;='112'!$O$8,OR($L1191='112'!$I$6,$M1191='112'!$I$6))),"x",""))</f>
        <v/>
      </c>
      <c r="S1191" s="39" t="str">
        <f>IF(ISERROR(FIND('112'!$M$9,G1191,1)),"",IF((AND(LEFT(G1191,2)=LEFT('112'!$M$9,2),B1191&lt;'112'!$N$8,$L1191='112'!$I$6)),"x",""))</f>
        <v/>
      </c>
      <c r="T1191" s="39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39" t="str">
        <f>IF(OR(TH!L1191=TH!$V$7,M1191=TH!$V$7),"x","")</f>
        <v/>
      </c>
      <c r="W1191" s="39" t="str">
        <f>IF(AND(B1191&gt;='IN-NX'!$P$3,B1191&lt;='IN-NX'!$Q$3,'IN-NX'!$D$7=D1191,OR(LEFT(L1191,2)="15",AND(LEFT(M1191,2)&lt;&gt;"15",LEFT(M1191,2)&lt;&gt;"33"))),"x","")</f>
        <v/>
      </c>
      <c r="X1191" s="39" t="str">
        <f>IF(AND(OR(LEFT(TH!L1191,2)="15",LEFT(TH!M1191,2)="15"),'152-CT'!$J$8=TH!F1191),"x","")</f>
        <v/>
      </c>
      <c r="Y1191" s="39" t="str">
        <f>IF(AND(OR(LEFT(TH!L1191,2)="15",LEFT(TH!M1191,2)="15"),TK!$E$7=TH!F1191),"x","")</f>
        <v/>
      </c>
      <c r="Z1191" s="39" t="str">
        <f>IF(AND(B1191&lt;=NKC!$N$8,B1191&gt;=NKC!$M$8),"x","")</f>
        <v/>
      </c>
      <c r="AA1191" s="894"/>
    </row>
    <row r="1192" spans="1:27" ht="15.75" customHeight="1">
      <c r="A1192" s="199" t="str">
        <f>IF(B1192&lt;&gt;"",IF(AND(B1192&gt;=_TM1,B1192&lt;=_TM2,OR(TH!L1192="1111",TH!M1192="1111")),TH!D1192,""),"")</f>
        <v/>
      </c>
      <c r="B1192" s="36" t="str">
        <f t="shared" si="44"/>
        <v/>
      </c>
      <c r="C1192" s="37"/>
      <c r="D1192" s="37"/>
      <c r="E1192" s="37"/>
      <c r="F1192" s="40"/>
      <c r="G1192" s="40"/>
      <c r="H1192" s="7"/>
      <c r="I1192" s="253"/>
      <c r="J1192" s="253"/>
      <c r="K1192" s="606"/>
      <c r="L1192" s="39"/>
      <c r="M1192" s="39"/>
      <c r="N1192" s="39" t="str">
        <f>IF(AND('331-CT'!$E$7=TH!H1192,OR(L1192="331",M1192="331")),"331",IF(AND(OR(L1192="131",M1192="131"),H1192='131-CT'!$E$7),"131",""))</f>
        <v/>
      </c>
      <c r="O1192" s="39" t="str">
        <f>IF(AND($B1192&gt;='111'!$N$11,$B1192&lt;='111'!$O$11,OR($L1192=$O$7,$M1192=$O$7)),"x","")</f>
        <v/>
      </c>
      <c r="P1192" s="39" t="str">
        <f>IF(AND($L1192=$O$7,$B1192&lt;'111'!$N$11),"x","")</f>
        <v/>
      </c>
      <c r="Q1192" s="39" t="str">
        <f>IF(AND($M1192=$O$7,$B1192&lt;'111'!$N$11),"x","")</f>
        <v/>
      </c>
      <c r="R1192" s="39" t="str">
        <f>IF(ISERROR(FIND('112'!$M$9,G1192,1)),"",IF((AND(FIND('112'!$M$9,G1192,1)&gt;=1,$B1192&gt;='112'!$N$8,$B1192&lt;='112'!$O$8,OR($L1192='112'!$I$6,$M1192='112'!$I$6))),"x",""))</f>
        <v/>
      </c>
      <c r="S1192" s="39" t="str">
        <f>IF(ISERROR(FIND('112'!$M$9,G1192,1)),"",IF((AND(LEFT(G1192,2)=LEFT('112'!$M$9,2),B1192&lt;'112'!$N$8,$L1192='112'!$I$6)),"x",""))</f>
        <v/>
      </c>
      <c r="T1192" s="39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39" t="str">
        <f>IF(OR(TH!L1192=TH!$V$7,M1192=TH!$V$7),"x","")</f>
        <v/>
      </c>
      <c r="W1192" s="39" t="str">
        <f>IF(AND(B1192&gt;='IN-NX'!$P$3,B1192&lt;='IN-NX'!$Q$3,'IN-NX'!$D$7=D1192,OR(LEFT(L1192,2)="15",AND(LEFT(M1192,2)&lt;&gt;"15",LEFT(M1192,2)&lt;&gt;"33"))),"x","")</f>
        <v/>
      </c>
      <c r="X1192" s="39" t="str">
        <f>IF(AND(OR(LEFT(TH!L1192,2)="15",LEFT(TH!M1192,2)="15"),'152-CT'!$J$8=TH!F1192),"x","")</f>
        <v/>
      </c>
      <c r="Y1192" s="39" t="str">
        <f>IF(AND(OR(LEFT(TH!L1192,2)="15",LEFT(TH!M1192,2)="15"),TK!$E$7=TH!F1192),"x","")</f>
        <v/>
      </c>
      <c r="Z1192" s="39" t="str">
        <f>IF(AND(B1192&lt;=NKC!$N$8,B1192&gt;=NKC!$M$8),"x","")</f>
        <v/>
      </c>
      <c r="AA1192" s="894"/>
    </row>
    <row r="1193" spans="1:27" ht="15.75" customHeight="1">
      <c r="A1193" s="199" t="str">
        <f>IF(B1193&lt;&gt;"",IF(AND(B1193&gt;=_TM1,B1193&lt;=_TM2,OR(TH!L1193="1111",TH!M1193="1111")),TH!D1193,""),"")</f>
        <v/>
      </c>
      <c r="B1193" s="36" t="str">
        <f t="shared" si="44"/>
        <v/>
      </c>
      <c r="C1193" s="37"/>
      <c r="D1193" s="37"/>
      <c r="E1193" s="37"/>
      <c r="F1193" s="40"/>
      <c r="G1193" s="40"/>
      <c r="H1193" s="7"/>
      <c r="I1193" s="253"/>
      <c r="J1193" s="253"/>
      <c r="K1193" s="606"/>
      <c r="L1193" s="39"/>
      <c r="M1193" s="39"/>
      <c r="N1193" s="39" t="str">
        <f>IF(AND('331-CT'!$E$7=TH!H1193,OR(L1193="331",M1193="331")),"331",IF(AND(OR(L1193="131",M1193="131"),H1193='131-CT'!$E$7),"131",""))</f>
        <v/>
      </c>
      <c r="O1193" s="39" t="str">
        <f>IF(AND($B1193&gt;='111'!$N$11,$B1193&lt;='111'!$O$11,OR($L1193=$O$7,$M1193=$O$7)),"x","")</f>
        <v/>
      </c>
      <c r="P1193" s="39" t="str">
        <f>IF(AND($L1193=$O$7,$B1193&lt;'111'!$N$11),"x","")</f>
        <v/>
      </c>
      <c r="Q1193" s="39" t="str">
        <f>IF(AND($M1193=$O$7,$B1193&lt;'111'!$N$11),"x","")</f>
        <v/>
      </c>
      <c r="R1193" s="39" t="str">
        <f>IF(ISERROR(FIND('112'!$M$9,G1193,1)),"",IF((AND(FIND('112'!$M$9,G1193,1)&gt;=1,$B1193&gt;='112'!$N$8,$B1193&lt;='112'!$O$8,OR($L1193='112'!$I$6,$M1193='112'!$I$6))),"x",""))</f>
        <v/>
      </c>
      <c r="S1193" s="39" t="str">
        <f>IF(ISERROR(FIND('112'!$M$9,G1193,1)),"",IF((AND(LEFT(G1193,2)=LEFT('112'!$M$9,2),B1193&lt;'112'!$N$8,$L1193='112'!$I$6)),"x",""))</f>
        <v/>
      </c>
      <c r="T1193" s="39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39" t="str">
        <f>IF(OR(TH!L1193=TH!$V$7,M1193=TH!$V$7),"x","")</f>
        <v/>
      </c>
      <c r="W1193" s="39" t="str">
        <f>IF(AND(B1193&gt;='IN-NX'!$P$3,B1193&lt;='IN-NX'!$Q$3,'IN-NX'!$D$7=D1193,OR(LEFT(L1193,2)="15",AND(LEFT(M1193,2)&lt;&gt;"15",LEFT(M1193,2)&lt;&gt;"33"))),"x","")</f>
        <v/>
      </c>
      <c r="X1193" s="39" t="str">
        <f>IF(AND(OR(LEFT(TH!L1193,2)="15",LEFT(TH!M1193,2)="15"),'152-CT'!$J$8=TH!F1193),"x","")</f>
        <v/>
      </c>
      <c r="Y1193" s="39" t="str">
        <f>IF(AND(OR(LEFT(TH!L1193,2)="15",LEFT(TH!M1193,2)="15"),TK!$E$7=TH!F1193),"x","")</f>
        <v/>
      </c>
      <c r="Z1193" s="39" t="str">
        <f>IF(AND(B1193&lt;=NKC!$N$8,B1193&gt;=NKC!$M$8),"x","")</f>
        <v/>
      </c>
      <c r="AA1193" s="894"/>
    </row>
    <row r="1194" spans="1:27" ht="15.75" customHeight="1">
      <c r="A1194" s="199" t="str">
        <f>IF(B1194&lt;&gt;"",IF(AND(B1194&gt;=_TM1,B1194&lt;=_TM2,OR(TH!L1194="1111",TH!M1194="1111")),TH!D1194,""),"")</f>
        <v/>
      </c>
      <c r="B1194" s="36" t="str">
        <f t="shared" si="44"/>
        <v/>
      </c>
      <c r="C1194" s="37"/>
      <c r="D1194" s="37"/>
      <c r="E1194" s="37"/>
      <c r="F1194" s="40"/>
      <c r="G1194" s="40"/>
      <c r="H1194" s="7"/>
      <c r="I1194" s="253"/>
      <c r="J1194" s="253"/>
      <c r="K1194" s="606"/>
      <c r="L1194" s="39"/>
      <c r="M1194" s="39"/>
      <c r="N1194" s="39" t="str">
        <f>IF(AND('331-CT'!$E$7=TH!H1194,OR(L1194="331",M1194="331")),"331",IF(AND(OR(L1194="131",M1194="131"),H1194='131-CT'!$E$7),"131",""))</f>
        <v/>
      </c>
      <c r="O1194" s="39" t="str">
        <f>IF(AND($B1194&gt;='111'!$N$11,$B1194&lt;='111'!$O$11,OR($L1194=$O$7,$M1194=$O$7)),"x","")</f>
        <v/>
      </c>
      <c r="P1194" s="39" t="str">
        <f>IF(AND($L1194=$O$7,$B1194&lt;'111'!$N$11),"x","")</f>
        <v/>
      </c>
      <c r="Q1194" s="39" t="str">
        <f>IF(AND($M1194=$O$7,$B1194&lt;'111'!$N$11),"x","")</f>
        <v/>
      </c>
      <c r="R1194" s="39" t="str">
        <f>IF(ISERROR(FIND('112'!$M$9,G1194,1)),"",IF((AND(FIND('112'!$M$9,G1194,1)&gt;=1,$B1194&gt;='112'!$N$8,$B1194&lt;='112'!$O$8,OR($L1194='112'!$I$6,$M1194='112'!$I$6))),"x",""))</f>
        <v/>
      </c>
      <c r="S1194" s="39" t="str">
        <f>IF(ISERROR(FIND('112'!$M$9,G1194,1)),"",IF((AND(LEFT(G1194,2)=LEFT('112'!$M$9,2),B1194&lt;'112'!$N$8,$L1194='112'!$I$6)),"x",""))</f>
        <v/>
      </c>
      <c r="T1194" s="39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39" t="str">
        <f>IF(OR(TH!L1194=TH!$V$7,M1194=TH!$V$7),"x","")</f>
        <v/>
      </c>
      <c r="W1194" s="39" t="str">
        <f>IF(AND(B1194&gt;='IN-NX'!$P$3,B1194&lt;='IN-NX'!$Q$3,'IN-NX'!$D$7=D1194,OR(LEFT(L1194,2)="15",AND(LEFT(M1194,2)&lt;&gt;"15",LEFT(M1194,2)&lt;&gt;"33"))),"x","")</f>
        <v/>
      </c>
      <c r="X1194" s="39" t="str">
        <f>IF(AND(OR(LEFT(TH!L1194,2)="15",LEFT(TH!M1194,2)="15"),'152-CT'!$J$8=TH!F1194),"x","")</f>
        <v/>
      </c>
      <c r="Y1194" s="39" t="str">
        <f>IF(AND(OR(LEFT(TH!L1194,2)="15",LEFT(TH!M1194,2)="15"),TK!$E$7=TH!F1194),"x","")</f>
        <v/>
      </c>
      <c r="Z1194" s="39" t="str">
        <f>IF(AND(B1194&lt;=NKC!$N$8,B1194&gt;=NKC!$M$8),"x","")</f>
        <v/>
      </c>
      <c r="AA1194" s="894"/>
    </row>
    <row r="1195" spans="1:27" ht="15.75" customHeight="1">
      <c r="A1195" s="199" t="str">
        <f>IF(B1195&lt;&gt;"",IF(AND(B1195&gt;=_TM1,B1195&lt;=_TM2,OR(TH!L1195="1111",TH!M1195="1111")),TH!D1195,""),"")</f>
        <v/>
      </c>
      <c r="B1195" s="36" t="str">
        <f t="shared" si="44"/>
        <v/>
      </c>
      <c r="C1195" s="37"/>
      <c r="D1195" s="37"/>
      <c r="E1195" s="37"/>
      <c r="F1195" s="40"/>
      <c r="G1195" s="40"/>
      <c r="H1195" s="7"/>
      <c r="I1195" s="253"/>
      <c r="J1195" s="253"/>
      <c r="K1195" s="606"/>
      <c r="L1195" s="39"/>
      <c r="M1195" s="39"/>
      <c r="N1195" s="39" t="str">
        <f>IF(AND('331-CT'!$E$7=TH!H1195,OR(L1195="331",M1195="331")),"331",IF(AND(OR(L1195="131",M1195="131"),H1195='131-CT'!$E$7),"131",""))</f>
        <v/>
      </c>
      <c r="O1195" s="39" t="str">
        <f>IF(AND($B1195&gt;='111'!$N$11,$B1195&lt;='111'!$O$11,OR($L1195=$O$7,$M1195=$O$7)),"x","")</f>
        <v/>
      </c>
      <c r="P1195" s="39" t="str">
        <f>IF(AND($L1195=$O$7,$B1195&lt;'111'!$N$11),"x","")</f>
        <v/>
      </c>
      <c r="Q1195" s="39" t="str">
        <f>IF(AND($M1195=$O$7,$B1195&lt;'111'!$N$11),"x","")</f>
        <v/>
      </c>
      <c r="R1195" s="39" t="str">
        <f>IF(ISERROR(FIND('112'!$M$9,G1195,1)),"",IF((AND(FIND('112'!$M$9,G1195,1)&gt;=1,$B1195&gt;='112'!$N$8,$B1195&lt;='112'!$O$8,OR($L1195='112'!$I$6,$M1195='112'!$I$6))),"x",""))</f>
        <v/>
      </c>
      <c r="S1195" s="39" t="str">
        <f>IF(ISERROR(FIND('112'!$M$9,G1195,1)),"",IF((AND(LEFT(G1195,2)=LEFT('112'!$M$9,2),B1195&lt;'112'!$N$8,$L1195='112'!$I$6)),"x",""))</f>
        <v/>
      </c>
      <c r="T1195" s="39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39" t="str">
        <f>IF(OR(TH!L1195=TH!$V$7,M1195=TH!$V$7),"x","")</f>
        <v/>
      </c>
      <c r="W1195" s="39" t="str">
        <f>IF(AND(B1195&gt;='IN-NX'!$P$3,B1195&lt;='IN-NX'!$Q$3,'IN-NX'!$D$7=D1195,OR(LEFT(L1195,2)="15",AND(LEFT(M1195,2)&lt;&gt;"15",LEFT(M1195,2)&lt;&gt;"33"))),"x","")</f>
        <v/>
      </c>
      <c r="X1195" s="39" t="str">
        <f>IF(AND(OR(LEFT(TH!L1195,2)="15",LEFT(TH!M1195,2)="15"),'152-CT'!$J$8=TH!F1195),"x","")</f>
        <v/>
      </c>
      <c r="Y1195" s="39" t="str">
        <f>IF(AND(OR(LEFT(TH!L1195,2)="15",LEFT(TH!M1195,2)="15"),TK!$E$7=TH!F1195),"x","")</f>
        <v/>
      </c>
      <c r="Z1195" s="39" t="str">
        <f>IF(AND(B1195&lt;=NKC!$N$8,B1195&gt;=NKC!$M$8),"x","")</f>
        <v/>
      </c>
      <c r="AA1195" s="894"/>
    </row>
    <row r="1196" spans="1:27" ht="15.75" customHeight="1">
      <c r="A1196" s="199" t="str">
        <f>IF(B1196&lt;&gt;"",IF(AND(B1196&gt;=_TM1,B1196&lt;=_TM2,OR(TH!L1196="1111",TH!M1196="1111")),TH!D1196,""),"")</f>
        <v/>
      </c>
      <c r="B1196" s="36" t="str">
        <f t="shared" si="44"/>
        <v/>
      </c>
      <c r="C1196" s="37"/>
      <c r="D1196" s="37"/>
      <c r="E1196" s="37"/>
      <c r="F1196" s="40"/>
      <c r="G1196" s="40"/>
      <c r="H1196" s="7"/>
      <c r="I1196" s="253"/>
      <c r="J1196" s="253"/>
      <c r="K1196" s="606"/>
      <c r="L1196" s="39"/>
      <c r="M1196" s="39"/>
      <c r="N1196" s="39" t="str">
        <f>IF(AND('331-CT'!$E$7=TH!H1196,OR(L1196="331",M1196="331")),"331",IF(AND(OR(L1196="131",M1196="131"),H1196='131-CT'!$E$7),"131",""))</f>
        <v/>
      </c>
      <c r="O1196" s="39" t="str">
        <f>IF(AND($B1196&gt;='111'!$N$11,$B1196&lt;='111'!$O$11,OR($L1196=$O$7,$M1196=$O$7)),"x","")</f>
        <v/>
      </c>
      <c r="P1196" s="39" t="str">
        <f>IF(AND($L1196=$O$7,$B1196&lt;'111'!$N$11),"x","")</f>
        <v/>
      </c>
      <c r="Q1196" s="39" t="str">
        <f>IF(AND($M1196=$O$7,$B1196&lt;'111'!$N$11),"x","")</f>
        <v/>
      </c>
      <c r="R1196" s="39" t="str">
        <f>IF(ISERROR(FIND('112'!$M$9,G1196,1)),"",IF((AND(FIND('112'!$M$9,G1196,1)&gt;=1,$B1196&gt;='112'!$N$8,$B1196&lt;='112'!$O$8,OR($L1196='112'!$I$6,$M1196='112'!$I$6))),"x",""))</f>
        <v/>
      </c>
      <c r="S1196" s="39" t="str">
        <f>IF(ISERROR(FIND('112'!$M$9,G1196,1)),"",IF((AND(LEFT(G1196,2)=LEFT('112'!$M$9,2),B1196&lt;'112'!$N$8,$L1196='112'!$I$6)),"x",""))</f>
        <v/>
      </c>
      <c r="T1196" s="39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39" t="str">
        <f>IF(OR(TH!L1196=TH!$V$7,M1196=TH!$V$7),"x","")</f>
        <v/>
      </c>
      <c r="W1196" s="39" t="str">
        <f>IF(AND(B1196&gt;='IN-NX'!$P$3,B1196&lt;='IN-NX'!$Q$3,'IN-NX'!$D$7=D1196,OR(LEFT(L1196,2)="15",AND(LEFT(M1196,2)&lt;&gt;"15",LEFT(M1196,2)&lt;&gt;"33"))),"x","")</f>
        <v/>
      </c>
      <c r="X1196" s="39" t="str">
        <f>IF(AND(OR(LEFT(TH!L1196,2)="15",LEFT(TH!M1196,2)="15"),'152-CT'!$J$8=TH!F1196),"x","")</f>
        <v/>
      </c>
      <c r="Y1196" s="39" t="str">
        <f>IF(AND(OR(LEFT(TH!L1196,2)="15",LEFT(TH!M1196,2)="15"),TK!$E$7=TH!F1196),"x","")</f>
        <v/>
      </c>
      <c r="Z1196" s="39" t="str">
        <f>IF(AND(B1196&lt;=NKC!$N$8,B1196&gt;=NKC!$M$8),"x","")</f>
        <v/>
      </c>
      <c r="AA1196" s="894"/>
    </row>
    <row r="1197" spans="1:27" ht="15.75" customHeight="1">
      <c r="A1197" s="199" t="str">
        <f>IF(B1197&lt;&gt;"",IF(AND(B1197&gt;=_TM1,B1197&lt;=_TM2,OR(TH!L1197="1111",TH!M1197="1111")),TH!D1197,""),"")</f>
        <v/>
      </c>
      <c r="B1197" s="36" t="str">
        <f t="shared" si="44"/>
        <v/>
      </c>
      <c r="C1197" s="37"/>
      <c r="D1197" s="37"/>
      <c r="E1197" s="37"/>
      <c r="F1197" s="191"/>
      <c r="G1197" s="40"/>
      <c r="H1197" s="7"/>
      <c r="I1197" s="253"/>
      <c r="J1197" s="253"/>
      <c r="K1197" s="606"/>
      <c r="L1197" s="39"/>
      <c r="M1197" s="39"/>
      <c r="N1197" s="39" t="str">
        <f>IF(AND('331-CT'!$E$7=TH!H1197,OR(L1197="331",M1197="331")),"331",IF(AND(OR(L1197="131",M1197="131"),H1197='131-CT'!$E$7),"131",""))</f>
        <v/>
      </c>
      <c r="O1197" s="39" t="str">
        <f>IF(AND($B1197&gt;='111'!$N$11,$B1197&lt;='111'!$O$11,OR($L1197=$O$7,$M1197=$O$7)),"x","")</f>
        <v/>
      </c>
      <c r="P1197" s="39" t="str">
        <f>IF(AND($L1197=$O$7,$B1197&lt;'111'!$N$11),"x","")</f>
        <v/>
      </c>
      <c r="Q1197" s="39" t="str">
        <f>IF(AND($M1197=$O$7,$B1197&lt;'111'!$N$11),"x","")</f>
        <v/>
      </c>
      <c r="R1197" s="39" t="str">
        <f>IF(ISERROR(FIND('112'!$M$9,G1197,1)),"",IF((AND(FIND('112'!$M$9,G1197,1)&gt;=1,$B1197&gt;='112'!$N$8,$B1197&lt;='112'!$O$8,OR($L1197='112'!$I$6,$M1197='112'!$I$6))),"x",""))</f>
        <v/>
      </c>
      <c r="S1197" s="39" t="str">
        <f>IF(ISERROR(FIND('112'!$M$9,G1197,1)),"",IF((AND(LEFT(G1197,2)=LEFT('112'!$M$9,2),B1197&lt;'112'!$N$8,$L1197='112'!$I$6)),"x",""))</f>
        <v/>
      </c>
      <c r="T1197" s="39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39" t="str">
        <f>IF(OR(TH!L1197=TH!$V$7,M1197=TH!$V$7),"x","")</f>
        <v/>
      </c>
      <c r="W1197" s="39" t="str">
        <f>IF(AND(B1197&gt;='IN-NX'!$P$3,B1197&lt;='IN-NX'!$Q$3,'IN-NX'!$D$7=D1197,OR(LEFT(L1197,2)="15",AND(LEFT(M1197,2)&lt;&gt;"15",LEFT(M1197,2)&lt;&gt;"33"))),"x","")</f>
        <v/>
      </c>
      <c r="X1197" s="39" t="str">
        <f>IF(AND(OR(LEFT(TH!L1197,2)="15",LEFT(TH!M1197,2)="15"),'152-CT'!$J$8=TH!F1197),"x","")</f>
        <v/>
      </c>
      <c r="Y1197" s="39" t="str">
        <f>IF(AND(OR(LEFT(TH!L1197,2)="15",LEFT(TH!M1197,2)="15"),TK!$E$7=TH!F1197),"x","")</f>
        <v/>
      </c>
      <c r="Z1197" s="39" t="str">
        <f>IF(AND(B1197&lt;=NKC!$N$8,B1197&gt;=NKC!$M$8),"x","")</f>
        <v/>
      </c>
      <c r="AA1197" s="894"/>
    </row>
    <row r="1198" spans="1:27" ht="15.75" customHeight="1">
      <c r="A1198" s="199" t="str">
        <f>IF(B1198&lt;&gt;"",IF(AND(B1198&gt;=_TM1,B1198&lt;=_TM2,OR(TH!L1198="1111",TH!M1198="1111")),TH!D1198,""),"")</f>
        <v/>
      </c>
      <c r="B1198" s="36" t="str">
        <f t="shared" si="44"/>
        <v/>
      </c>
      <c r="C1198" s="37"/>
      <c r="D1198" s="37"/>
      <c r="E1198" s="37"/>
      <c r="F1198" s="40"/>
      <c r="G1198" s="40"/>
      <c r="H1198" s="7"/>
      <c r="I1198" s="253"/>
      <c r="J1198" s="253"/>
      <c r="K1198" s="606"/>
      <c r="L1198" s="39"/>
      <c r="M1198" s="39"/>
      <c r="N1198" s="39" t="str">
        <f>IF(AND('331-CT'!$E$7=TH!H1198,OR(L1198="331",M1198="331")),"331",IF(AND(OR(L1198="131",M1198="131"),H1198='131-CT'!$E$7),"131",""))</f>
        <v/>
      </c>
      <c r="O1198" s="39" t="str">
        <f>IF(AND($B1198&gt;='111'!$N$11,$B1198&lt;='111'!$O$11,OR($L1198=$O$7,$M1198=$O$7)),"x","")</f>
        <v/>
      </c>
      <c r="P1198" s="39" t="str">
        <f>IF(AND($L1198=$O$7,$B1198&lt;'111'!$N$11),"x","")</f>
        <v/>
      </c>
      <c r="Q1198" s="39" t="str">
        <f>IF(AND($M1198=$O$7,$B1198&lt;'111'!$N$11),"x","")</f>
        <v/>
      </c>
      <c r="R1198" s="39" t="str">
        <f>IF(ISERROR(FIND('112'!$M$9,G1198,1)),"",IF((AND(FIND('112'!$M$9,G1198,1)&gt;=1,$B1198&gt;='112'!$N$8,$B1198&lt;='112'!$O$8,OR($L1198='112'!$I$6,$M1198='112'!$I$6))),"x",""))</f>
        <v/>
      </c>
      <c r="S1198" s="39" t="str">
        <f>IF(ISERROR(FIND('112'!$M$9,G1198,1)),"",IF((AND(LEFT(G1198,2)=LEFT('112'!$M$9,2),B1198&lt;'112'!$N$8,$L1198='112'!$I$6)),"x",""))</f>
        <v/>
      </c>
      <c r="T1198" s="39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39" t="str">
        <f>IF(OR(TH!L1198=TH!$V$7,M1198=TH!$V$7),"x","")</f>
        <v/>
      </c>
      <c r="W1198" s="39" t="str">
        <f>IF(AND(B1198&gt;='IN-NX'!$P$3,B1198&lt;='IN-NX'!$Q$3,'IN-NX'!$D$7=D1198,OR(LEFT(L1198,2)="15",AND(LEFT(M1198,2)&lt;&gt;"15",LEFT(M1198,2)&lt;&gt;"33"))),"x","")</f>
        <v/>
      </c>
      <c r="X1198" s="39" t="str">
        <f>IF(AND(OR(LEFT(TH!L1198,2)="15",LEFT(TH!M1198,2)="15"),'152-CT'!$J$8=TH!F1198),"x","")</f>
        <v/>
      </c>
      <c r="Y1198" s="39" t="str">
        <f>IF(AND(OR(LEFT(TH!L1198,2)="15",LEFT(TH!M1198,2)="15"),TK!$E$7=TH!F1198),"x","")</f>
        <v/>
      </c>
      <c r="Z1198" s="39" t="str">
        <f>IF(AND(B1198&lt;=NKC!$N$8,B1198&gt;=NKC!$M$8),"x","")</f>
        <v/>
      </c>
      <c r="AA1198" s="894"/>
    </row>
    <row r="1199" spans="1:27" ht="15.75" customHeight="1">
      <c r="A1199" s="199" t="str">
        <f>IF(B1199&lt;&gt;"",IF(AND(B1199&gt;=_TM1,B1199&lt;=_TM2,OR(TH!L1199="1111",TH!M1199="1111")),TH!D1199,""),"")</f>
        <v/>
      </c>
      <c r="B1199" s="36" t="str">
        <f t="shared" si="44"/>
        <v/>
      </c>
      <c r="C1199" s="37"/>
      <c r="D1199" s="37"/>
      <c r="E1199" s="37"/>
      <c r="F1199" s="40"/>
      <c r="G1199" s="40"/>
      <c r="H1199" s="7"/>
      <c r="I1199" s="253"/>
      <c r="J1199" s="253"/>
      <c r="K1199" s="606"/>
      <c r="L1199" s="39"/>
      <c r="M1199" s="39"/>
      <c r="N1199" s="39" t="str">
        <f>IF(AND('331-CT'!$E$7=TH!H1199,OR(L1199="331",M1199="331")),"331",IF(AND(OR(L1199="131",M1199="131"),H1199='131-CT'!$E$7),"131",""))</f>
        <v/>
      </c>
      <c r="O1199" s="39" t="str">
        <f>IF(AND($B1199&gt;='111'!$N$11,$B1199&lt;='111'!$O$11,OR($L1199=$O$7,$M1199=$O$7)),"x","")</f>
        <v/>
      </c>
      <c r="P1199" s="39" t="str">
        <f>IF(AND($L1199=$O$7,$B1199&lt;'111'!$N$11),"x","")</f>
        <v/>
      </c>
      <c r="Q1199" s="39" t="str">
        <f>IF(AND($M1199=$O$7,$B1199&lt;'111'!$N$11),"x","")</f>
        <v/>
      </c>
      <c r="R1199" s="39" t="str">
        <f>IF(ISERROR(FIND('112'!$M$9,G1199,1)),"",IF((AND(FIND('112'!$M$9,G1199,1)&gt;=1,$B1199&gt;='112'!$N$8,$B1199&lt;='112'!$O$8,OR($L1199='112'!$I$6,$M1199='112'!$I$6))),"x",""))</f>
        <v/>
      </c>
      <c r="S1199" s="39" t="str">
        <f>IF(ISERROR(FIND('112'!$M$9,G1199,1)),"",IF((AND(LEFT(G1199,2)=LEFT('112'!$M$9,2),B1199&lt;'112'!$N$8,$L1199='112'!$I$6)),"x",""))</f>
        <v/>
      </c>
      <c r="T1199" s="39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39" t="str">
        <f>IF(OR(TH!L1199=TH!$V$7,M1199=TH!$V$7),"x","")</f>
        <v/>
      </c>
      <c r="W1199" s="39" t="str">
        <f>IF(AND(B1199&gt;='IN-NX'!$P$3,B1199&lt;='IN-NX'!$Q$3,'IN-NX'!$D$7=D1199,OR(LEFT(L1199,2)="15",AND(LEFT(M1199,2)&lt;&gt;"15",LEFT(M1199,2)&lt;&gt;"33"))),"x","")</f>
        <v/>
      </c>
      <c r="X1199" s="39" t="str">
        <f>IF(AND(OR(LEFT(TH!L1199,2)="15",LEFT(TH!M1199,2)="15"),'152-CT'!$J$8=TH!F1199),"x","")</f>
        <v/>
      </c>
      <c r="Y1199" s="39" t="str">
        <f>IF(AND(OR(LEFT(TH!L1199,2)="15",LEFT(TH!M1199,2)="15"),TK!$E$7=TH!F1199),"x","")</f>
        <v/>
      </c>
      <c r="Z1199" s="39" t="str">
        <f>IF(AND(B1199&lt;=NKC!$N$8,B1199&gt;=NKC!$M$8),"x","")</f>
        <v/>
      </c>
      <c r="AA1199" s="894"/>
    </row>
    <row r="1200" spans="1:27" ht="15.75" customHeight="1">
      <c r="A1200" s="199" t="str">
        <f>IF(B1200&lt;&gt;"",IF(AND(B1200&gt;=_TM1,B1200&lt;=_TM2,OR(TH!L1200="1111",TH!M1200="1111")),TH!D1200,""),"")</f>
        <v/>
      </c>
      <c r="B1200" s="36" t="str">
        <f t="shared" si="44"/>
        <v/>
      </c>
      <c r="C1200" s="37"/>
      <c r="D1200" s="37"/>
      <c r="E1200" s="37"/>
      <c r="F1200" s="40"/>
      <c r="G1200" s="40"/>
      <c r="H1200" s="7"/>
      <c r="I1200" s="253"/>
      <c r="J1200" s="253"/>
      <c r="K1200" s="606"/>
      <c r="L1200" s="39"/>
      <c r="M1200" s="39"/>
      <c r="N1200" s="39" t="str">
        <f>IF(AND('331-CT'!$E$7=TH!H1200,OR(L1200="331",M1200="331")),"331",IF(AND(OR(L1200="131",M1200="131"),H1200='131-CT'!$E$7),"131",""))</f>
        <v/>
      </c>
      <c r="O1200" s="39" t="str">
        <f>IF(AND($B1200&gt;='111'!$N$11,$B1200&lt;='111'!$O$11,OR($L1200=$O$7,$M1200=$O$7)),"x","")</f>
        <v/>
      </c>
      <c r="P1200" s="39" t="str">
        <f>IF(AND($L1200=$O$7,$B1200&lt;'111'!$N$11),"x","")</f>
        <v/>
      </c>
      <c r="Q1200" s="39" t="str">
        <f>IF(AND($M1200=$O$7,$B1200&lt;'111'!$N$11),"x","")</f>
        <v/>
      </c>
      <c r="R1200" s="39" t="str">
        <f>IF(ISERROR(FIND('112'!$M$9,G1200,1)),"",IF((AND(FIND('112'!$M$9,G1200,1)&gt;=1,$B1200&gt;='112'!$N$8,$B1200&lt;='112'!$O$8,OR($L1200='112'!$I$6,$M1200='112'!$I$6))),"x",""))</f>
        <v/>
      </c>
      <c r="S1200" s="39" t="str">
        <f>IF(ISERROR(FIND('112'!$M$9,G1200,1)),"",IF((AND(LEFT(G1200,2)=LEFT('112'!$M$9,2),B1200&lt;'112'!$N$8,$L1200='112'!$I$6)),"x",""))</f>
        <v/>
      </c>
      <c r="T1200" s="39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39" t="str">
        <f>IF(OR(TH!L1200=TH!$V$7,M1200=TH!$V$7),"x","")</f>
        <v/>
      </c>
      <c r="W1200" s="39" t="str">
        <f>IF(AND(B1200&gt;='IN-NX'!$P$3,B1200&lt;='IN-NX'!$Q$3,'IN-NX'!$D$7=D1200,OR(LEFT(L1200,2)="15",AND(LEFT(M1200,2)&lt;&gt;"15",LEFT(M1200,2)&lt;&gt;"33"))),"x","")</f>
        <v/>
      </c>
      <c r="X1200" s="39" t="str">
        <f>IF(AND(OR(LEFT(TH!L1200,2)="15",LEFT(TH!M1200,2)="15"),'152-CT'!$J$8=TH!F1200),"x","")</f>
        <v/>
      </c>
      <c r="Y1200" s="39" t="str">
        <f>IF(AND(OR(LEFT(TH!L1200,2)="15",LEFT(TH!M1200,2)="15"),TK!$E$7=TH!F1200),"x","")</f>
        <v/>
      </c>
      <c r="Z1200" s="39" t="str">
        <f>IF(AND(B1200&lt;=NKC!$N$8,B1200&gt;=NKC!$M$8),"x","")</f>
        <v/>
      </c>
      <c r="AA1200" s="894"/>
    </row>
    <row r="1201" spans="1:27" ht="15.75" customHeight="1">
      <c r="A1201" s="199" t="str">
        <f>IF(B1201&lt;&gt;"",IF(AND(B1201&gt;=_TM1,B1201&lt;=_TM2,OR(TH!L1201="1111",TH!M1201="1111")),TH!D1201,""),"")</f>
        <v/>
      </c>
      <c r="B1201" s="36" t="str">
        <f t="shared" si="44"/>
        <v/>
      </c>
      <c r="C1201" s="37"/>
      <c r="D1201" s="37"/>
      <c r="E1201" s="37"/>
      <c r="F1201" s="40"/>
      <c r="G1201" s="40"/>
      <c r="H1201" s="7"/>
      <c r="I1201" s="253"/>
      <c r="J1201" s="253"/>
      <c r="K1201" s="606"/>
      <c r="L1201" s="39"/>
      <c r="M1201" s="39"/>
      <c r="N1201" s="39" t="str">
        <f>IF(AND('331-CT'!$E$7=TH!H1201,OR(L1201="331",M1201="331")),"331",IF(AND(OR(L1201="131",M1201="131"),H1201='131-CT'!$E$7),"131",""))</f>
        <v/>
      </c>
      <c r="O1201" s="39" t="str">
        <f>IF(AND($B1201&gt;='111'!$N$11,$B1201&lt;='111'!$O$11,OR($L1201=$O$7,$M1201=$O$7)),"x","")</f>
        <v/>
      </c>
      <c r="P1201" s="39" t="str">
        <f>IF(AND($L1201=$O$7,$B1201&lt;'111'!$N$11),"x","")</f>
        <v/>
      </c>
      <c r="Q1201" s="39" t="str">
        <f>IF(AND($M1201=$O$7,$B1201&lt;'111'!$N$11),"x","")</f>
        <v/>
      </c>
      <c r="R1201" s="39" t="str">
        <f>IF(ISERROR(FIND('112'!$M$9,G1201,1)),"",IF((AND(FIND('112'!$M$9,G1201,1)&gt;=1,$B1201&gt;='112'!$N$8,$B1201&lt;='112'!$O$8,OR($L1201='112'!$I$6,$M1201='112'!$I$6))),"x",""))</f>
        <v/>
      </c>
      <c r="S1201" s="39" t="str">
        <f>IF(ISERROR(FIND('112'!$M$9,G1201,1)),"",IF((AND(LEFT(G1201,2)=LEFT('112'!$M$9,2),B1201&lt;'112'!$N$8,$L1201='112'!$I$6)),"x",""))</f>
        <v/>
      </c>
      <c r="T1201" s="39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39" t="str">
        <f>IF(OR(TH!L1201=TH!$V$7,M1201=TH!$V$7),"x","")</f>
        <v/>
      </c>
      <c r="W1201" s="39" t="str">
        <f>IF(AND(B1201&gt;='IN-NX'!$P$3,B1201&lt;='IN-NX'!$Q$3,'IN-NX'!$D$7=D1201,OR(LEFT(L1201,2)="15",AND(LEFT(M1201,2)&lt;&gt;"15",LEFT(M1201,2)&lt;&gt;"33"))),"x","")</f>
        <v/>
      </c>
      <c r="X1201" s="39" t="str">
        <f>IF(AND(OR(LEFT(TH!L1201,2)="15",LEFT(TH!M1201,2)="15"),'152-CT'!$J$8=TH!F1201),"x","")</f>
        <v/>
      </c>
      <c r="Y1201" s="39" t="str">
        <f>IF(AND(OR(LEFT(TH!L1201,2)="15",LEFT(TH!M1201,2)="15"),TK!$E$7=TH!F1201),"x","")</f>
        <v/>
      </c>
      <c r="Z1201" s="39" t="str">
        <f>IF(AND(B1201&lt;=NKC!$N$8,B1201&gt;=NKC!$M$8),"x","")</f>
        <v/>
      </c>
      <c r="AA1201" s="894"/>
    </row>
    <row r="1202" spans="1:27" ht="15.75" customHeight="1">
      <c r="A1202" s="199" t="str">
        <f>IF(B1202&lt;&gt;"",IF(AND(B1202&gt;=_TM1,B1202&lt;=_TM2,OR(TH!L1202="1111",TH!M1202="1111")),TH!D1202,""),"")</f>
        <v/>
      </c>
      <c r="B1202" s="36" t="str">
        <f t="shared" si="44"/>
        <v/>
      </c>
      <c r="C1202" s="37"/>
      <c r="D1202" s="37"/>
      <c r="E1202" s="37"/>
      <c r="F1202" s="40"/>
      <c r="G1202" s="40"/>
      <c r="H1202" s="7"/>
      <c r="I1202" s="253"/>
      <c r="J1202" s="253"/>
      <c r="K1202" s="606"/>
      <c r="L1202" s="39"/>
      <c r="M1202" s="39"/>
      <c r="N1202" s="39" t="str">
        <f>IF(AND('331-CT'!$E$7=TH!H1202,OR(L1202="331",M1202="331")),"331",IF(AND(OR(L1202="131",M1202="131"),H1202='131-CT'!$E$7),"131",""))</f>
        <v/>
      </c>
      <c r="O1202" s="39" t="str">
        <f>IF(AND($B1202&gt;='111'!$N$11,$B1202&lt;='111'!$O$11,OR($L1202=$O$7,$M1202=$O$7)),"x","")</f>
        <v/>
      </c>
      <c r="P1202" s="39" t="str">
        <f>IF(AND($L1202=$O$7,$B1202&lt;'111'!$N$11),"x","")</f>
        <v/>
      </c>
      <c r="Q1202" s="39" t="str">
        <f>IF(AND($M1202=$O$7,$B1202&lt;'111'!$N$11),"x","")</f>
        <v/>
      </c>
      <c r="R1202" s="39" t="str">
        <f>IF(ISERROR(FIND('112'!$M$9,G1202,1)),"",IF((AND(FIND('112'!$M$9,G1202,1)&gt;=1,$B1202&gt;='112'!$N$8,$B1202&lt;='112'!$O$8,OR($L1202='112'!$I$6,$M1202='112'!$I$6))),"x",""))</f>
        <v/>
      </c>
      <c r="S1202" s="39" t="str">
        <f>IF(ISERROR(FIND('112'!$M$9,G1202,1)),"",IF((AND(LEFT(G1202,2)=LEFT('112'!$M$9,2),B1202&lt;'112'!$N$8,$L1202='112'!$I$6)),"x",""))</f>
        <v/>
      </c>
      <c r="T1202" s="39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39" t="str">
        <f>IF(OR(TH!L1202=TH!$V$7,M1202=TH!$V$7),"x","")</f>
        <v/>
      </c>
      <c r="W1202" s="39" t="str">
        <f>IF(AND(B1202&gt;='IN-NX'!$P$3,B1202&lt;='IN-NX'!$Q$3,'IN-NX'!$D$7=D1202,OR(LEFT(L1202,2)="15",AND(LEFT(M1202,2)&lt;&gt;"15",LEFT(M1202,2)&lt;&gt;"33"))),"x","")</f>
        <v/>
      </c>
      <c r="X1202" s="39" t="str">
        <f>IF(AND(OR(LEFT(TH!L1202,2)="15",LEFT(TH!M1202,2)="15"),'152-CT'!$J$8=TH!F1202),"x","")</f>
        <v/>
      </c>
      <c r="Y1202" s="39" t="str">
        <f>IF(AND(OR(LEFT(TH!L1202,2)="15",LEFT(TH!M1202,2)="15"),TK!$E$7=TH!F1202),"x","")</f>
        <v/>
      </c>
      <c r="Z1202" s="39" t="str">
        <f>IF(AND(B1202&lt;=NKC!$N$8,B1202&gt;=NKC!$M$8),"x","")</f>
        <v/>
      </c>
      <c r="AA1202" s="894"/>
    </row>
    <row r="1203" spans="1:27" ht="15.75" customHeight="1">
      <c r="A1203" s="199" t="str">
        <f>IF(B1203&lt;&gt;"",IF(AND(B1203&gt;=_TM1,B1203&lt;=_TM2,OR(TH!L1203="1111",TH!M1203="1111")),TH!D1203,""),"")</f>
        <v/>
      </c>
      <c r="B1203" s="36" t="str">
        <f t="shared" si="44"/>
        <v/>
      </c>
      <c r="C1203" s="37"/>
      <c r="D1203" s="37"/>
      <c r="E1203" s="37"/>
      <c r="F1203" s="40"/>
      <c r="G1203" s="40"/>
      <c r="H1203" s="7"/>
      <c r="I1203" s="253"/>
      <c r="J1203" s="253"/>
      <c r="K1203" s="606"/>
      <c r="L1203" s="39"/>
      <c r="M1203" s="39"/>
      <c r="N1203" s="39" t="str">
        <f>IF(AND('331-CT'!$E$7=TH!H1203,OR(L1203="331",M1203="331")),"331",IF(AND(OR(L1203="131",M1203="131"),H1203='131-CT'!$E$7),"131",""))</f>
        <v/>
      </c>
      <c r="O1203" s="39" t="str">
        <f>IF(AND($B1203&gt;='111'!$N$11,$B1203&lt;='111'!$O$11,OR($L1203=$O$7,$M1203=$O$7)),"x","")</f>
        <v/>
      </c>
      <c r="P1203" s="39" t="str">
        <f>IF(AND($L1203=$O$7,$B1203&lt;'111'!$N$11),"x","")</f>
        <v/>
      </c>
      <c r="Q1203" s="39" t="str">
        <f>IF(AND($M1203=$O$7,$B1203&lt;'111'!$N$11),"x","")</f>
        <v/>
      </c>
      <c r="R1203" s="39" t="str">
        <f>IF(ISERROR(FIND('112'!$M$9,G1203,1)),"",IF((AND(FIND('112'!$M$9,G1203,1)&gt;=1,$B1203&gt;='112'!$N$8,$B1203&lt;='112'!$O$8,OR($L1203='112'!$I$6,$M1203='112'!$I$6))),"x",""))</f>
        <v/>
      </c>
      <c r="S1203" s="39" t="str">
        <f>IF(ISERROR(FIND('112'!$M$9,G1203,1)),"",IF((AND(LEFT(G1203,2)=LEFT('112'!$M$9,2),B1203&lt;'112'!$N$8,$L1203='112'!$I$6)),"x",""))</f>
        <v/>
      </c>
      <c r="T1203" s="39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39" t="str">
        <f>IF(OR(TH!L1203=TH!$V$7,M1203=TH!$V$7),"x","")</f>
        <v/>
      </c>
      <c r="W1203" s="39" t="str">
        <f>IF(AND(B1203&gt;='IN-NX'!$P$3,B1203&lt;='IN-NX'!$Q$3,'IN-NX'!$D$7=D1203,OR(LEFT(L1203,2)="15",AND(LEFT(M1203,2)&lt;&gt;"15",LEFT(M1203,2)&lt;&gt;"33"))),"x","")</f>
        <v/>
      </c>
      <c r="X1203" s="39" t="str">
        <f>IF(AND(OR(LEFT(TH!L1203,2)="15",LEFT(TH!M1203,2)="15"),'152-CT'!$J$8=TH!F1203),"x","")</f>
        <v/>
      </c>
      <c r="Y1203" s="39" t="str">
        <f>IF(AND(OR(LEFT(TH!L1203,2)="15",LEFT(TH!M1203,2)="15"),TK!$E$7=TH!F1203),"x","")</f>
        <v/>
      </c>
      <c r="Z1203" s="39" t="str">
        <f>IF(AND(B1203&lt;=NKC!$N$8,B1203&gt;=NKC!$M$8),"x","")</f>
        <v/>
      </c>
      <c r="AA1203" s="894"/>
    </row>
    <row r="1204" spans="1:27" ht="15.75" customHeight="1">
      <c r="A1204" s="199" t="str">
        <f>IF(B1204&lt;&gt;"",IF(AND(B1204&gt;=_TM1,B1204&lt;=_TM2,OR(TH!L1204="1111",TH!M1204="1111")),TH!D1204,""),"")</f>
        <v/>
      </c>
      <c r="B1204" s="36" t="str">
        <f t="shared" si="44"/>
        <v/>
      </c>
      <c r="C1204" s="37"/>
      <c r="D1204" s="37"/>
      <c r="E1204" s="37"/>
      <c r="F1204" s="191"/>
      <c r="G1204" s="40"/>
      <c r="H1204" s="7"/>
      <c r="I1204" s="253"/>
      <c r="J1204" s="253"/>
      <c r="K1204" s="606"/>
      <c r="L1204" s="39"/>
      <c r="M1204" s="39"/>
      <c r="N1204" s="39" t="str">
        <f>IF(AND('331-CT'!$E$7=TH!H1204,OR(L1204="331",M1204="331")),"331",IF(AND(OR(L1204="131",M1204="131"),H1204='131-CT'!$E$7),"131",""))</f>
        <v/>
      </c>
      <c r="O1204" s="39" t="str">
        <f>IF(AND($B1204&gt;='111'!$N$11,$B1204&lt;='111'!$O$11,OR($L1204=$O$7,$M1204=$O$7)),"x","")</f>
        <v/>
      </c>
      <c r="P1204" s="39" t="str">
        <f>IF(AND($L1204=$O$7,$B1204&lt;'111'!$N$11),"x","")</f>
        <v/>
      </c>
      <c r="Q1204" s="39" t="str">
        <f>IF(AND($M1204=$O$7,$B1204&lt;'111'!$N$11),"x","")</f>
        <v/>
      </c>
      <c r="R1204" s="39" t="str">
        <f>IF(ISERROR(FIND('112'!$M$9,G1204,1)),"",IF((AND(FIND('112'!$M$9,G1204,1)&gt;=1,$B1204&gt;='112'!$N$8,$B1204&lt;='112'!$O$8,OR($L1204='112'!$I$6,$M1204='112'!$I$6))),"x",""))</f>
        <v/>
      </c>
      <c r="S1204" s="39" t="str">
        <f>IF(ISERROR(FIND('112'!$M$9,G1204,1)),"",IF((AND(LEFT(G1204,2)=LEFT('112'!$M$9,2),B1204&lt;'112'!$N$8,$L1204='112'!$I$6)),"x",""))</f>
        <v/>
      </c>
      <c r="T1204" s="39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39" t="str">
        <f>IF(OR(TH!L1204=TH!$V$7,M1204=TH!$V$7),"x","")</f>
        <v/>
      </c>
      <c r="W1204" s="39" t="str">
        <f>IF(AND(B1204&gt;='IN-NX'!$P$3,B1204&lt;='IN-NX'!$Q$3,'IN-NX'!$D$7=D1204,OR(LEFT(L1204,2)="15",AND(LEFT(M1204,2)&lt;&gt;"15",LEFT(M1204,2)&lt;&gt;"33"))),"x","")</f>
        <v/>
      </c>
      <c r="X1204" s="39" t="str">
        <f>IF(AND(OR(LEFT(TH!L1204,2)="15",LEFT(TH!M1204,2)="15"),'152-CT'!$J$8=TH!F1204),"x","")</f>
        <v/>
      </c>
      <c r="Y1204" s="39" t="str">
        <f>IF(AND(OR(LEFT(TH!L1204,2)="15",LEFT(TH!M1204,2)="15"),TK!$E$7=TH!F1204),"x","")</f>
        <v/>
      </c>
      <c r="Z1204" s="39" t="str">
        <f>IF(AND(B1204&lt;=NKC!$N$8,B1204&gt;=NKC!$M$8),"x","")</f>
        <v/>
      </c>
      <c r="AA1204" s="894"/>
    </row>
    <row r="1205" spans="1:27" ht="15.75" customHeight="1">
      <c r="A1205" s="199" t="str">
        <f>IF(B1205&lt;&gt;"",IF(AND(B1205&gt;=_TM1,B1205&lt;=_TM2,OR(TH!L1205="1111",TH!M1205="1111")),TH!D1205,""),"")</f>
        <v/>
      </c>
      <c r="B1205" s="36" t="str">
        <f t="shared" si="44"/>
        <v/>
      </c>
      <c r="C1205" s="37"/>
      <c r="D1205" s="37"/>
      <c r="E1205" s="37"/>
      <c r="F1205" s="191"/>
      <c r="G1205" s="40"/>
      <c r="H1205" s="7"/>
      <c r="I1205" s="253"/>
      <c r="J1205" s="253"/>
      <c r="K1205" s="606"/>
      <c r="L1205" s="39"/>
      <c r="M1205" s="39"/>
      <c r="N1205" s="39" t="str">
        <f>IF(AND('331-CT'!$E$7=TH!H1205,OR(L1205="331",M1205="331")),"331",IF(AND(OR(L1205="131",M1205="131"),H1205='131-CT'!$E$7),"131",""))</f>
        <v/>
      </c>
      <c r="O1205" s="39" t="str">
        <f>IF(AND($B1205&gt;='111'!$N$11,$B1205&lt;='111'!$O$11,OR($L1205=$O$7,$M1205=$O$7)),"x","")</f>
        <v/>
      </c>
      <c r="P1205" s="39" t="str">
        <f>IF(AND($L1205=$O$7,$B1205&lt;'111'!$N$11),"x","")</f>
        <v/>
      </c>
      <c r="Q1205" s="39" t="str">
        <f>IF(AND($M1205=$O$7,$B1205&lt;'111'!$N$11),"x","")</f>
        <v/>
      </c>
      <c r="R1205" s="39" t="str">
        <f>IF(ISERROR(FIND('112'!$M$9,G1205,1)),"",IF((AND(FIND('112'!$M$9,G1205,1)&gt;=1,$B1205&gt;='112'!$N$8,$B1205&lt;='112'!$O$8,OR($L1205='112'!$I$6,$M1205='112'!$I$6))),"x",""))</f>
        <v/>
      </c>
      <c r="S1205" s="39" t="str">
        <f>IF(ISERROR(FIND('112'!$M$9,G1205,1)),"",IF((AND(LEFT(G1205,2)=LEFT('112'!$M$9,2),B1205&lt;'112'!$N$8,$L1205='112'!$I$6)),"x",""))</f>
        <v/>
      </c>
      <c r="T1205" s="39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39" t="str">
        <f>IF(OR(TH!L1205=TH!$V$7,M1205=TH!$V$7),"x","")</f>
        <v/>
      </c>
      <c r="W1205" s="39" t="str">
        <f>IF(AND(B1205&gt;='IN-NX'!$P$3,B1205&lt;='IN-NX'!$Q$3,'IN-NX'!$D$7=D1205,OR(LEFT(L1205,2)="15",AND(LEFT(M1205,2)&lt;&gt;"15",LEFT(M1205,2)&lt;&gt;"33"))),"x","")</f>
        <v/>
      </c>
      <c r="X1205" s="39" t="str">
        <f>IF(AND(OR(LEFT(TH!L1205,2)="15",LEFT(TH!M1205,2)="15"),'152-CT'!$J$8=TH!F1205),"x","")</f>
        <v/>
      </c>
      <c r="Y1205" s="39" t="str">
        <f>IF(AND(OR(LEFT(TH!L1205,2)="15",LEFT(TH!M1205,2)="15"),TK!$E$7=TH!F1205),"x","")</f>
        <v/>
      </c>
      <c r="Z1205" s="39" t="str">
        <f>IF(AND(B1205&lt;=NKC!$N$8,B1205&gt;=NKC!$M$8),"x","")</f>
        <v/>
      </c>
      <c r="AA1205" s="894"/>
    </row>
    <row r="1206" spans="1:27" ht="15.75" customHeight="1">
      <c r="A1206" s="199" t="str">
        <f>IF(B1206&lt;&gt;"",IF(AND(B1206&gt;=_TM1,B1206&lt;=_TM2,OR(TH!L1206="1111",TH!M1206="1111")),TH!D1206,""),"")</f>
        <v/>
      </c>
      <c r="B1206" s="36" t="str">
        <f t="shared" si="44"/>
        <v/>
      </c>
      <c r="C1206" s="37"/>
      <c r="D1206" s="37"/>
      <c r="E1206" s="37"/>
      <c r="F1206" s="40"/>
      <c r="G1206" s="40"/>
      <c r="H1206" s="7"/>
      <c r="I1206" s="253"/>
      <c r="J1206" s="253"/>
      <c r="K1206" s="606"/>
      <c r="L1206" s="39"/>
      <c r="M1206" s="39"/>
      <c r="N1206" s="39" t="str">
        <f>IF(AND('331-CT'!$E$7=TH!H1206,OR(L1206="331",M1206="331")),"331",IF(AND(OR(L1206="131",M1206="131"),H1206='131-CT'!$E$7),"131",""))</f>
        <v/>
      </c>
      <c r="O1206" s="39" t="str">
        <f>IF(AND($B1206&gt;='111'!$N$11,$B1206&lt;='111'!$O$11,OR($L1206=$O$7,$M1206=$O$7)),"x","")</f>
        <v/>
      </c>
      <c r="P1206" s="39" t="str">
        <f>IF(AND($L1206=$O$7,$B1206&lt;'111'!$N$11),"x","")</f>
        <v/>
      </c>
      <c r="Q1206" s="39" t="str">
        <f>IF(AND($M1206=$O$7,$B1206&lt;'111'!$N$11),"x","")</f>
        <v/>
      </c>
      <c r="R1206" s="39" t="str">
        <f>IF(ISERROR(FIND('112'!$M$9,G1206,1)),"",IF((AND(FIND('112'!$M$9,G1206,1)&gt;=1,$B1206&gt;='112'!$N$8,$B1206&lt;='112'!$O$8,OR($L1206='112'!$I$6,$M1206='112'!$I$6))),"x",""))</f>
        <v/>
      </c>
      <c r="S1206" s="39" t="str">
        <f>IF(ISERROR(FIND('112'!$M$9,G1206,1)),"",IF((AND(LEFT(G1206,2)=LEFT('112'!$M$9,2),B1206&lt;'112'!$N$8,$L1206='112'!$I$6)),"x",""))</f>
        <v/>
      </c>
      <c r="T1206" s="39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39" t="str">
        <f>IF(OR(TH!L1206=TH!$V$7,M1206=TH!$V$7),"x","")</f>
        <v/>
      </c>
      <c r="W1206" s="39" t="str">
        <f>IF(AND(B1206&gt;='IN-NX'!$P$3,B1206&lt;='IN-NX'!$Q$3,'IN-NX'!$D$7=D1206,OR(LEFT(L1206,2)="15",AND(LEFT(M1206,2)&lt;&gt;"15",LEFT(M1206,2)&lt;&gt;"33"))),"x","")</f>
        <v/>
      </c>
      <c r="X1206" s="39" t="str">
        <f>IF(AND(OR(LEFT(TH!L1206,2)="15",LEFT(TH!M1206,2)="15"),'152-CT'!$J$8=TH!F1206),"x","")</f>
        <v/>
      </c>
      <c r="Y1206" s="39" t="str">
        <f>IF(AND(OR(LEFT(TH!L1206,2)="15",LEFT(TH!M1206,2)="15"),TK!$E$7=TH!F1206),"x","")</f>
        <v/>
      </c>
      <c r="Z1206" s="39" t="str">
        <f>IF(AND(B1206&lt;=NKC!$N$8,B1206&gt;=NKC!$M$8),"x","")</f>
        <v/>
      </c>
      <c r="AA1206" s="894"/>
    </row>
    <row r="1207" spans="1:27" ht="15.75" customHeight="1">
      <c r="A1207" s="199" t="str">
        <f>IF(B1207&lt;&gt;"",IF(AND(B1207&gt;=_TM1,B1207&lt;=_TM2,OR(TH!L1207="1111",TH!M1207="1111")),TH!D1207,""),"")</f>
        <v/>
      </c>
      <c r="B1207" s="36" t="str">
        <f t="shared" si="44"/>
        <v/>
      </c>
      <c r="C1207" s="37"/>
      <c r="D1207" s="37"/>
      <c r="E1207" s="37"/>
      <c r="F1207" s="40"/>
      <c r="G1207" s="40"/>
      <c r="H1207" s="7"/>
      <c r="I1207" s="253"/>
      <c r="J1207" s="253"/>
      <c r="K1207" s="606"/>
      <c r="L1207" s="39"/>
      <c r="M1207" s="39"/>
      <c r="N1207" s="39" t="str">
        <f>IF(AND('331-CT'!$E$7=TH!H1207,OR(L1207="331",M1207="331")),"331",IF(AND(OR(L1207="131",M1207="131"),H1207='131-CT'!$E$7),"131",""))</f>
        <v/>
      </c>
      <c r="O1207" s="39" t="str">
        <f>IF(AND($B1207&gt;='111'!$N$11,$B1207&lt;='111'!$O$11,OR($L1207=$O$7,$M1207=$O$7)),"x","")</f>
        <v/>
      </c>
      <c r="P1207" s="39" t="str">
        <f>IF(AND($L1207=$O$7,$B1207&lt;'111'!$N$11),"x","")</f>
        <v/>
      </c>
      <c r="Q1207" s="39" t="str">
        <f>IF(AND($M1207=$O$7,$B1207&lt;'111'!$N$11),"x","")</f>
        <v/>
      </c>
      <c r="R1207" s="39" t="str">
        <f>IF(ISERROR(FIND('112'!$M$9,G1207,1)),"",IF((AND(FIND('112'!$M$9,G1207,1)&gt;=1,$B1207&gt;='112'!$N$8,$B1207&lt;='112'!$O$8,OR($L1207='112'!$I$6,$M1207='112'!$I$6))),"x",""))</f>
        <v/>
      </c>
      <c r="S1207" s="39" t="str">
        <f>IF(ISERROR(FIND('112'!$M$9,G1207,1)),"",IF((AND(LEFT(G1207,2)=LEFT('112'!$M$9,2),B1207&lt;'112'!$N$8,$L1207='112'!$I$6)),"x",""))</f>
        <v/>
      </c>
      <c r="T1207" s="39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39" t="str">
        <f>IF(OR(TH!L1207=TH!$V$7,M1207=TH!$V$7),"x","")</f>
        <v/>
      </c>
      <c r="W1207" s="39" t="str">
        <f>IF(AND(B1207&gt;='IN-NX'!$P$3,B1207&lt;='IN-NX'!$Q$3,'IN-NX'!$D$7=D1207,OR(LEFT(L1207,2)="15",AND(LEFT(M1207,2)&lt;&gt;"15",LEFT(M1207,2)&lt;&gt;"33"))),"x","")</f>
        <v/>
      </c>
      <c r="X1207" s="39" t="str">
        <f>IF(AND(OR(LEFT(TH!L1207,2)="15",LEFT(TH!M1207,2)="15"),'152-CT'!$J$8=TH!F1207),"x","")</f>
        <v/>
      </c>
      <c r="Y1207" s="39" t="str">
        <f>IF(AND(OR(LEFT(TH!L1207,2)="15",LEFT(TH!M1207,2)="15"),TK!$E$7=TH!F1207),"x","")</f>
        <v/>
      </c>
      <c r="Z1207" s="39" t="str">
        <f>IF(AND(B1207&lt;=NKC!$N$8,B1207&gt;=NKC!$M$8),"x","")</f>
        <v/>
      </c>
      <c r="AA1207" s="894"/>
    </row>
    <row r="1208" spans="1:27" ht="15.75" customHeight="1">
      <c r="A1208" s="199" t="str">
        <f>IF(B1208&lt;&gt;"",IF(AND(B1208&gt;=_TM1,B1208&lt;=_TM2,OR(TH!L1208="1111",TH!M1208="1111")),TH!D1208,""),"")</f>
        <v/>
      </c>
      <c r="B1208" s="36" t="str">
        <f t="shared" si="44"/>
        <v/>
      </c>
      <c r="C1208" s="190"/>
      <c r="D1208" s="190"/>
      <c r="E1208" s="190"/>
      <c r="F1208" s="191"/>
      <c r="G1208" s="491"/>
      <c r="H1208" s="192"/>
      <c r="I1208" s="253"/>
      <c r="J1208" s="253"/>
      <c r="K1208" s="606"/>
      <c r="L1208" s="193"/>
      <c r="M1208" s="193"/>
      <c r="N1208" s="39" t="str">
        <f>IF(AND('331-CT'!$E$7=TH!H1208,OR(L1208="331",M1208="331")),"331",IF(AND(OR(L1208="131",M1208="131"),H1208='131-CT'!$E$7),"131",""))</f>
        <v/>
      </c>
      <c r="O1208" s="39" t="str">
        <f>IF(AND($B1208&gt;='111'!$N$11,$B1208&lt;='111'!$O$11,OR($L1208=$O$7,$M1208=$O$7)),"x","")</f>
        <v/>
      </c>
      <c r="P1208" s="39" t="str">
        <f>IF(AND($L1208=$O$7,$B1208&lt;'111'!$N$11),"x","")</f>
        <v/>
      </c>
      <c r="Q1208" s="39" t="str">
        <f>IF(AND($M1208=$O$7,$B1208&lt;'111'!$N$11),"x","")</f>
        <v/>
      </c>
      <c r="R1208" s="39" t="str">
        <f>IF(ISERROR(FIND('112'!$M$9,G1208,1)),"",IF((AND(FIND('112'!$M$9,G1208,1)&gt;=1,$B1208&gt;='112'!$N$8,$B1208&lt;='112'!$O$8,OR($L1208='112'!$I$6,$M1208='112'!$I$6))),"x",""))</f>
        <v/>
      </c>
      <c r="S1208" s="39" t="str">
        <f>IF(ISERROR(FIND('112'!$M$9,G1208,1)),"",IF((AND(LEFT(G1208,2)=LEFT('112'!$M$9,2),B1208&lt;'112'!$N$8,$L1208='112'!$I$6)),"x",""))</f>
        <v/>
      </c>
      <c r="T1208" s="39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39" t="str">
        <f>IF(OR(TH!L1208=TH!$V$7,M1208=TH!$V$7),"x","")</f>
        <v/>
      </c>
      <c r="W1208" s="39" t="str">
        <f>IF(AND(B1208&gt;='IN-NX'!$P$3,B1208&lt;='IN-NX'!$Q$3,'IN-NX'!$D$7=D1208,OR(LEFT(L1208,2)="15",AND(LEFT(M1208,2)&lt;&gt;"15",LEFT(M1208,2)&lt;&gt;"33"))),"x","")</f>
        <v/>
      </c>
      <c r="X1208" s="39" t="str">
        <f>IF(AND(OR(LEFT(TH!L1208,2)="15",LEFT(TH!M1208,2)="15"),'152-CT'!$J$8=TH!F1208),"x","")</f>
        <v/>
      </c>
      <c r="Y1208" s="39" t="str">
        <f>IF(AND(OR(LEFT(TH!L1208,2)="15",LEFT(TH!M1208,2)="15"),TK!$E$7=TH!F1208),"x","")</f>
        <v/>
      </c>
      <c r="Z1208" s="39" t="str">
        <f>IF(AND(B1208&lt;=NKC!$N$8,B1208&gt;=NKC!$M$8),"x","")</f>
        <v/>
      </c>
      <c r="AA1208" s="894"/>
    </row>
    <row r="1209" spans="1:27" ht="15.75" customHeight="1">
      <c r="A1209" s="199" t="str">
        <f>IF(B1209&lt;&gt;"",IF(AND(B1209&gt;=_TM1,B1209&lt;=_TM2,OR(TH!L1209="1111",TH!M1209="1111")),TH!D1209,""),"")</f>
        <v/>
      </c>
      <c r="B1209" s="36" t="str">
        <f t="shared" si="44"/>
        <v/>
      </c>
      <c r="C1209" s="190"/>
      <c r="D1209" s="190"/>
      <c r="E1209" s="190"/>
      <c r="F1209" s="191"/>
      <c r="G1209" s="491"/>
      <c r="H1209" s="192"/>
      <c r="I1209" s="253"/>
      <c r="J1209" s="253"/>
      <c r="K1209" s="606"/>
      <c r="L1209" s="193"/>
      <c r="M1209" s="193"/>
      <c r="N1209" s="39" t="str">
        <f>IF(AND('331-CT'!$E$7=TH!H1209,OR(L1209="331",M1209="331")),"331",IF(AND(OR(L1209="131",M1209="131"),H1209='131-CT'!$E$7),"131",""))</f>
        <v/>
      </c>
      <c r="O1209" s="39" t="str">
        <f>IF(AND($B1209&gt;='111'!$N$11,$B1209&lt;='111'!$O$11,OR($L1209=$O$7,$M1209=$O$7)),"x","")</f>
        <v/>
      </c>
      <c r="P1209" s="39" t="str">
        <f>IF(AND($L1209=$O$7,$B1209&lt;'111'!$N$11),"x","")</f>
        <v/>
      </c>
      <c r="Q1209" s="39" t="str">
        <f>IF(AND($M1209=$O$7,$B1209&lt;'111'!$N$11),"x","")</f>
        <v/>
      </c>
      <c r="R1209" s="39" t="str">
        <f>IF(ISERROR(FIND('112'!$M$9,G1209,1)),"",IF((AND(FIND('112'!$M$9,G1209,1)&gt;=1,$B1209&gt;='112'!$N$8,$B1209&lt;='112'!$O$8,OR($L1209='112'!$I$6,$M1209='112'!$I$6))),"x",""))</f>
        <v/>
      </c>
      <c r="S1209" s="39" t="str">
        <f>IF(ISERROR(FIND('112'!$M$9,G1209,1)),"",IF((AND(LEFT(G1209,2)=LEFT('112'!$M$9,2),B1209&lt;'112'!$N$8,$L1209='112'!$I$6)),"x",""))</f>
        <v/>
      </c>
      <c r="T1209" s="39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39" t="str">
        <f>IF(OR(TH!L1209=TH!$V$7,M1209=TH!$V$7),"x","")</f>
        <v/>
      </c>
      <c r="W1209" s="39" t="str">
        <f>IF(AND(B1209&gt;='IN-NX'!$P$3,B1209&lt;='IN-NX'!$Q$3,'IN-NX'!$D$7=D1209,OR(LEFT(L1209,2)="15",AND(LEFT(M1209,2)&lt;&gt;"15",LEFT(M1209,2)&lt;&gt;"33"))),"x","")</f>
        <v/>
      </c>
      <c r="X1209" s="39" t="str">
        <f>IF(AND(OR(LEFT(TH!L1209,2)="15",LEFT(TH!M1209,2)="15"),'152-CT'!$J$8=TH!F1209),"x","")</f>
        <v/>
      </c>
      <c r="Y1209" s="39" t="str">
        <f>IF(AND(OR(LEFT(TH!L1209,2)="15",LEFT(TH!M1209,2)="15"),TK!$E$7=TH!F1209),"x","")</f>
        <v/>
      </c>
      <c r="Z1209" s="39" t="str">
        <f>IF(AND(B1209&lt;=NKC!$N$8,B1209&gt;=NKC!$M$8),"x","")</f>
        <v/>
      </c>
      <c r="AA1209" s="894"/>
    </row>
    <row r="1210" spans="1:27" ht="15.75" customHeight="1">
      <c r="A1210" s="199" t="str">
        <f>IF(B1210&lt;&gt;"",IF(AND(B1210&gt;=_TM1,B1210&lt;=_TM2,OR(TH!L1210="1111",TH!M1210="1111")),TH!D1210,""),"")</f>
        <v/>
      </c>
      <c r="B1210" s="36" t="str">
        <f t="shared" si="44"/>
        <v/>
      </c>
      <c r="C1210" s="190"/>
      <c r="D1210" s="190"/>
      <c r="E1210" s="190"/>
      <c r="F1210" s="191"/>
      <c r="G1210" s="491"/>
      <c r="H1210" s="192"/>
      <c r="I1210" s="254"/>
      <c r="J1210" s="254"/>
      <c r="K1210" s="606"/>
      <c r="L1210" s="193"/>
      <c r="M1210" s="193"/>
      <c r="N1210" s="39" t="str">
        <f>IF(AND('331-CT'!$E$7=TH!H1210,OR(L1210="331",M1210="331")),"331",IF(AND(OR(L1210="131",M1210="131"),H1210='131-CT'!$E$7),"131",""))</f>
        <v/>
      </c>
      <c r="O1210" s="39" t="str">
        <f>IF(AND($B1210&gt;='111'!$N$11,$B1210&lt;='111'!$O$11,OR($L1210=$O$7,$M1210=$O$7)),"x","")</f>
        <v/>
      </c>
      <c r="P1210" s="39" t="str">
        <f>IF(AND($L1210=$O$7,$B1210&lt;'111'!$N$11),"x","")</f>
        <v/>
      </c>
      <c r="Q1210" s="39" t="str">
        <f>IF(AND($M1210=$O$7,$B1210&lt;'111'!$N$11),"x","")</f>
        <v/>
      </c>
      <c r="R1210" s="39" t="str">
        <f>IF(ISERROR(FIND('112'!$M$9,G1210,1)),"",IF((AND(FIND('112'!$M$9,G1210,1)&gt;=1,$B1210&gt;='112'!$N$8,$B1210&lt;='112'!$O$8,OR($L1210='112'!$I$6,$M1210='112'!$I$6))),"x",""))</f>
        <v/>
      </c>
      <c r="S1210" s="39" t="str">
        <f>IF(ISERROR(FIND('112'!$M$9,G1210,1)),"",IF((AND(LEFT(G1210,2)=LEFT('112'!$M$9,2),B1210&lt;'112'!$N$8,$L1210='112'!$I$6)),"x",""))</f>
        <v/>
      </c>
      <c r="T1210" s="39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39" t="str">
        <f>IF(OR(TH!L1210=TH!$V$7,M1210=TH!$V$7),"x","")</f>
        <v/>
      </c>
      <c r="W1210" s="39" t="str">
        <f>IF(AND(B1210&gt;='IN-NX'!$P$3,B1210&lt;='IN-NX'!$Q$3,'IN-NX'!$D$7=D1210,OR(LEFT(L1210,2)="15",AND(LEFT(M1210,2)&lt;&gt;"15",LEFT(M1210,2)&lt;&gt;"33"))),"x","")</f>
        <v/>
      </c>
      <c r="X1210" s="39" t="str">
        <f>IF(AND(OR(LEFT(TH!L1210,2)="15",LEFT(TH!M1210,2)="15"),'152-CT'!$J$8=TH!F1210),"x","")</f>
        <v/>
      </c>
      <c r="Y1210" s="39" t="str">
        <f>IF(AND(OR(LEFT(TH!L1210,2)="15",LEFT(TH!M1210,2)="15"),TK!$E$7=TH!F1210),"x","")</f>
        <v/>
      </c>
      <c r="Z1210" s="39" t="str">
        <f>IF(AND(B1210&lt;=NKC!$N$8,B1210&gt;=NKC!$M$8),"x","")</f>
        <v/>
      </c>
      <c r="AA1210" s="894"/>
    </row>
    <row r="1211" spans="1:27" ht="15.75" customHeight="1">
      <c r="A1211" s="199" t="str">
        <f>IF(B1211&lt;&gt;"",IF(AND(B1211&gt;=_TM1,B1211&lt;=_TM2,OR(TH!L1211="1111",TH!M1211="1111")),TH!D1211,""),"")</f>
        <v/>
      </c>
      <c r="B1211" s="36" t="str">
        <f t="shared" si="44"/>
        <v/>
      </c>
      <c r="C1211" s="190"/>
      <c r="D1211" s="190"/>
      <c r="E1211" s="190"/>
      <c r="F1211" s="191"/>
      <c r="G1211" s="491"/>
      <c r="H1211" s="192"/>
      <c r="I1211" s="253"/>
      <c r="J1211" s="253"/>
      <c r="K1211" s="606"/>
      <c r="L1211" s="193"/>
      <c r="M1211" s="193"/>
      <c r="N1211" s="39" t="str">
        <f>IF(AND('331-CT'!$E$7=TH!H1211,OR(L1211="331",M1211="331")),"331",IF(AND(OR(L1211="131",M1211="131"),H1211='131-CT'!$E$7),"131",""))</f>
        <v/>
      </c>
      <c r="O1211" s="39" t="str">
        <f>IF(AND($B1211&gt;='111'!$N$11,$B1211&lt;='111'!$O$11,OR($L1211=$O$7,$M1211=$O$7)),"x","")</f>
        <v/>
      </c>
      <c r="P1211" s="39" t="str">
        <f>IF(AND($L1211=$O$7,$B1211&lt;'111'!$N$11),"x","")</f>
        <v/>
      </c>
      <c r="Q1211" s="39" t="str">
        <f>IF(AND($M1211=$O$7,$B1211&lt;'111'!$N$11),"x","")</f>
        <v/>
      </c>
      <c r="R1211" s="39" t="str">
        <f>IF(ISERROR(FIND('112'!$M$9,G1211,1)),"",IF((AND(FIND('112'!$M$9,G1211,1)&gt;=1,$B1211&gt;='112'!$N$8,$B1211&lt;='112'!$O$8,OR($L1211='112'!$I$6,$M1211='112'!$I$6))),"x",""))</f>
        <v/>
      </c>
      <c r="S1211" s="39" t="str">
        <f>IF(ISERROR(FIND('112'!$M$9,G1211,1)),"",IF((AND(LEFT(G1211,2)=LEFT('112'!$M$9,2),B1211&lt;'112'!$N$8,$L1211='112'!$I$6)),"x",""))</f>
        <v/>
      </c>
      <c r="T1211" s="39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39" t="str">
        <f>IF(OR(TH!L1211=TH!$V$7,M1211=TH!$V$7),"x","")</f>
        <v/>
      </c>
      <c r="W1211" s="39" t="str">
        <f>IF(AND(B1211&gt;='IN-NX'!$P$3,B1211&lt;='IN-NX'!$Q$3,'IN-NX'!$D$7=D1211,OR(LEFT(L1211,2)="15",AND(LEFT(M1211,2)&lt;&gt;"15",LEFT(M1211,2)&lt;&gt;"33"))),"x","")</f>
        <v/>
      </c>
      <c r="X1211" s="39" t="str">
        <f>IF(AND(OR(LEFT(TH!L1211,2)="15",LEFT(TH!M1211,2)="15"),'152-CT'!$J$8=TH!F1211),"x","")</f>
        <v/>
      </c>
      <c r="Y1211" s="39" t="str">
        <f>IF(AND(OR(LEFT(TH!L1211,2)="15",LEFT(TH!M1211,2)="15"),TK!$E$7=TH!F1211),"x","")</f>
        <v/>
      </c>
      <c r="Z1211" s="39" t="str">
        <f>IF(AND(B1211&lt;=NKC!$N$8,B1211&gt;=NKC!$M$8),"x","")</f>
        <v/>
      </c>
      <c r="AA1211" s="894"/>
    </row>
    <row r="1212" spans="1:27" ht="15.75" customHeight="1">
      <c r="A1212" s="199" t="str">
        <f>IF(B1212&lt;&gt;"",IF(AND(B1212&gt;=_TM1,B1212&lt;=_TM2,OR(TH!L1212="1111",TH!M1212="1111")),TH!D1212,""),"")</f>
        <v/>
      </c>
      <c r="B1212" s="36" t="str">
        <f t="shared" si="44"/>
        <v/>
      </c>
      <c r="C1212" s="190"/>
      <c r="D1212" s="190"/>
      <c r="E1212" s="190"/>
      <c r="F1212" s="191"/>
      <c r="G1212" s="491"/>
      <c r="H1212" s="192"/>
      <c r="I1212" s="253"/>
      <c r="J1212" s="253"/>
      <c r="K1212" s="606"/>
      <c r="L1212" s="193"/>
      <c r="M1212" s="193"/>
      <c r="N1212" s="39" t="str">
        <f>IF(AND('331-CT'!$E$7=TH!H1212,OR(L1212="331",M1212="331")),"331",IF(AND(OR(L1212="131",M1212="131"),H1212='131-CT'!$E$7),"131",""))</f>
        <v/>
      </c>
      <c r="O1212" s="39" t="str">
        <f>IF(AND($B1212&gt;='111'!$N$11,$B1212&lt;='111'!$O$11,OR($L1212=$O$7,$M1212=$O$7)),"x","")</f>
        <v/>
      </c>
      <c r="P1212" s="39" t="str">
        <f>IF(AND($L1212=$O$7,$B1212&lt;'111'!$N$11),"x","")</f>
        <v/>
      </c>
      <c r="Q1212" s="39" t="str">
        <f>IF(AND($M1212=$O$7,$B1212&lt;'111'!$N$11),"x","")</f>
        <v/>
      </c>
      <c r="R1212" s="39" t="str">
        <f>IF(ISERROR(FIND('112'!$M$9,G1212,1)),"",IF((AND(FIND('112'!$M$9,G1212,1)&gt;=1,$B1212&gt;='112'!$N$8,$B1212&lt;='112'!$O$8,OR($L1212='112'!$I$6,$M1212='112'!$I$6))),"x",""))</f>
        <v/>
      </c>
      <c r="S1212" s="39" t="str">
        <f>IF(ISERROR(FIND('112'!$M$9,G1212,1)),"",IF((AND(LEFT(G1212,2)=LEFT('112'!$M$9,2),B1212&lt;'112'!$N$8,$L1212='112'!$I$6)),"x",""))</f>
        <v/>
      </c>
      <c r="T1212" s="39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39" t="str">
        <f>IF(OR(TH!L1212=TH!$V$7,M1212=TH!$V$7),"x","")</f>
        <v/>
      </c>
      <c r="W1212" s="39" t="str">
        <f>IF(AND(B1212&gt;='IN-NX'!$P$3,B1212&lt;='IN-NX'!$Q$3,'IN-NX'!$D$7=D1212,OR(LEFT(L1212,2)="15",AND(LEFT(M1212,2)&lt;&gt;"15",LEFT(M1212,2)&lt;&gt;"33"))),"x","")</f>
        <v/>
      </c>
      <c r="X1212" s="39" t="str">
        <f>IF(AND(OR(LEFT(TH!L1212,2)="15",LEFT(TH!M1212,2)="15"),'152-CT'!$J$8=TH!F1212),"x","")</f>
        <v/>
      </c>
      <c r="Y1212" s="39" t="str">
        <f>IF(AND(OR(LEFT(TH!L1212,2)="15",LEFT(TH!M1212,2)="15"),TK!$E$7=TH!F1212),"x","")</f>
        <v/>
      </c>
      <c r="Z1212" s="39" t="str">
        <f>IF(AND(B1212&lt;=NKC!$N$8,B1212&gt;=NKC!$M$8),"x","")</f>
        <v/>
      </c>
      <c r="AA1212" s="894"/>
    </row>
    <row r="1213" spans="1:27" ht="15.75" customHeight="1">
      <c r="A1213" s="199" t="str">
        <f>IF(B1213&lt;&gt;"",IF(AND(B1213&gt;=_TM1,B1213&lt;=_TM2,OR(TH!L1213="1111",TH!M1213="1111")),TH!D1213,""),"")</f>
        <v/>
      </c>
      <c r="B1213" s="36" t="str">
        <f t="shared" si="44"/>
        <v/>
      </c>
      <c r="C1213" s="190"/>
      <c r="D1213" s="190"/>
      <c r="E1213" s="190"/>
      <c r="F1213" s="191"/>
      <c r="G1213" s="491"/>
      <c r="H1213" s="192"/>
      <c r="I1213" s="253"/>
      <c r="J1213" s="253"/>
      <c r="K1213" s="606"/>
      <c r="L1213" s="193"/>
      <c r="M1213" s="193"/>
      <c r="N1213" s="39" t="str">
        <f>IF(AND('331-CT'!$E$7=TH!H1213,OR(L1213="331",M1213="331")),"331",IF(AND(OR(L1213="131",M1213="131"),H1213='131-CT'!$E$7),"131",""))</f>
        <v/>
      </c>
      <c r="O1213" s="39" t="str">
        <f>IF(AND($B1213&gt;='111'!$N$11,$B1213&lt;='111'!$O$11,OR($L1213=$O$7,$M1213=$O$7)),"x","")</f>
        <v/>
      </c>
      <c r="P1213" s="39" t="str">
        <f>IF(AND($L1213=$O$7,$B1213&lt;'111'!$N$11),"x","")</f>
        <v/>
      </c>
      <c r="Q1213" s="39" t="str">
        <f>IF(AND($M1213=$O$7,$B1213&lt;'111'!$N$11),"x","")</f>
        <v/>
      </c>
      <c r="R1213" s="39" t="str">
        <f>IF(ISERROR(FIND('112'!$M$9,G1213,1)),"",IF((AND(FIND('112'!$M$9,G1213,1)&gt;=1,$B1213&gt;='112'!$N$8,$B1213&lt;='112'!$O$8,OR($L1213='112'!$I$6,$M1213='112'!$I$6))),"x",""))</f>
        <v/>
      </c>
      <c r="S1213" s="39" t="str">
        <f>IF(ISERROR(FIND('112'!$M$9,G1213,1)),"",IF((AND(LEFT(G1213,2)=LEFT('112'!$M$9,2),B1213&lt;'112'!$N$8,$L1213='112'!$I$6)),"x",""))</f>
        <v/>
      </c>
      <c r="T1213" s="39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39" t="str">
        <f>IF(OR(TH!L1213=TH!$V$7,M1213=TH!$V$7),"x","")</f>
        <v/>
      </c>
      <c r="W1213" s="39" t="str">
        <f>IF(AND(B1213&gt;='IN-NX'!$P$3,B1213&lt;='IN-NX'!$Q$3,'IN-NX'!$D$7=D1213,OR(LEFT(L1213,2)="15",AND(LEFT(M1213,2)&lt;&gt;"15",LEFT(M1213,2)&lt;&gt;"33"))),"x","")</f>
        <v/>
      </c>
      <c r="X1213" s="39" t="str">
        <f>IF(AND(OR(LEFT(TH!L1213,2)="15",LEFT(TH!M1213,2)="15"),'152-CT'!$J$8=TH!F1213),"x","")</f>
        <v/>
      </c>
      <c r="Y1213" s="39" t="str">
        <f>IF(AND(OR(LEFT(TH!L1213,2)="15",LEFT(TH!M1213,2)="15"),TK!$E$7=TH!F1213),"x","")</f>
        <v/>
      </c>
      <c r="Z1213" s="39" t="str">
        <f>IF(AND(B1213&lt;=NKC!$N$8,B1213&gt;=NKC!$M$8),"x","")</f>
        <v/>
      </c>
      <c r="AA1213" s="894"/>
    </row>
    <row r="1214" spans="1:27" ht="15.75" customHeight="1">
      <c r="A1214" s="199" t="str">
        <f>IF(B1214&lt;&gt;"",IF(AND(B1214&gt;=_TM1,B1214&lt;=_TM2,OR(TH!L1214="1111",TH!M1214="1111")),TH!D1214,""),"")</f>
        <v/>
      </c>
      <c r="B1214" s="36" t="str">
        <f t="shared" si="44"/>
        <v/>
      </c>
      <c r="C1214" s="190"/>
      <c r="D1214" s="190"/>
      <c r="E1214" s="190"/>
      <c r="F1214" s="191"/>
      <c r="G1214" s="491"/>
      <c r="H1214" s="192"/>
      <c r="I1214" s="253"/>
      <c r="J1214" s="253"/>
      <c r="K1214" s="606"/>
      <c r="L1214" s="193"/>
      <c r="M1214" s="193"/>
      <c r="N1214" s="39" t="str">
        <f>IF(AND('331-CT'!$E$7=TH!H1214,OR(L1214="331",M1214="331")),"331",IF(AND(OR(L1214="131",M1214="131"),H1214='131-CT'!$E$7),"131",""))</f>
        <v/>
      </c>
      <c r="O1214" s="39" t="str">
        <f>IF(AND($B1214&gt;='111'!$N$11,$B1214&lt;='111'!$O$11,OR($L1214=$O$7,$M1214=$O$7)),"x","")</f>
        <v/>
      </c>
      <c r="P1214" s="39" t="str">
        <f>IF(AND($L1214=$O$7,$B1214&lt;'111'!$N$11),"x","")</f>
        <v/>
      </c>
      <c r="Q1214" s="39" t="str">
        <f>IF(AND($M1214=$O$7,$B1214&lt;'111'!$N$11),"x","")</f>
        <v/>
      </c>
      <c r="R1214" s="39" t="str">
        <f>IF(ISERROR(FIND('112'!$M$9,G1214,1)),"",IF((AND(FIND('112'!$M$9,G1214,1)&gt;=1,$B1214&gt;='112'!$N$8,$B1214&lt;='112'!$O$8,OR($L1214='112'!$I$6,$M1214='112'!$I$6))),"x",""))</f>
        <v/>
      </c>
      <c r="S1214" s="39" t="str">
        <f>IF(ISERROR(FIND('112'!$M$9,G1214,1)),"",IF((AND(LEFT(G1214,2)=LEFT('112'!$M$9,2),B1214&lt;'112'!$N$8,$L1214='112'!$I$6)),"x",""))</f>
        <v/>
      </c>
      <c r="T1214" s="39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39" t="str">
        <f>IF(OR(TH!L1214=TH!$V$7,M1214=TH!$V$7),"x","")</f>
        <v/>
      </c>
      <c r="W1214" s="39" t="str">
        <f>IF(AND(B1214&gt;='IN-NX'!$P$3,B1214&lt;='IN-NX'!$Q$3,'IN-NX'!$D$7=D1214,OR(LEFT(L1214,2)="15",AND(LEFT(M1214,2)&lt;&gt;"15",LEFT(M1214,2)&lt;&gt;"33"))),"x","")</f>
        <v/>
      </c>
      <c r="X1214" s="39" t="str">
        <f>IF(AND(OR(LEFT(TH!L1214,2)="15",LEFT(TH!M1214,2)="15"),'152-CT'!$J$8=TH!F1214),"x","")</f>
        <v/>
      </c>
      <c r="Y1214" s="39" t="str">
        <f>IF(AND(OR(LEFT(TH!L1214,2)="15",LEFT(TH!M1214,2)="15"),TK!$E$7=TH!F1214),"x","")</f>
        <v/>
      </c>
      <c r="Z1214" s="39" t="str">
        <f>IF(AND(B1214&lt;=NKC!$N$8,B1214&gt;=NKC!$M$8),"x","")</f>
        <v/>
      </c>
      <c r="AA1214" s="894"/>
    </row>
    <row r="1215" spans="1:27" ht="15.75" customHeight="1">
      <c r="A1215" s="199" t="str">
        <f>IF(B1215&lt;&gt;"",IF(AND(B1215&gt;=_TM1,B1215&lt;=_TM2,OR(TH!L1215="1111",TH!M1215="1111")),TH!D1215,""),"")</f>
        <v/>
      </c>
      <c r="B1215" s="36" t="str">
        <f t="shared" si="44"/>
        <v/>
      </c>
      <c r="C1215" s="190"/>
      <c r="D1215" s="190"/>
      <c r="E1215" s="190"/>
      <c r="F1215" s="191"/>
      <c r="G1215" s="491"/>
      <c r="H1215" s="192"/>
      <c r="I1215" s="253"/>
      <c r="J1215" s="253"/>
      <c r="K1215" s="606"/>
      <c r="L1215" s="193"/>
      <c r="M1215" s="193"/>
      <c r="N1215" s="39" t="str">
        <f>IF(AND('331-CT'!$E$7=TH!H1215,OR(L1215="331",M1215="331")),"331",IF(AND(OR(L1215="131",M1215="131"),H1215='131-CT'!$E$7),"131",""))</f>
        <v/>
      </c>
      <c r="O1215" s="39" t="str">
        <f>IF(AND($B1215&gt;='111'!$N$11,$B1215&lt;='111'!$O$11,OR($L1215=$O$7,$M1215=$O$7)),"x","")</f>
        <v/>
      </c>
      <c r="P1215" s="39" t="str">
        <f>IF(AND($L1215=$O$7,$B1215&lt;'111'!$N$11),"x","")</f>
        <v/>
      </c>
      <c r="Q1215" s="39" t="str">
        <f>IF(AND($M1215=$O$7,$B1215&lt;'111'!$N$11),"x","")</f>
        <v/>
      </c>
      <c r="R1215" s="39" t="str">
        <f>IF(ISERROR(FIND('112'!$M$9,G1215,1)),"",IF((AND(FIND('112'!$M$9,G1215,1)&gt;=1,$B1215&gt;='112'!$N$8,$B1215&lt;='112'!$O$8,OR($L1215='112'!$I$6,$M1215='112'!$I$6))),"x",""))</f>
        <v/>
      </c>
      <c r="S1215" s="39" t="str">
        <f>IF(ISERROR(FIND('112'!$M$9,G1215,1)),"",IF((AND(LEFT(G1215,2)=LEFT('112'!$M$9,2),B1215&lt;'112'!$N$8,$L1215='112'!$I$6)),"x",""))</f>
        <v/>
      </c>
      <c r="T1215" s="39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39" t="str">
        <f>IF(OR(TH!L1215=TH!$V$7,M1215=TH!$V$7),"x","")</f>
        <v/>
      </c>
      <c r="W1215" s="39" t="str">
        <f>IF(AND(B1215&gt;='IN-NX'!$P$3,B1215&lt;='IN-NX'!$Q$3,'IN-NX'!$D$7=D1215,OR(LEFT(L1215,2)="15",AND(LEFT(M1215,2)&lt;&gt;"15",LEFT(M1215,2)&lt;&gt;"33"))),"x","")</f>
        <v/>
      </c>
      <c r="X1215" s="39" t="str">
        <f>IF(AND(OR(LEFT(TH!L1215,2)="15",LEFT(TH!M1215,2)="15"),'152-CT'!$J$8=TH!F1215),"x","")</f>
        <v/>
      </c>
      <c r="Y1215" s="39" t="str">
        <f>IF(AND(OR(LEFT(TH!L1215,2)="15",LEFT(TH!M1215,2)="15"),TK!$E$7=TH!F1215),"x","")</f>
        <v/>
      </c>
      <c r="Z1215" s="39" t="str">
        <f>IF(AND(B1215&lt;=NKC!$N$8,B1215&gt;=NKC!$M$8),"x","")</f>
        <v/>
      </c>
      <c r="AA1215" s="894"/>
    </row>
    <row r="1216" spans="1:27" ht="15.75" customHeight="1">
      <c r="A1216" s="199" t="str">
        <f>IF(B1216&lt;&gt;"",IF(AND(B1216&gt;=_TM1,B1216&lt;=_TM2,OR(TH!L1216="1111",TH!M1216="1111")),TH!D1216,""),"")</f>
        <v/>
      </c>
      <c r="B1216" s="36" t="str">
        <f t="shared" si="44"/>
        <v/>
      </c>
      <c r="C1216" s="190"/>
      <c r="D1216" s="190"/>
      <c r="E1216" s="190"/>
      <c r="F1216" s="191"/>
      <c r="G1216" s="491"/>
      <c r="H1216" s="192"/>
      <c r="I1216" s="253"/>
      <c r="J1216" s="253"/>
      <c r="K1216" s="606"/>
      <c r="L1216" s="193"/>
      <c r="M1216" s="193"/>
      <c r="N1216" s="39" t="str">
        <f>IF(AND('331-CT'!$E$7=TH!H1216,OR(L1216="331",M1216="331")),"331",IF(AND(OR(L1216="131",M1216="131"),H1216='131-CT'!$E$7),"131",""))</f>
        <v/>
      </c>
      <c r="O1216" s="39" t="str">
        <f>IF(AND($B1216&gt;='111'!$N$11,$B1216&lt;='111'!$O$11,OR($L1216=$O$7,$M1216=$O$7)),"x","")</f>
        <v/>
      </c>
      <c r="P1216" s="39" t="str">
        <f>IF(AND($L1216=$O$7,$B1216&lt;'111'!$N$11),"x","")</f>
        <v/>
      </c>
      <c r="Q1216" s="39" t="str">
        <f>IF(AND($M1216=$O$7,$B1216&lt;'111'!$N$11),"x","")</f>
        <v/>
      </c>
      <c r="R1216" s="39" t="str">
        <f>IF(ISERROR(FIND('112'!$M$9,G1216,1)),"",IF((AND(FIND('112'!$M$9,G1216,1)&gt;=1,$B1216&gt;='112'!$N$8,$B1216&lt;='112'!$O$8,OR($L1216='112'!$I$6,$M1216='112'!$I$6))),"x",""))</f>
        <v/>
      </c>
      <c r="S1216" s="39" t="str">
        <f>IF(ISERROR(FIND('112'!$M$9,G1216,1)),"",IF((AND(LEFT(G1216,2)=LEFT('112'!$M$9,2),B1216&lt;'112'!$N$8,$L1216='112'!$I$6)),"x",""))</f>
        <v/>
      </c>
      <c r="T1216" s="39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39" t="str">
        <f>IF(OR(TH!L1216=TH!$V$7,M1216=TH!$V$7),"x","")</f>
        <v/>
      </c>
      <c r="W1216" s="39" t="str">
        <f>IF(AND(B1216&gt;='IN-NX'!$P$3,B1216&lt;='IN-NX'!$Q$3,'IN-NX'!$D$7=D1216,OR(LEFT(L1216,2)="15",AND(LEFT(M1216,2)&lt;&gt;"15",LEFT(M1216,2)&lt;&gt;"33"))),"x","")</f>
        <v/>
      </c>
      <c r="X1216" s="39" t="str">
        <f>IF(AND(OR(LEFT(TH!L1216,2)="15",LEFT(TH!M1216,2)="15"),'152-CT'!$J$8=TH!F1216),"x","")</f>
        <v/>
      </c>
      <c r="Y1216" s="39" t="str">
        <f>IF(AND(OR(LEFT(TH!L1216,2)="15",LEFT(TH!M1216,2)="15"),TK!$E$7=TH!F1216),"x","")</f>
        <v/>
      </c>
      <c r="Z1216" s="39" t="str">
        <f>IF(AND(B1216&lt;=NKC!$N$8,B1216&gt;=NKC!$M$8),"x","")</f>
        <v/>
      </c>
      <c r="AA1216" s="894"/>
    </row>
    <row r="1217" spans="1:27" ht="15.75" customHeight="1">
      <c r="A1217" s="199" t="str">
        <f>IF(B1217&lt;&gt;"",IF(AND(B1217&gt;=_TM1,B1217&lt;=_TM2,OR(TH!L1217="1111",TH!M1217="1111")),TH!D1217,""),"")</f>
        <v/>
      </c>
      <c r="B1217" s="36" t="str">
        <f t="shared" si="44"/>
        <v/>
      </c>
      <c r="C1217" s="37"/>
      <c r="D1217" s="37"/>
      <c r="E1217" s="776"/>
      <c r="F1217" s="188"/>
      <c r="G1217" s="40"/>
      <c r="H1217" s="7"/>
      <c r="I1217" s="821"/>
      <c r="J1217" s="253"/>
      <c r="K1217" s="606"/>
      <c r="L1217" s="39"/>
      <c r="M1217" s="39"/>
      <c r="N1217" s="39" t="str">
        <f>IF(AND('331-CT'!$E$7=TH!H1217,OR(L1217="331",M1217="331")),"331",IF(AND(OR(L1217="131",M1217="131"),H1217='131-CT'!$E$7),"131",""))</f>
        <v/>
      </c>
      <c r="O1217" s="39" t="str">
        <f>IF(AND($B1217&gt;='111'!$N$11,$B1217&lt;='111'!$O$11,OR($L1217=$O$7,$M1217=$O$7)),"x","")</f>
        <v/>
      </c>
      <c r="P1217" s="39" t="str">
        <f>IF(AND($L1217=$O$7,$B1217&lt;'111'!$N$11),"x","")</f>
        <v/>
      </c>
      <c r="Q1217" s="39" t="str">
        <f>IF(AND($M1217=$O$7,$B1217&lt;'111'!$N$11),"x","")</f>
        <v/>
      </c>
      <c r="R1217" s="39" t="str">
        <f>IF(ISERROR(FIND('112'!$M$9,G1217,1)),"",IF((AND(FIND('112'!$M$9,G1217,1)&gt;=1,$B1217&gt;='112'!$N$8,$B1217&lt;='112'!$O$8,OR($L1217='112'!$I$6,$M1217='112'!$I$6))),"x",""))</f>
        <v/>
      </c>
      <c r="S1217" s="39" t="str">
        <f>IF(ISERROR(FIND('112'!$M$9,G1217,1)),"",IF((AND(LEFT(G1217,2)=LEFT('112'!$M$9,2),B1217&lt;'112'!$N$8,$L1217='112'!$I$6)),"x",""))</f>
        <v/>
      </c>
      <c r="T1217" s="39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39" t="str">
        <f>IF(OR(TH!L1217=TH!$V$7,M1217=TH!$V$7),"x","")</f>
        <v/>
      </c>
      <c r="W1217" s="39" t="str">
        <f>IF(AND(B1217&gt;='IN-NX'!$P$3,B1217&lt;='IN-NX'!$Q$3,'IN-NX'!$D$7=D1217,OR(LEFT(L1217,2)="15",AND(LEFT(M1217,2)&lt;&gt;"15",LEFT(M1217,2)&lt;&gt;"33"))),"x","")</f>
        <v/>
      </c>
      <c r="X1217" s="39" t="str">
        <f>IF(AND(OR(LEFT(TH!L1217,2)="15",LEFT(TH!M1217,2)="15"),'152-CT'!$J$8=TH!F1217),"x","")</f>
        <v/>
      </c>
      <c r="Y1217" s="39" t="str">
        <f>IF(AND(OR(LEFT(TH!L1217,2)="15",LEFT(TH!M1217,2)="15"),TK!$E$7=TH!F1217),"x","")</f>
        <v/>
      </c>
      <c r="Z1217" s="39" t="str">
        <f>IF(AND(B1217&lt;=NKC!$N$8,B1217&gt;=NKC!$M$8),"x","")</f>
        <v/>
      </c>
      <c r="AA1217" s="894"/>
    </row>
    <row r="1218" spans="1:27" ht="15.75" customHeight="1">
      <c r="A1218" s="199" t="str">
        <f>IF(B1218&lt;&gt;"",IF(AND(B1218&gt;=_TM1,B1218&lt;=_TM2,OR(TH!L1218="1111",TH!M1218="1111")),TH!D1218,""),"")</f>
        <v/>
      </c>
      <c r="B1218" s="36" t="str">
        <f t="shared" si="44"/>
        <v/>
      </c>
      <c r="C1218" s="37"/>
      <c r="D1218" s="37"/>
      <c r="E1218" s="776"/>
      <c r="F1218" s="188"/>
      <c r="G1218" s="40"/>
      <c r="H1218" s="7"/>
      <c r="I1218" s="253"/>
      <c r="J1218" s="253"/>
      <c r="K1218" s="606"/>
      <c r="L1218" s="39"/>
      <c r="M1218" s="39"/>
      <c r="N1218" s="39" t="str">
        <f>IF(AND('331-CT'!$E$7=TH!H1218,OR(L1218="331",M1218="331")),"331",IF(AND(OR(L1218="131",M1218="131"),H1218='131-CT'!$E$7),"131",""))</f>
        <v/>
      </c>
      <c r="O1218" s="39" t="str">
        <f>IF(AND($B1218&gt;='111'!$N$11,$B1218&lt;='111'!$O$11,OR($L1218=$O$7,$M1218=$O$7)),"x","")</f>
        <v/>
      </c>
      <c r="P1218" s="39" t="str">
        <f>IF(AND($L1218=$O$7,$B1218&lt;'111'!$N$11),"x","")</f>
        <v/>
      </c>
      <c r="Q1218" s="39" t="str">
        <f>IF(AND($M1218=$O$7,$B1218&lt;'111'!$N$11),"x","")</f>
        <v/>
      </c>
      <c r="R1218" s="39" t="str">
        <f>IF(ISERROR(FIND('112'!$M$9,G1218,1)),"",IF((AND(FIND('112'!$M$9,G1218,1)&gt;=1,$B1218&gt;='112'!$N$8,$B1218&lt;='112'!$O$8,OR($L1218='112'!$I$6,$M1218='112'!$I$6))),"x",""))</f>
        <v/>
      </c>
      <c r="S1218" s="39" t="str">
        <f>IF(ISERROR(FIND('112'!$M$9,G1218,1)),"",IF((AND(LEFT(G1218,2)=LEFT('112'!$M$9,2),B1218&lt;'112'!$N$8,$L1218='112'!$I$6)),"x",""))</f>
        <v/>
      </c>
      <c r="T1218" s="39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39" t="str">
        <f>IF(OR(TH!L1218=TH!$V$7,M1218=TH!$V$7),"x","")</f>
        <v/>
      </c>
      <c r="W1218" s="39" t="str">
        <f>IF(AND(B1218&gt;='IN-NX'!$P$3,B1218&lt;='IN-NX'!$Q$3,'IN-NX'!$D$7=D1218,OR(LEFT(L1218,2)="15",AND(LEFT(M1218,2)&lt;&gt;"15",LEFT(M1218,2)&lt;&gt;"33"))),"x","")</f>
        <v/>
      </c>
      <c r="X1218" s="39" t="str">
        <f>IF(AND(OR(LEFT(TH!L1218,2)="15",LEFT(TH!M1218,2)="15"),'152-CT'!$J$8=TH!F1218),"x","")</f>
        <v/>
      </c>
      <c r="Y1218" s="39" t="str">
        <f>IF(AND(OR(LEFT(TH!L1218,2)="15",LEFT(TH!M1218,2)="15"),TK!$E$7=TH!F1218),"x","")</f>
        <v/>
      </c>
      <c r="Z1218" s="39" t="str">
        <f>IF(AND(B1218&lt;=NKC!$N$8,B1218&gt;=NKC!$M$8),"x","")</f>
        <v/>
      </c>
      <c r="AA1218" s="894"/>
    </row>
    <row r="1219" spans="1:27" ht="15.75" customHeight="1">
      <c r="A1219" s="199" t="str">
        <f>IF(B1219&lt;&gt;"",IF(AND(B1219&gt;=_TM1,B1219&lt;=_TM2,OR(TH!L1219="1111",TH!M1219="1111")),TH!D1219,""),"")</f>
        <v/>
      </c>
      <c r="B1219" s="36" t="str">
        <f t="shared" si="44"/>
        <v/>
      </c>
      <c r="C1219" s="37"/>
      <c r="D1219" s="37"/>
      <c r="E1219" s="776"/>
      <c r="F1219" s="40"/>
      <c r="G1219" s="40"/>
      <c r="H1219" s="7"/>
      <c r="I1219" s="253"/>
      <c r="J1219" s="253"/>
      <c r="K1219" s="606"/>
      <c r="L1219" s="39"/>
      <c r="M1219" s="39"/>
      <c r="N1219" s="39" t="str">
        <f>IF(AND('331-CT'!$E$7=TH!H1219,OR(L1219="331",M1219="331")),"331",IF(AND(OR(L1219="131",M1219="131"),H1219='131-CT'!$E$7),"131",""))</f>
        <v/>
      </c>
      <c r="O1219" s="39" t="str">
        <f>IF(AND($B1219&gt;='111'!$N$11,$B1219&lt;='111'!$O$11,OR($L1219=$O$7,$M1219=$O$7)),"x","")</f>
        <v/>
      </c>
      <c r="P1219" s="39" t="str">
        <f>IF(AND($L1219=$O$7,$B1219&lt;'111'!$N$11),"x","")</f>
        <v/>
      </c>
      <c r="Q1219" s="39" t="str">
        <f>IF(AND($M1219=$O$7,$B1219&lt;'111'!$N$11),"x","")</f>
        <v/>
      </c>
      <c r="R1219" s="39" t="str">
        <f>IF(ISERROR(FIND('112'!$M$9,G1219,1)),"",IF((AND(FIND('112'!$M$9,G1219,1)&gt;=1,$B1219&gt;='112'!$N$8,$B1219&lt;='112'!$O$8,OR($L1219='112'!$I$6,$M1219='112'!$I$6))),"x",""))</f>
        <v/>
      </c>
      <c r="S1219" s="39" t="str">
        <f>IF(ISERROR(FIND('112'!$M$9,G1219,1)),"",IF((AND(LEFT(G1219,2)=LEFT('112'!$M$9,2),B1219&lt;'112'!$N$8,$L1219='112'!$I$6)),"x",""))</f>
        <v/>
      </c>
      <c r="T1219" s="39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39" t="str">
        <f>IF(OR(TH!L1219=TH!$V$7,M1219=TH!$V$7),"x","")</f>
        <v/>
      </c>
      <c r="W1219" s="39" t="str">
        <f>IF(AND(B1219&gt;='IN-NX'!$P$3,B1219&lt;='IN-NX'!$Q$3,'IN-NX'!$D$7=D1219,OR(LEFT(L1219,2)="15",AND(LEFT(M1219,2)&lt;&gt;"15",LEFT(M1219,2)&lt;&gt;"33"))),"x","")</f>
        <v/>
      </c>
      <c r="X1219" s="39" t="str">
        <f>IF(AND(OR(LEFT(TH!L1219,2)="15",LEFT(TH!M1219,2)="15"),'152-CT'!$J$8=TH!F1219),"x","")</f>
        <v/>
      </c>
      <c r="Y1219" s="39" t="str">
        <f>IF(AND(OR(LEFT(TH!L1219,2)="15",LEFT(TH!M1219,2)="15"),TK!$E$7=TH!F1219),"x","")</f>
        <v/>
      </c>
      <c r="Z1219" s="39" t="str">
        <f>IF(AND(B1219&lt;=NKC!$N$8,B1219&gt;=NKC!$M$8),"x","")</f>
        <v/>
      </c>
      <c r="AA1219" s="894"/>
    </row>
    <row r="1220" spans="1:27" ht="15.75" customHeight="1">
      <c r="A1220" s="199" t="str">
        <f>IF(B1220&lt;&gt;"",IF(AND(B1220&gt;=_TM1,B1220&lt;=_TM2,OR(TH!L1220="1111",TH!M1220="1111")),TH!D1220,""),"")</f>
        <v/>
      </c>
      <c r="B1220" s="36" t="str">
        <f t="shared" si="44"/>
        <v/>
      </c>
      <c r="C1220" s="37"/>
      <c r="D1220" s="37"/>
      <c r="E1220" s="776"/>
      <c r="F1220" s="188"/>
      <c r="G1220" s="40"/>
      <c r="H1220" s="7"/>
      <c r="I1220" s="253"/>
      <c r="J1220" s="253"/>
      <c r="K1220" s="606"/>
      <c r="L1220" s="39"/>
      <c r="M1220" s="39"/>
      <c r="N1220" s="39" t="str">
        <f>IF(AND('331-CT'!$E$7=TH!H1220,OR(L1220="331",M1220="331")),"331",IF(AND(OR(L1220="131",M1220="131"),H1220='131-CT'!$E$7),"131",""))</f>
        <v/>
      </c>
      <c r="O1220" s="39" t="str">
        <f>IF(AND($B1220&gt;='111'!$N$11,$B1220&lt;='111'!$O$11,OR($L1220=$O$7,$M1220=$O$7)),"x","")</f>
        <v/>
      </c>
      <c r="P1220" s="39" t="str">
        <f>IF(AND($L1220=$O$7,$B1220&lt;'111'!$N$11),"x","")</f>
        <v/>
      </c>
      <c r="Q1220" s="39" t="str">
        <f>IF(AND($M1220=$O$7,$B1220&lt;'111'!$N$11),"x","")</f>
        <v/>
      </c>
      <c r="R1220" s="39" t="str">
        <f>IF(ISERROR(FIND('112'!$M$9,G1220,1)),"",IF((AND(FIND('112'!$M$9,G1220,1)&gt;=1,$B1220&gt;='112'!$N$8,$B1220&lt;='112'!$O$8,OR($L1220='112'!$I$6,$M1220='112'!$I$6))),"x",""))</f>
        <v/>
      </c>
      <c r="S1220" s="39" t="str">
        <f>IF(ISERROR(FIND('112'!$M$9,G1220,1)),"",IF((AND(LEFT(G1220,2)=LEFT('112'!$M$9,2),B1220&lt;'112'!$N$8,$L1220='112'!$I$6)),"x",""))</f>
        <v/>
      </c>
      <c r="T1220" s="39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39" t="str">
        <f>IF(OR(TH!L1220=TH!$V$7,M1220=TH!$V$7),"x","")</f>
        <v/>
      </c>
      <c r="W1220" s="39" t="str">
        <f>IF(AND(B1220&gt;='IN-NX'!$P$3,B1220&lt;='IN-NX'!$Q$3,'IN-NX'!$D$7=D1220,OR(LEFT(L1220,2)="15",AND(LEFT(M1220,2)&lt;&gt;"15",LEFT(M1220,2)&lt;&gt;"33"))),"x","")</f>
        <v/>
      </c>
      <c r="X1220" s="39" t="str">
        <f>IF(AND(OR(LEFT(TH!L1220,2)="15",LEFT(TH!M1220,2)="15"),'152-CT'!$J$8=TH!F1220),"x","")</f>
        <v/>
      </c>
      <c r="Y1220" s="39" t="str">
        <f>IF(AND(OR(LEFT(TH!L1220,2)="15",LEFT(TH!M1220,2)="15"),TK!$E$7=TH!F1220),"x","")</f>
        <v/>
      </c>
      <c r="Z1220" s="39" t="str">
        <f>IF(AND(B1220&lt;=NKC!$N$8,B1220&gt;=NKC!$M$8),"x","")</f>
        <v/>
      </c>
      <c r="AA1220" s="894"/>
    </row>
    <row r="1221" spans="1:27" ht="15.75" customHeight="1">
      <c r="A1221" s="199" t="str">
        <f>IF(B1221&lt;&gt;"",IF(AND(B1221&gt;=_TM1,B1221&lt;=_TM2,OR(TH!L1221="1111",TH!M1221="1111")),TH!D1221,""),"")</f>
        <v/>
      </c>
      <c r="B1221" s="36" t="str">
        <f t="shared" si="44"/>
        <v/>
      </c>
      <c r="C1221" s="37"/>
      <c r="D1221" s="37"/>
      <c r="E1221" s="776"/>
      <c r="F1221" s="40"/>
      <c r="G1221" s="40"/>
      <c r="H1221" s="7"/>
      <c r="I1221" s="253"/>
      <c r="J1221" s="253"/>
      <c r="K1221" s="606"/>
      <c r="L1221" s="39"/>
      <c r="M1221" s="39"/>
      <c r="N1221" s="39" t="str">
        <f>IF(AND('331-CT'!$E$7=TH!H1221,OR(L1221="331",M1221="331")),"331",IF(AND(OR(L1221="131",M1221="131"),H1221='131-CT'!$E$7),"131",""))</f>
        <v/>
      </c>
      <c r="O1221" s="39" t="str">
        <f>IF(AND($B1221&gt;='111'!$N$11,$B1221&lt;='111'!$O$11,OR($L1221=$O$7,$M1221=$O$7)),"x","")</f>
        <v/>
      </c>
      <c r="P1221" s="39" t="str">
        <f>IF(AND($L1221=$O$7,$B1221&lt;'111'!$N$11),"x","")</f>
        <v/>
      </c>
      <c r="Q1221" s="39" t="str">
        <f>IF(AND($M1221=$O$7,$B1221&lt;'111'!$N$11),"x","")</f>
        <v/>
      </c>
      <c r="R1221" s="39" t="str">
        <f>IF(ISERROR(FIND('112'!$M$9,G1221,1)),"",IF((AND(FIND('112'!$M$9,G1221,1)&gt;=1,$B1221&gt;='112'!$N$8,$B1221&lt;='112'!$O$8,OR($L1221='112'!$I$6,$M1221='112'!$I$6))),"x",""))</f>
        <v/>
      </c>
      <c r="S1221" s="39" t="str">
        <f>IF(ISERROR(FIND('112'!$M$9,G1221,1)),"",IF((AND(LEFT(G1221,2)=LEFT('112'!$M$9,2),B1221&lt;'112'!$N$8,$L1221='112'!$I$6)),"x",""))</f>
        <v/>
      </c>
      <c r="T1221" s="39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39" t="str">
        <f>IF(OR(TH!L1221=TH!$V$7,M1221=TH!$V$7),"x","")</f>
        <v/>
      </c>
      <c r="W1221" s="39" t="str">
        <f>IF(AND(B1221&gt;='IN-NX'!$P$3,B1221&lt;='IN-NX'!$Q$3,'IN-NX'!$D$7=D1221,OR(LEFT(L1221,2)="15",AND(LEFT(M1221,2)&lt;&gt;"15",LEFT(M1221,2)&lt;&gt;"33"))),"x","")</f>
        <v/>
      </c>
      <c r="X1221" s="39" t="str">
        <f>IF(AND(OR(LEFT(TH!L1221,2)="15",LEFT(TH!M1221,2)="15"),'152-CT'!$J$8=TH!F1221),"x","")</f>
        <v/>
      </c>
      <c r="Y1221" s="39" t="str">
        <f>IF(AND(OR(LEFT(TH!L1221,2)="15",LEFT(TH!M1221,2)="15"),TK!$E$7=TH!F1221),"x","")</f>
        <v/>
      </c>
      <c r="Z1221" s="39" t="str">
        <f>IF(AND(B1221&lt;=NKC!$N$8,B1221&gt;=NKC!$M$8),"x","")</f>
        <v/>
      </c>
      <c r="AA1221" s="894"/>
    </row>
    <row r="1222" spans="1:27" ht="15.75" customHeight="1">
      <c r="A1222" s="199" t="str">
        <f>IF(B1222&lt;&gt;"",IF(AND(B1222&gt;=_TM1,B1222&lt;=_TM2,OR(TH!L1222="1111",TH!M1222="1111")),TH!D1222,""),"")</f>
        <v/>
      </c>
      <c r="B1222" s="36" t="str">
        <f t="shared" si="44"/>
        <v/>
      </c>
      <c r="C1222" s="37"/>
      <c r="D1222" s="37"/>
      <c r="E1222" s="37"/>
      <c r="F1222" s="40"/>
      <c r="G1222" s="40"/>
      <c r="H1222" s="7"/>
      <c r="I1222" s="253"/>
      <c r="J1222" s="253"/>
      <c r="K1222" s="606"/>
      <c r="L1222" s="39"/>
      <c r="M1222" s="39"/>
      <c r="N1222" s="39" t="str">
        <f>IF(AND('331-CT'!$E$7=TH!H1222,OR(L1222="331",M1222="331")),"331",IF(AND(OR(L1222="131",M1222="131"),H1222='131-CT'!$E$7),"131",""))</f>
        <v/>
      </c>
      <c r="O1222" s="39" t="str">
        <f>IF(AND($B1222&gt;='111'!$N$11,$B1222&lt;='111'!$O$11,OR($L1222=$O$7,$M1222=$O$7)),"x","")</f>
        <v/>
      </c>
      <c r="P1222" s="39" t="str">
        <f>IF(AND($L1222=$O$7,$B1222&lt;'111'!$N$11),"x","")</f>
        <v/>
      </c>
      <c r="Q1222" s="39" t="str">
        <f>IF(AND($M1222=$O$7,$B1222&lt;'111'!$N$11),"x","")</f>
        <v/>
      </c>
      <c r="R1222" s="39" t="str">
        <f>IF(ISERROR(FIND('112'!$M$9,G1222,1)),"",IF((AND(FIND('112'!$M$9,G1222,1)&gt;=1,$B1222&gt;='112'!$N$8,$B1222&lt;='112'!$O$8,OR($L1222='112'!$I$6,$M1222='112'!$I$6))),"x",""))</f>
        <v/>
      </c>
      <c r="S1222" s="39" t="str">
        <f>IF(ISERROR(FIND('112'!$M$9,G1222,1)),"",IF((AND(LEFT(G1222,2)=LEFT('112'!$M$9,2),B1222&lt;'112'!$N$8,$L1222='112'!$I$6)),"x",""))</f>
        <v/>
      </c>
      <c r="T1222" s="39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39" t="str">
        <f>IF(OR(TH!L1222=TH!$V$7,M1222=TH!$V$7),"x","")</f>
        <v/>
      </c>
      <c r="W1222" s="39" t="str">
        <f>IF(AND(B1222&gt;='IN-NX'!$P$3,B1222&lt;='IN-NX'!$Q$3,'IN-NX'!$D$7=D1222,OR(LEFT(L1222,2)="15",AND(LEFT(M1222,2)&lt;&gt;"15",LEFT(M1222,2)&lt;&gt;"33"))),"x","")</f>
        <v/>
      </c>
      <c r="X1222" s="39" t="str">
        <f>IF(AND(OR(LEFT(TH!L1222,2)="15",LEFT(TH!M1222,2)="15"),'152-CT'!$J$8=TH!F1222),"x","")</f>
        <v/>
      </c>
      <c r="Y1222" s="39" t="str">
        <f>IF(AND(OR(LEFT(TH!L1222,2)="15",LEFT(TH!M1222,2)="15"),TK!$E$7=TH!F1222),"x","")</f>
        <v/>
      </c>
      <c r="Z1222" s="39" t="str">
        <f>IF(AND(B1222&lt;=NKC!$N$8,B1222&gt;=NKC!$M$8),"x","")</f>
        <v/>
      </c>
      <c r="AA1222" s="894"/>
    </row>
    <row r="1223" spans="1:27" ht="15.75" customHeight="1">
      <c r="A1223" s="199" t="str">
        <f>IF(B1223&lt;&gt;"",IF(AND(B1223&gt;=_TM1,B1223&lt;=_TM2,OR(TH!L1223="1111",TH!M1223="1111")),TH!D1223,""),"")</f>
        <v/>
      </c>
      <c r="B1223" s="36" t="str">
        <f t="shared" si="44"/>
        <v/>
      </c>
      <c r="C1223" s="37"/>
      <c r="D1223" s="37"/>
      <c r="E1223" s="37"/>
      <c r="F1223" s="40"/>
      <c r="G1223" s="40"/>
      <c r="H1223" s="7"/>
      <c r="I1223" s="253"/>
      <c r="J1223" s="253"/>
      <c r="K1223" s="606"/>
      <c r="L1223" s="39"/>
      <c r="M1223" s="39"/>
      <c r="N1223" s="39" t="str">
        <f>IF(AND('331-CT'!$E$7=TH!H1223,OR(L1223="331",M1223="331")),"331",IF(AND(OR(L1223="131",M1223="131"),H1223='131-CT'!$E$7),"131",""))</f>
        <v/>
      </c>
      <c r="O1223" s="39" t="str">
        <f>IF(AND($B1223&gt;='111'!$N$11,$B1223&lt;='111'!$O$11,OR($L1223=$O$7,$M1223=$O$7)),"x","")</f>
        <v/>
      </c>
      <c r="P1223" s="39" t="str">
        <f>IF(AND($L1223=$O$7,$B1223&lt;'111'!$N$11),"x","")</f>
        <v/>
      </c>
      <c r="Q1223" s="39" t="str">
        <f>IF(AND($M1223=$O$7,$B1223&lt;'111'!$N$11),"x","")</f>
        <v/>
      </c>
      <c r="R1223" s="39" t="str">
        <f>IF(ISERROR(FIND('112'!$M$9,G1223,1)),"",IF((AND(FIND('112'!$M$9,G1223,1)&gt;=1,$B1223&gt;='112'!$N$8,$B1223&lt;='112'!$O$8,OR($L1223='112'!$I$6,$M1223='112'!$I$6))),"x",""))</f>
        <v/>
      </c>
      <c r="S1223" s="39" t="str">
        <f>IF(ISERROR(FIND('112'!$M$9,G1223,1)),"",IF((AND(LEFT(G1223,2)=LEFT('112'!$M$9,2),B1223&lt;'112'!$N$8,$L1223='112'!$I$6)),"x",""))</f>
        <v/>
      </c>
      <c r="T1223" s="39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39" t="str">
        <f>IF(OR(TH!L1223=TH!$V$7,M1223=TH!$V$7),"x","")</f>
        <v/>
      </c>
      <c r="W1223" s="39" t="str">
        <f>IF(AND(B1223&gt;='IN-NX'!$P$3,B1223&lt;='IN-NX'!$Q$3,'IN-NX'!$D$7=D1223,OR(LEFT(L1223,2)="15",AND(LEFT(M1223,2)&lt;&gt;"15",LEFT(M1223,2)&lt;&gt;"33"))),"x","")</f>
        <v/>
      </c>
      <c r="X1223" s="39" t="str">
        <f>IF(AND(OR(LEFT(TH!L1223,2)="15",LEFT(TH!M1223,2)="15"),'152-CT'!$J$8=TH!F1223),"x","")</f>
        <v/>
      </c>
      <c r="Y1223" s="39" t="str">
        <f>IF(AND(OR(LEFT(TH!L1223,2)="15",LEFT(TH!M1223,2)="15"),TK!$E$7=TH!F1223),"x","")</f>
        <v/>
      </c>
      <c r="Z1223" s="39" t="str">
        <f>IF(AND(B1223&lt;=NKC!$N$8,B1223&gt;=NKC!$M$8),"x","")</f>
        <v/>
      </c>
      <c r="AA1223" s="894"/>
    </row>
    <row r="1224" spans="1:27" ht="15.75" customHeight="1">
      <c r="A1224" s="199" t="str">
        <f>IF(B1224&lt;&gt;"",IF(AND(B1224&gt;=_TM1,B1224&lt;=_TM2,OR(TH!L1224="1111",TH!M1224="1111")),TH!D1224,""),"")</f>
        <v/>
      </c>
      <c r="B1224" s="36" t="str">
        <f t="shared" si="44"/>
        <v/>
      </c>
      <c r="C1224" s="37"/>
      <c r="D1224" s="37"/>
      <c r="E1224" s="37"/>
      <c r="F1224" s="40"/>
      <c r="G1224" s="40"/>
      <c r="H1224" s="7"/>
      <c r="I1224" s="253"/>
      <c r="J1224" s="253"/>
      <c r="K1224" s="606"/>
      <c r="L1224" s="39"/>
      <c r="M1224" s="39"/>
      <c r="N1224" s="39" t="str">
        <f>IF(AND('331-CT'!$E$7=TH!H1224,OR(L1224="331",M1224="331")),"331",IF(AND(OR(L1224="131",M1224="131"),H1224='131-CT'!$E$7),"131",""))</f>
        <v/>
      </c>
      <c r="O1224" s="39" t="str">
        <f>IF(AND($B1224&gt;='111'!$N$11,$B1224&lt;='111'!$O$11,OR($L1224=$O$7,$M1224=$O$7)),"x","")</f>
        <v/>
      </c>
      <c r="P1224" s="39" t="str">
        <f>IF(AND($L1224=$O$7,$B1224&lt;'111'!$N$11),"x","")</f>
        <v/>
      </c>
      <c r="Q1224" s="39" t="str">
        <f>IF(AND($M1224=$O$7,$B1224&lt;'111'!$N$11),"x","")</f>
        <v/>
      </c>
      <c r="R1224" s="39" t="str">
        <f>IF(ISERROR(FIND('112'!$M$9,G1224,1)),"",IF((AND(FIND('112'!$M$9,G1224,1)&gt;=1,$B1224&gt;='112'!$N$8,$B1224&lt;='112'!$O$8,OR($L1224='112'!$I$6,$M1224='112'!$I$6))),"x",""))</f>
        <v/>
      </c>
      <c r="S1224" s="39" t="str">
        <f>IF(ISERROR(FIND('112'!$M$9,G1224,1)),"",IF((AND(LEFT(G1224,2)=LEFT('112'!$M$9,2),B1224&lt;'112'!$N$8,$L1224='112'!$I$6)),"x",""))</f>
        <v/>
      </c>
      <c r="T1224" s="39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39" t="str">
        <f>IF(OR(TH!L1224=TH!$V$7,M1224=TH!$V$7),"x","")</f>
        <v/>
      </c>
      <c r="W1224" s="39" t="str">
        <f>IF(AND(B1224&gt;='IN-NX'!$P$3,B1224&lt;='IN-NX'!$Q$3,'IN-NX'!$D$7=D1224,OR(LEFT(L1224,2)="15",AND(LEFT(M1224,2)&lt;&gt;"15",LEFT(M1224,2)&lt;&gt;"33"))),"x","")</f>
        <v/>
      </c>
      <c r="X1224" s="39" t="str">
        <f>IF(AND(OR(LEFT(TH!L1224,2)="15",LEFT(TH!M1224,2)="15"),'152-CT'!$J$8=TH!F1224),"x","")</f>
        <v/>
      </c>
      <c r="Y1224" s="39" t="str">
        <f>IF(AND(OR(LEFT(TH!L1224,2)="15",LEFT(TH!M1224,2)="15"),TK!$E$7=TH!F1224),"x","")</f>
        <v/>
      </c>
      <c r="Z1224" s="39" t="str">
        <f>IF(AND(B1224&lt;=NKC!$N$8,B1224&gt;=NKC!$M$8),"x","")</f>
        <v/>
      </c>
      <c r="AA1224" s="894"/>
    </row>
    <row r="1225" spans="1:27" ht="15.75" customHeight="1">
      <c r="A1225" s="199" t="str">
        <f>IF(B1225&lt;&gt;"",IF(AND(B1225&gt;=_TM1,B1225&lt;=_TM2,OR(TH!L1225="1111",TH!M1225="1111")),TH!D1225,""),"")</f>
        <v/>
      </c>
      <c r="B1225" s="36" t="str">
        <f t="shared" si="44"/>
        <v/>
      </c>
      <c r="C1225" s="37"/>
      <c r="D1225" s="37"/>
      <c r="E1225" s="37"/>
      <c r="F1225" s="40"/>
      <c r="G1225" s="40"/>
      <c r="H1225" s="7"/>
      <c r="I1225" s="253"/>
      <c r="J1225" s="253"/>
      <c r="K1225" s="606"/>
      <c r="L1225" s="39"/>
      <c r="M1225" s="39"/>
      <c r="N1225" s="39" t="str">
        <f>IF(AND('331-CT'!$E$7=TH!H1225,OR(L1225="331",M1225="331")),"331",IF(AND(OR(L1225="131",M1225="131"),H1225='131-CT'!$E$7),"131",""))</f>
        <v/>
      </c>
      <c r="O1225" s="39" t="str">
        <f>IF(AND($B1225&gt;='111'!$N$11,$B1225&lt;='111'!$O$11,OR($L1225=$O$7,$M1225=$O$7)),"x","")</f>
        <v/>
      </c>
      <c r="P1225" s="39" t="str">
        <f>IF(AND($L1225=$O$7,$B1225&lt;'111'!$N$11),"x","")</f>
        <v/>
      </c>
      <c r="Q1225" s="39" t="str">
        <f>IF(AND($M1225=$O$7,$B1225&lt;'111'!$N$11),"x","")</f>
        <v/>
      </c>
      <c r="R1225" s="39" t="str">
        <f>IF(ISERROR(FIND('112'!$M$9,G1225,1)),"",IF((AND(FIND('112'!$M$9,G1225,1)&gt;=1,$B1225&gt;='112'!$N$8,$B1225&lt;='112'!$O$8,OR($L1225='112'!$I$6,$M1225='112'!$I$6))),"x",""))</f>
        <v/>
      </c>
      <c r="S1225" s="39" t="str">
        <f>IF(ISERROR(FIND('112'!$M$9,G1225,1)),"",IF((AND(LEFT(G1225,2)=LEFT('112'!$M$9,2),B1225&lt;'112'!$N$8,$L1225='112'!$I$6)),"x",""))</f>
        <v/>
      </c>
      <c r="T1225" s="39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39" t="str">
        <f>IF(OR(TH!L1225=TH!$V$7,M1225=TH!$V$7),"x","")</f>
        <v/>
      </c>
      <c r="W1225" s="39" t="str">
        <f>IF(AND(B1225&gt;='IN-NX'!$P$3,B1225&lt;='IN-NX'!$Q$3,'IN-NX'!$D$7=D1225,OR(LEFT(L1225,2)="15",AND(LEFT(M1225,2)&lt;&gt;"15",LEFT(M1225,2)&lt;&gt;"33"))),"x","")</f>
        <v/>
      </c>
      <c r="X1225" s="39" t="str">
        <f>IF(AND(OR(LEFT(TH!L1225,2)="15",LEFT(TH!M1225,2)="15"),'152-CT'!$J$8=TH!F1225),"x","")</f>
        <v/>
      </c>
      <c r="Y1225" s="39" t="str">
        <f>IF(AND(OR(LEFT(TH!L1225,2)="15",LEFT(TH!M1225,2)="15"),TK!$E$7=TH!F1225),"x","")</f>
        <v/>
      </c>
      <c r="Z1225" s="39" t="str">
        <f>IF(AND(B1225&lt;=NKC!$N$8,B1225&gt;=NKC!$M$8),"x","")</f>
        <v/>
      </c>
      <c r="AA1225" s="894"/>
    </row>
    <row r="1226" spans="1:27" ht="15.75" customHeight="1">
      <c r="A1226" s="199" t="str">
        <f>IF(B1226&lt;&gt;"",IF(AND(B1226&gt;=_TM1,B1226&lt;=_TM2,OR(TH!L1226="1111",TH!M1226="1111")),TH!D1226,""),"")</f>
        <v/>
      </c>
      <c r="B1226" s="36" t="str">
        <f t="shared" si="44"/>
        <v/>
      </c>
      <c r="C1226" s="37"/>
      <c r="D1226" s="37"/>
      <c r="E1226" s="37"/>
      <c r="F1226" s="40"/>
      <c r="G1226" s="40"/>
      <c r="H1226" s="7"/>
      <c r="I1226" s="253"/>
      <c r="J1226" s="253"/>
      <c r="K1226" s="606"/>
      <c r="L1226" s="39"/>
      <c r="M1226" s="39"/>
      <c r="N1226" s="39" t="str">
        <f>IF(AND('331-CT'!$E$7=TH!H1226,OR(L1226="331",M1226="331")),"331",IF(AND(OR(L1226="131",M1226="131"),H1226='131-CT'!$E$7),"131",""))</f>
        <v/>
      </c>
      <c r="O1226" s="39" t="str">
        <f>IF(AND($B1226&gt;='111'!$N$11,$B1226&lt;='111'!$O$11,OR($L1226=$O$7,$M1226=$O$7)),"x","")</f>
        <v/>
      </c>
      <c r="P1226" s="39" t="str">
        <f>IF(AND($L1226=$O$7,$B1226&lt;'111'!$N$11),"x","")</f>
        <v/>
      </c>
      <c r="Q1226" s="39" t="str">
        <f>IF(AND($M1226=$O$7,$B1226&lt;'111'!$N$11),"x","")</f>
        <v/>
      </c>
      <c r="R1226" s="39" t="str">
        <f>IF(ISERROR(FIND('112'!$M$9,G1226,1)),"",IF((AND(FIND('112'!$M$9,G1226,1)&gt;=1,$B1226&gt;='112'!$N$8,$B1226&lt;='112'!$O$8,OR($L1226='112'!$I$6,$M1226='112'!$I$6))),"x",""))</f>
        <v/>
      </c>
      <c r="S1226" s="39" t="str">
        <f>IF(ISERROR(FIND('112'!$M$9,G1226,1)),"",IF((AND(LEFT(G1226,2)=LEFT('112'!$M$9,2),B1226&lt;'112'!$N$8,$L1226='112'!$I$6)),"x",""))</f>
        <v/>
      </c>
      <c r="T1226" s="39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39" t="str">
        <f>IF(OR(TH!L1226=TH!$V$7,M1226=TH!$V$7),"x","")</f>
        <v/>
      </c>
      <c r="W1226" s="39" t="str">
        <f>IF(AND(B1226&gt;='IN-NX'!$P$3,B1226&lt;='IN-NX'!$Q$3,'IN-NX'!$D$7=D1226,OR(LEFT(L1226,2)="15",AND(LEFT(M1226,2)&lt;&gt;"15",LEFT(M1226,2)&lt;&gt;"33"))),"x","")</f>
        <v/>
      </c>
      <c r="X1226" s="39" t="str">
        <f>IF(AND(OR(LEFT(TH!L1226,2)="15",LEFT(TH!M1226,2)="15"),'152-CT'!$J$8=TH!F1226),"x","")</f>
        <v/>
      </c>
      <c r="Y1226" s="39" t="str">
        <f>IF(AND(OR(LEFT(TH!L1226,2)="15",LEFT(TH!M1226,2)="15"),TK!$E$7=TH!F1226),"x","")</f>
        <v/>
      </c>
      <c r="Z1226" s="39" t="str">
        <f>IF(AND(B1226&lt;=NKC!$N$8,B1226&gt;=NKC!$M$8),"x","")</f>
        <v/>
      </c>
      <c r="AA1226" s="894"/>
    </row>
    <row r="1227" spans="1:27" ht="15.75" customHeight="1">
      <c r="A1227" s="199" t="str">
        <f>IF(B1227&lt;&gt;"",IF(AND(B1227&gt;=_TM1,B1227&lt;=_TM2,OR(TH!L1227="1111",TH!M1227="1111")),TH!D1227,""),"")</f>
        <v/>
      </c>
      <c r="B1227" s="36" t="str">
        <f t="shared" si="44"/>
        <v/>
      </c>
      <c r="C1227" s="37"/>
      <c r="D1227" s="37"/>
      <c r="E1227" s="37"/>
      <c r="F1227" s="40"/>
      <c r="G1227" s="40"/>
      <c r="H1227" s="7"/>
      <c r="I1227" s="253"/>
      <c r="J1227" s="253"/>
      <c r="K1227" s="606"/>
      <c r="L1227" s="39"/>
      <c r="M1227" s="39"/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/>
      </c>
      <c r="AA1227" s="894"/>
    </row>
    <row r="1228" spans="1:27" ht="15.75" customHeight="1">
      <c r="A1228" s="199" t="str">
        <f>IF(B1228&lt;&gt;"",IF(AND(B1228&gt;=_TM1,B1228&lt;=_TM2,OR(TH!L1228="1111",TH!M1228="1111")),TH!D1228,""),"")</f>
        <v/>
      </c>
      <c r="B1228" s="36" t="str">
        <f t="shared" si="44"/>
        <v/>
      </c>
      <c r="C1228" s="37"/>
      <c r="D1228" s="37"/>
      <c r="E1228" s="37"/>
      <c r="F1228" s="40"/>
      <c r="G1228" s="40"/>
      <c r="H1228" s="7"/>
      <c r="I1228" s="253"/>
      <c r="J1228" s="253"/>
      <c r="K1228" s="606"/>
      <c r="L1228" s="39"/>
      <c r="M1228" s="39"/>
      <c r="N1228" s="39" t="str">
        <f>IF(AND('331-CT'!$E$7=TH!H1228,OR(L1228="331",M1228="331")),"331",IF(AND(OR(L1228="131",M1228="131"),H1228='131-CT'!$E$7),"131",""))</f>
        <v/>
      </c>
      <c r="O1228" s="39" t="str">
        <f>IF(AND($B1228&gt;='111'!$N$11,$B1228&lt;='111'!$O$11,OR($L1228=$O$7,$M1228=$O$7)),"x","")</f>
        <v/>
      </c>
      <c r="P1228" s="39" t="str">
        <f>IF(AND($L1228=$O$7,$B1228&lt;'111'!$N$11),"x","")</f>
        <v/>
      </c>
      <c r="Q1228" s="39" t="str">
        <f>IF(AND($M1228=$O$7,$B1228&lt;'111'!$N$11),"x","")</f>
        <v/>
      </c>
      <c r="R1228" s="39" t="str">
        <f>IF(ISERROR(FIND('112'!$M$9,G1228,1)),"",IF((AND(FIND('112'!$M$9,G1228,1)&gt;=1,$B1228&gt;='112'!$N$8,$B1228&lt;='112'!$O$8,OR($L1228='112'!$I$6,$M1228='112'!$I$6))),"x",""))</f>
        <v/>
      </c>
      <c r="S1228" s="39" t="str">
        <f>IF(ISERROR(FIND('112'!$M$9,G1228,1)),"",IF((AND(LEFT(G1228,2)=LEFT('112'!$M$9,2),B1228&lt;'112'!$N$8,$L1228='112'!$I$6)),"x",""))</f>
        <v/>
      </c>
      <c r="T1228" s="39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39" t="str">
        <f>IF(OR(TH!L1228=TH!$V$7,M1228=TH!$V$7),"x","")</f>
        <v/>
      </c>
      <c r="W1228" s="39" t="str">
        <f>IF(AND(B1228&gt;='IN-NX'!$P$3,B1228&lt;='IN-NX'!$Q$3,'IN-NX'!$D$7=D1228,OR(LEFT(L1228,2)="15",AND(LEFT(M1228,2)&lt;&gt;"15",LEFT(M1228,2)&lt;&gt;"33"))),"x","")</f>
        <v/>
      </c>
      <c r="X1228" s="39" t="str">
        <f>IF(AND(OR(LEFT(TH!L1228,2)="15",LEFT(TH!M1228,2)="15"),'152-CT'!$J$8=TH!F1228),"x","")</f>
        <v/>
      </c>
      <c r="Y1228" s="39" t="str">
        <f>IF(AND(OR(LEFT(TH!L1228,2)="15",LEFT(TH!M1228,2)="15"),TK!$E$7=TH!F1228),"x","")</f>
        <v/>
      </c>
      <c r="Z1228" s="39" t="str">
        <f>IF(AND(B1228&lt;=NKC!$N$8,B1228&gt;=NKC!$M$8),"x","")</f>
        <v/>
      </c>
      <c r="AA1228" s="894"/>
    </row>
    <row r="1229" spans="1:27" ht="15.75" customHeight="1">
      <c r="A1229" s="199" t="str">
        <f>IF(B1229&lt;&gt;"",IF(AND(B1229&gt;=_TM1,B1229&lt;=_TM2,OR(TH!L1229="1111",TH!M1229="1111")),TH!D1229,""),"")</f>
        <v/>
      </c>
      <c r="B1229" s="36" t="str">
        <f t="shared" si="44"/>
        <v/>
      </c>
      <c r="C1229" s="37"/>
      <c r="D1229" s="37"/>
      <c r="E1229" s="37"/>
      <c r="F1229" s="40"/>
      <c r="G1229" s="40"/>
      <c r="H1229" s="7"/>
      <c r="I1229" s="253"/>
      <c r="J1229" s="253"/>
      <c r="K1229" s="606"/>
      <c r="L1229" s="39"/>
      <c r="M1229" s="39"/>
      <c r="N1229" s="39" t="str">
        <f>IF(AND('331-CT'!$E$7=TH!H1229,OR(L1229="331",M1229="331")),"331",IF(AND(OR(L1229="131",M1229="131"),H1229='131-CT'!$E$7),"131",""))</f>
        <v/>
      </c>
      <c r="O1229" s="39" t="str">
        <f>IF(AND($B1229&gt;='111'!$N$11,$B1229&lt;='111'!$O$11,OR($L1229=$O$7,$M1229=$O$7)),"x","")</f>
        <v/>
      </c>
      <c r="P1229" s="39" t="str">
        <f>IF(AND($L1229=$O$7,$B1229&lt;'111'!$N$11),"x","")</f>
        <v/>
      </c>
      <c r="Q1229" s="39" t="str">
        <f>IF(AND($M1229=$O$7,$B1229&lt;'111'!$N$11),"x","")</f>
        <v/>
      </c>
      <c r="R1229" s="39" t="str">
        <f>IF(ISERROR(FIND('112'!$M$9,G1229,1)),"",IF((AND(FIND('112'!$M$9,G1229,1)&gt;=1,$B1229&gt;='112'!$N$8,$B1229&lt;='112'!$O$8,OR($L1229='112'!$I$6,$M1229='112'!$I$6))),"x",""))</f>
        <v/>
      </c>
      <c r="S1229" s="39" t="str">
        <f>IF(ISERROR(FIND('112'!$M$9,G1229,1)),"",IF((AND(LEFT(G1229,2)=LEFT('112'!$M$9,2),B1229&lt;'112'!$N$8,$L1229='112'!$I$6)),"x",""))</f>
        <v/>
      </c>
      <c r="T1229" s="39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39" t="str">
        <f>IF(OR(TH!L1229=TH!$V$7,M1229=TH!$V$7),"x","")</f>
        <v/>
      </c>
      <c r="W1229" s="39" t="str">
        <f>IF(AND(B1229&gt;='IN-NX'!$P$3,B1229&lt;='IN-NX'!$Q$3,'IN-NX'!$D$7=D1229,OR(LEFT(L1229,2)="15",AND(LEFT(M1229,2)&lt;&gt;"15",LEFT(M1229,2)&lt;&gt;"33"))),"x","")</f>
        <v/>
      </c>
      <c r="X1229" s="39" t="str">
        <f>IF(AND(OR(LEFT(TH!L1229,2)="15",LEFT(TH!M1229,2)="15"),'152-CT'!$J$8=TH!F1229),"x","")</f>
        <v/>
      </c>
      <c r="Y1229" s="39" t="str">
        <f>IF(AND(OR(LEFT(TH!L1229,2)="15",LEFT(TH!M1229,2)="15"),TK!$E$7=TH!F1229),"x","")</f>
        <v/>
      </c>
      <c r="Z1229" s="39" t="str">
        <f>IF(AND(B1229&lt;=NKC!$N$8,B1229&gt;=NKC!$M$8),"x","")</f>
        <v/>
      </c>
      <c r="AA1229" s="894"/>
    </row>
    <row r="1230" spans="1:27" ht="15.75" customHeight="1">
      <c r="A1230" s="199" t="str">
        <f>IF(B1230&lt;&gt;"",IF(AND(B1230&gt;=_TM1,B1230&lt;=_TM2,OR(TH!L1230="1111",TH!M1230="1111")),TH!D1230,""),"")</f>
        <v/>
      </c>
      <c r="B1230" s="36" t="str">
        <f t="shared" si="44"/>
        <v/>
      </c>
      <c r="C1230" s="37"/>
      <c r="D1230" s="37"/>
      <c r="E1230" s="37"/>
      <c r="F1230" s="40"/>
      <c r="G1230" s="40"/>
      <c r="H1230" s="7"/>
      <c r="I1230" s="253"/>
      <c r="J1230" s="253"/>
      <c r="K1230" s="606"/>
      <c r="L1230" s="39"/>
      <c r="M1230" s="39"/>
      <c r="N1230" s="39" t="str">
        <f>IF(AND('331-CT'!$E$7=TH!H1230,OR(L1230="331",M1230="331")),"331",IF(AND(OR(L1230="131",M1230="131"),H1230='131-CT'!$E$7),"131",""))</f>
        <v/>
      </c>
      <c r="O1230" s="39" t="str">
        <f>IF(AND($B1230&gt;='111'!$N$11,$B1230&lt;='111'!$O$11,OR($L1230=$O$7,$M1230=$O$7)),"x","")</f>
        <v/>
      </c>
      <c r="P1230" s="39" t="str">
        <f>IF(AND($L1230=$O$7,$B1230&lt;'111'!$N$11),"x","")</f>
        <v/>
      </c>
      <c r="Q1230" s="39" t="str">
        <f>IF(AND($M1230=$O$7,$B1230&lt;'111'!$N$11),"x","")</f>
        <v/>
      </c>
      <c r="R1230" s="39" t="str">
        <f>IF(ISERROR(FIND('112'!$M$9,G1230,1)),"",IF((AND(FIND('112'!$M$9,G1230,1)&gt;=1,$B1230&gt;='112'!$N$8,$B1230&lt;='112'!$O$8,OR($L1230='112'!$I$6,$M1230='112'!$I$6))),"x",""))</f>
        <v/>
      </c>
      <c r="S1230" s="39" t="str">
        <f>IF(ISERROR(FIND('112'!$M$9,G1230,1)),"",IF((AND(LEFT(G1230,2)=LEFT('112'!$M$9,2),B1230&lt;'112'!$N$8,$L1230='112'!$I$6)),"x",""))</f>
        <v/>
      </c>
      <c r="T1230" s="39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39" t="str">
        <f>IF(OR(TH!L1230=TH!$V$7,M1230=TH!$V$7),"x","")</f>
        <v/>
      </c>
      <c r="W1230" s="39" t="str">
        <f>IF(AND(B1230&gt;='IN-NX'!$P$3,B1230&lt;='IN-NX'!$Q$3,'IN-NX'!$D$7=D1230,OR(LEFT(L1230,2)="15",AND(LEFT(M1230,2)&lt;&gt;"15",LEFT(M1230,2)&lt;&gt;"33"))),"x","")</f>
        <v/>
      </c>
      <c r="X1230" s="39" t="str">
        <f>IF(AND(OR(LEFT(TH!L1230,2)="15",LEFT(TH!M1230,2)="15"),'152-CT'!$J$8=TH!F1230),"x","")</f>
        <v/>
      </c>
      <c r="Y1230" s="39" t="str">
        <f>IF(AND(OR(LEFT(TH!L1230,2)="15",LEFT(TH!M1230,2)="15"),TK!$E$7=TH!F1230),"x","")</f>
        <v/>
      </c>
      <c r="Z1230" s="39" t="str">
        <f>IF(AND(B1230&lt;=NKC!$N$8,B1230&gt;=NKC!$M$8),"x","")</f>
        <v/>
      </c>
      <c r="AA1230" s="894"/>
    </row>
    <row r="1231" spans="1:27" ht="15.75" customHeight="1">
      <c r="A1231" s="199" t="str">
        <f>IF(B1231&lt;&gt;"",IF(AND(B1231&gt;=_TM1,B1231&lt;=_TM2,OR(TH!L1231="1111",TH!M1231="1111")),TH!D1231,""),"")</f>
        <v/>
      </c>
      <c r="B1231" s="36" t="str">
        <f t="shared" si="44"/>
        <v/>
      </c>
      <c r="C1231" s="37"/>
      <c r="D1231" s="37"/>
      <c r="E1231" s="37"/>
      <c r="F1231" s="40"/>
      <c r="G1231" s="40"/>
      <c r="H1231" s="7"/>
      <c r="I1231" s="253"/>
      <c r="J1231" s="253"/>
      <c r="K1231" s="606"/>
      <c r="L1231" s="39"/>
      <c r="M1231" s="39"/>
      <c r="N1231" s="39" t="str">
        <f>IF(AND('331-CT'!$E$7=TH!H1231,OR(L1231="331",M1231="331")),"331",IF(AND(OR(L1231="131",M1231="131"),H1231='131-CT'!$E$7),"131",""))</f>
        <v/>
      </c>
      <c r="O1231" s="39" t="str">
        <f>IF(AND($B1231&gt;='111'!$N$11,$B1231&lt;='111'!$O$11,OR($L1231=$O$7,$M1231=$O$7)),"x","")</f>
        <v/>
      </c>
      <c r="P1231" s="39" t="str">
        <f>IF(AND($L1231=$O$7,$B1231&lt;'111'!$N$11),"x","")</f>
        <v/>
      </c>
      <c r="Q1231" s="39" t="str">
        <f>IF(AND($M1231=$O$7,$B1231&lt;'111'!$N$11),"x","")</f>
        <v/>
      </c>
      <c r="R1231" s="39" t="str">
        <f>IF(ISERROR(FIND('112'!$M$9,G1231,1)),"",IF((AND(FIND('112'!$M$9,G1231,1)&gt;=1,$B1231&gt;='112'!$N$8,$B1231&lt;='112'!$O$8,OR($L1231='112'!$I$6,$M1231='112'!$I$6))),"x",""))</f>
        <v/>
      </c>
      <c r="S1231" s="39" t="str">
        <f>IF(ISERROR(FIND('112'!$M$9,G1231,1)),"",IF((AND(LEFT(G1231,2)=LEFT('112'!$M$9,2),B1231&lt;'112'!$N$8,$L1231='112'!$I$6)),"x",""))</f>
        <v/>
      </c>
      <c r="T1231" s="39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39" t="str">
        <f>IF(OR(TH!L1231=TH!$V$7,M1231=TH!$V$7),"x","")</f>
        <v/>
      </c>
      <c r="W1231" s="39" t="str">
        <f>IF(AND(B1231&gt;='IN-NX'!$P$3,B1231&lt;='IN-NX'!$Q$3,'IN-NX'!$D$7=D1231,OR(LEFT(L1231,2)="15",AND(LEFT(M1231,2)&lt;&gt;"15",LEFT(M1231,2)&lt;&gt;"33"))),"x","")</f>
        <v/>
      </c>
      <c r="X1231" s="39" t="str">
        <f>IF(AND(OR(LEFT(TH!L1231,2)="15",LEFT(TH!M1231,2)="15"),'152-CT'!$J$8=TH!F1231),"x","")</f>
        <v/>
      </c>
      <c r="Y1231" s="39" t="str">
        <f>IF(AND(OR(LEFT(TH!L1231,2)="15",LEFT(TH!M1231,2)="15"),TK!$E$7=TH!F1231),"x","")</f>
        <v/>
      </c>
      <c r="Z1231" s="39" t="str">
        <f>IF(AND(B1231&lt;=NKC!$N$8,B1231&gt;=NKC!$M$8),"x","")</f>
        <v/>
      </c>
      <c r="AA1231" s="894"/>
    </row>
    <row r="1232" spans="1:27" ht="15.75" customHeight="1">
      <c r="A1232" s="199" t="str">
        <f>IF(B1232&lt;&gt;"",IF(AND(B1232&gt;=_TM1,B1232&lt;=_TM2,OR(TH!L1232="1111",TH!M1232="1111")),TH!D1232,""),"")</f>
        <v/>
      </c>
      <c r="B1232" s="36" t="str">
        <f t="shared" si="44"/>
        <v/>
      </c>
      <c r="C1232" s="37"/>
      <c r="D1232" s="37"/>
      <c r="E1232" s="37"/>
      <c r="F1232" s="40"/>
      <c r="G1232" s="40"/>
      <c r="H1232" s="7"/>
      <c r="I1232" s="253"/>
      <c r="J1232" s="253"/>
      <c r="K1232" s="606"/>
      <c r="L1232" s="39"/>
      <c r="M1232" s="39"/>
      <c r="N1232" s="39" t="str">
        <f>IF(AND('331-CT'!$E$7=TH!H1232,OR(L1232="331",M1232="331")),"331",IF(AND(OR(L1232="131",M1232="131"),H1232='131-CT'!$E$7),"131",""))</f>
        <v/>
      </c>
      <c r="O1232" s="39" t="str">
        <f>IF(AND($B1232&gt;='111'!$N$11,$B1232&lt;='111'!$O$11,OR($L1232=$O$7,$M1232=$O$7)),"x","")</f>
        <v/>
      </c>
      <c r="P1232" s="39" t="str">
        <f>IF(AND($L1232=$O$7,$B1232&lt;'111'!$N$11),"x","")</f>
        <v/>
      </c>
      <c r="Q1232" s="39" t="str">
        <f>IF(AND($M1232=$O$7,$B1232&lt;'111'!$N$11),"x","")</f>
        <v/>
      </c>
      <c r="R1232" s="39" t="str">
        <f>IF(ISERROR(FIND('112'!$M$9,G1232,1)),"",IF((AND(FIND('112'!$M$9,G1232,1)&gt;=1,$B1232&gt;='112'!$N$8,$B1232&lt;='112'!$O$8,OR($L1232='112'!$I$6,$M1232='112'!$I$6))),"x",""))</f>
        <v/>
      </c>
      <c r="S1232" s="39" t="str">
        <f>IF(ISERROR(FIND('112'!$M$9,G1232,1)),"",IF((AND(LEFT(G1232,2)=LEFT('112'!$M$9,2),B1232&lt;'112'!$N$8,$L1232='112'!$I$6)),"x",""))</f>
        <v/>
      </c>
      <c r="T1232" s="39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39" t="str">
        <f>IF(OR(TH!L1232=TH!$V$7,M1232=TH!$V$7),"x","")</f>
        <v/>
      </c>
      <c r="W1232" s="39" t="str">
        <f>IF(AND(B1232&gt;='IN-NX'!$P$3,B1232&lt;='IN-NX'!$Q$3,'IN-NX'!$D$7=D1232,OR(LEFT(L1232,2)="15",AND(LEFT(M1232,2)&lt;&gt;"15",LEFT(M1232,2)&lt;&gt;"33"))),"x","")</f>
        <v/>
      </c>
      <c r="X1232" s="39" t="str">
        <f>IF(AND(OR(LEFT(TH!L1232,2)="15",LEFT(TH!M1232,2)="15"),'152-CT'!$J$8=TH!F1232),"x","")</f>
        <v/>
      </c>
      <c r="Y1232" s="39" t="str">
        <f>IF(AND(OR(LEFT(TH!L1232,2)="15",LEFT(TH!M1232,2)="15"),TK!$E$7=TH!F1232),"x","")</f>
        <v/>
      </c>
      <c r="Z1232" s="39" t="str">
        <f>IF(AND(B1232&lt;=NKC!$N$8,B1232&gt;=NKC!$M$8),"x","")</f>
        <v/>
      </c>
      <c r="AA1232" s="894"/>
    </row>
    <row r="1233" spans="1:27" ht="15.75" customHeight="1">
      <c r="A1233" s="199" t="str">
        <f>IF(B1233&lt;&gt;"",IF(AND(B1233&gt;=_TM1,B1233&lt;=_TM2,OR(TH!L1233="1111",TH!M1233="1111")),TH!D1233,""),"")</f>
        <v/>
      </c>
      <c r="B1233" s="36" t="str">
        <f t="shared" si="44"/>
        <v/>
      </c>
      <c r="C1233" s="37"/>
      <c r="D1233" s="37"/>
      <c r="E1233" s="37"/>
      <c r="F1233" s="40"/>
      <c r="G1233" s="40"/>
      <c r="H1233" s="7"/>
      <c r="I1233" s="253"/>
      <c r="J1233" s="253"/>
      <c r="K1233" s="606"/>
      <c r="L1233" s="39"/>
      <c r="M1233" s="39"/>
      <c r="N1233" s="39" t="str">
        <f>IF(AND('331-CT'!$E$7=TH!H1233,OR(L1233="331",M1233="331")),"331",IF(AND(OR(L1233="131",M1233="131"),H1233='131-CT'!$E$7),"131",""))</f>
        <v/>
      </c>
      <c r="O1233" s="39" t="str">
        <f>IF(AND($B1233&gt;='111'!$N$11,$B1233&lt;='111'!$O$11,OR($L1233=$O$7,$M1233=$O$7)),"x","")</f>
        <v/>
      </c>
      <c r="P1233" s="39" t="str">
        <f>IF(AND($L1233=$O$7,$B1233&lt;'111'!$N$11),"x","")</f>
        <v/>
      </c>
      <c r="Q1233" s="39" t="str">
        <f>IF(AND($M1233=$O$7,$B1233&lt;'111'!$N$11),"x","")</f>
        <v/>
      </c>
      <c r="R1233" s="39" t="str">
        <f>IF(ISERROR(FIND('112'!$M$9,G1233,1)),"",IF((AND(FIND('112'!$M$9,G1233,1)&gt;=1,$B1233&gt;='112'!$N$8,$B1233&lt;='112'!$O$8,OR($L1233='112'!$I$6,$M1233='112'!$I$6))),"x",""))</f>
        <v/>
      </c>
      <c r="S1233" s="39" t="str">
        <f>IF(ISERROR(FIND('112'!$M$9,G1233,1)),"",IF((AND(LEFT(G1233,2)=LEFT('112'!$M$9,2),B1233&lt;'112'!$N$8,$L1233='112'!$I$6)),"x",""))</f>
        <v/>
      </c>
      <c r="T1233" s="39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39" t="str">
        <f>IF(OR(TH!L1233=TH!$V$7,M1233=TH!$V$7),"x","")</f>
        <v/>
      </c>
      <c r="W1233" s="39" t="str">
        <f>IF(AND(B1233&gt;='IN-NX'!$P$3,B1233&lt;='IN-NX'!$Q$3,'IN-NX'!$D$7=D1233,OR(LEFT(L1233,2)="15",AND(LEFT(M1233,2)&lt;&gt;"15",LEFT(M1233,2)&lt;&gt;"33"))),"x","")</f>
        <v/>
      </c>
      <c r="X1233" s="39" t="str">
        <f>IF(AND(OR(LEFT(TH!L1233,2)="15",LEFT(TH!M1233,2)="15"),'152-CT'!$J$8=TH!F1233),"x","")</f>
        <v/>
      </c>
      <c r="Y1233" s="39" t="str">
        <f>IF(AND(OR(LEFT(TH!L1233,2)="15",LEFT(TH!M1233,2)="15"),TK!$E$7=TH!F1233),"x","")</f>
        <v/>
      </c>
      <c r="Z1233" s="39" t="str">
        <f>IF(AND(B1233&lt;=NKC!$N$8,B1233&gt;=NKC!$M$8),"x","")</f>
        <v/>
      </c>
      <c r="AA1233" s="894"/>
    </row>
    <row r="1234" spans="1:27" ht="15.75" customHeight="1">
      <c r="A1234" s="199" t="str">
        <f>IF(B1234&lt;&gt;"",IF(AND(B1234&gt;=_TM1,B1234&lt;=_TM2,OR(TH!L1234="1111",TH!M1234="1111")),TH!D1234,""),"")</f>
        <v/>
      </c>
      <c r="B1234" s="36" t="str">
        <f t="shared" si="44"/>
        <v/>
      </c>
      <c r="C1234" s="37"/>
      <c r="D1234" s="37"/>
      <c r="E1234" s="37"/>
      <c r="F1234" s="40"/>
      <c r="G1234" s="40"/>
      <c r="H1234" s="7"/>
      <c r="I1234" s="253"/>
      <c r="J1234" s="253"/>
      <c r="K1234" s="606"/>
      <c r="L1234" s="39"/>
      <c r="M1234" s="39"/>
      <c r="N1234" s="39" t="str">
        <f>IF(AND('331-CT'!$E$7=TH!H1234,OR(L1234="331",M1234="331")),"331",IF(AND(OR(L1234="131",M1234="131"),H1234='131-CT'!$E$7),"131",""))</f>
        <v/>
      </c>
      <c r="O1234" s="39" t="str">
        <f>IF(AND($B1234&gt;='111'!$N$11,$B1234&lt;='111'!$O$11,OR($L1234=$O$7,$M1234=$O$7)),"x","")</f>
        <v/>
      </c>
      <c r="P1234" s="39" t="str">
        <f>IF(AND($L1234=$O$7,$B1234&lt;'111'!$N$11),"x","")</f>
        <v/>
      </c>
      <c r="Q1234" s="39" t="str">
        <f>IF(AND($M1234=$O$7,$B1234&lt;'111'!$N$11),"x","")</f>
        <v/>
      </c>
      <c r="R1234" s="39" t="str">
        <f>IF(ISERROR(FIND('112'!$M$9,G1234,1)),"",IF((AND(FIND('112'!$M$9,G1234,1)&gt;=1,$B1234&gt;='112'!$N$8,$B1234&lt;='112'!$O$8,OR($L1234='112'!$I$6,$M1234='112'!$I$6))),"x",""))</f>
        <v/>
      </c>
      <c r="S1234" s="39" t="str">
        <f>IF(ISERROR(FIND('112'!$M$9,G1234,1)),"",IF((AND(LEFT(G1234,2)=LEFT('112'!$M$9,2),B1234&lt;'112'!$N$8,$L1234='112'!$I$6)),"x",""))</f>
        <v/>
      </c>
      <c r="T1234" s="39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39" t="str">
        <f>IF(OR(TH!L1234=TH!$V$7,M1234=TH!$V$7),"x","")</f>
        <v/>
      </c>
      <c r="W1234" s="39" t="str">
        <f>IF(AND(B1234&gt;='IN-NX'!$P$3,B1234&lt;='IN-NX'!$Q$3,'IN-NX'!$D$7=D1234,OR(LEFT(L1234,2)="15",AND(LEFT(M1234,2)&lt;&gt;"15",LEFT(M1234,2)&lt;&gt;"33"))),"x","")</f>
        <v/>
      </c>
      <c r="X1234" s="39" t="str">
        <f>IF(AND(OR(LEFT(TH!L1234,2)="15",LEFT(TH!M1234,2)="15"),'152-CT'!$J$8=TH!F1234),"x","")</f>
        <v/>
      </c>
      <c r="Y1234" s="39" t="str">
        <f>IF(AND(OR(LEFT(TH!L1234,2)="15",LEFT(TH!M1234,2)="15"),TK!$E$7=TH!F1234),"x","")</f>
        <v/>
      </c>
      <c r="Z1234" s="39" t="str">
        <f>IF(AND(B1234&lt;=NKC!$N$8,B1234&gt;=NKC!$M$8),"x","")</f>
        <v/>
      </c>
      <c r="AA1234" s="894"/>
    </row>
    <row r="1235" spans="1:27" ht="15.75" customHeight="1">
      <c r="A1235" s="199" t="str">
        <f>IF(B1235&lt;&gt;"",IF(AND(B1235&gt;=_TM1,B1235&lt;=_TM2,OR(TH!L1235="1111",TH!M1235="1111")),TH!D1235,""),"")</f>
        <v/>
      </c>
      <c r="B1235" s="36" t="str">
        <f t="shared" si="44"/>
        <v/>
      </c>
      <c r="C1235" s="37"/>
      <c r="D1235" s="37"/>
      <c r="E1235" s="37"/>
      <c r="F1235" s="40"/>
      <c r="G1235" s="40"/>
      <c r="H1235" s="7"/>
      <c r="I1235" s="253"/>
      <c r="J1235" s="253"/>
      <c r="K1235" s="606"/>
      <c r="L1235" s="39"/>
      <c r="M1235" s="39"/>
      <c r="N1235" s="39" t="str">
        <f>IF(AND('331-CT'!$E$7=TH!H1235,OR(L1235="331",M1235="331")),"331",IF(AND(OR(L1235="131",M1235="131"),H1235='131-CT'!$E$7),"131",""))</f>
        <v/>
      </c>
      <c r="O1235" s="39" t="str">
        <f>IF(AND($B1235&gt;='111'!$N$11,$B1235&lt;='111'!$O$11,OR($L1235=$O$7,$M1235=$O$7)),"x","")</f>
        <v/>
      </c>
      <c r="P1235" s="39" t="str">
        <f>IF(AND($L1235=$O$7,$B1235&lt;'111'!$N$11),"x","")</f>
        <v/>
      </c>
      <c r="Q1235" s="39" t="str">
        <f>IF(AND($M1235=$O$7,$B1235&lt;'111'!$N$11),"x","")</f>
        <v/>
      </c>
      <c r="R1235" s="39" t="str">
        <f>IF(ISERROR(FIND('112'!$M$9,G1235,1)),"",IF((AND(FIND('112'!$M$9,G1235,1)&gt;=1,$B1235&gt;='112'!$N$8,$B1235&lt;='112'!$O$8,OR($L1235='112'!$I$6,$M1235='112'!$I$6))),"x",""))</f>
        <v/>
      </c>
      <c r="S1235" s="39" t="str">
        <f>IF(ISERROR(FIND('112'!$M$9,G1235,1)),"",IF((AND(LEFT(G1235,2)=LEFT('112'!$M$9,2),B1235&lt;'112'!$N$8,$L1235='112'!$I$6)),"x",""))</f>
        <v/>
      </c>
      <c r="T1235" s="39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39" t="str">
        <f>IF(OR(TH!L1235=TH!$V$7,M1235=TH!$V$7),"x","")</f>
        <v/>
      </c>
      <c r="W1235" s="39" t="str">
        <f>IF(AND(B1235&gt;='IN-NX'!$P$3,B1235&lt;='IN-NX'!$Q$3,'IN-NX'!$D$7=D1235,OR(LEFT(L1235,2)="15",AND(LEFT(M1235,2)&lt;&gt;"15",LEFT(M1235,2)&lt;&gt;"33"))),"x","")</f>
        <v/>
      </c>
      <c r="X1235" s="39" t="str">
        <f>IF(AND(OR(LEFT(TH!L1235,2)="15",LEFT(TH!M1235,2)="15"),'152-CT'!$J$8=TH!F1235),"x","")</f>
        <v/>
      </c>
      <c r="Y1235" s="39" t="str">
        <f>IF(AND(OR(LEFT(TH!L1235,2)="15",LEFT(TH!M1235,2)="15"),TK!$E$7=TH!F1235),"x","")</f>
        <v/>
      </c>
      <c r="Z1235" s="39" t="str">
        <f>IF(AND(B1235&lt;=NKC!$N$8,B1235&gt;=NKC!$M$8),"x","")</f>
        <v/>
      </c>
      <c r="AA1235" s="894"/>
    </row>
    <row r="1236" spans="1:27" ht="15.75" customHeight="1">
      <c r="A1236" s="199" t="str">
        <f>IF(B1236&lt;&gt;"",IF(AND(B1236&gt;=_TM1,B1236&lt;=_TM2,OR(TH!L1236="1111",TH!M1236="1111")),TH!D1236,""),"")</f>
        <v/>
      </c>
      <c r="B1236" s="36" t="str">
        <f t="shared" si="44"/>
        <v/>
      </c>
      <c r="C1236" s="37"/>
      <c r="D1236" s="37"/>
      <c r="E1236" s="37"/>
      <c r="F1236" s="40"/>
      <c r="G1236" s="40"/>
      <c r="H1236" s="7"/>
      <c r="I1236" s="253"/>
      <c r="J1236" s="253"/>
      <c r="K1236" s="606"/>
      <c r="L1236" s="39"/>
      <c r="M1236" s="39"/>
      <c r="N1236" s="39" t="str">
        <f>IF(AND('331-CT'!$E$7=TH!H1236,OR(L1236="331",M1236="331")),"331",IF(AND(OR(L1236="131",M1236="131"),H1236='131-CT'!$E$7),"131",""))</f>
        <v/>
      </c>
      <c r="O1236" s="39" t="str">
        <f>IF(AND($B1236&gt;='111'!$N$11,$B1236&lt;='111'!$O$11,OR($L1236=$O$7,$M1236=$O$7)),"x","")</f>
        <v/>
      </c>
      <c r="P1236" s="39" t="str">
        <f>IF(AND($L1236=$O$7,$B1236&lt;'111'!$N$11),"x","")</f>
        <v/>
      </c>
      <c r="Q1236" s="39" t="str">
        <f>IF(AND($M1236=$O$7,$B1236&lt;'111'!$N$11),"x","")</f>
        <v/>
      </c>
      <c r="R1236" s="39" t="str">
        <f>IF(ISERROR(FIND('112'!$M$9,G1236,1)),"",IF((AND(FIND('112'!$M$9,G1236,1)&gt;=1,$B1236&gt;='112'!$N$8,$B1236&lt;='112'!$O$8,OR($L1236='112'!$I$6,$M1236='112'!$I$6))),"x",""))</f>
        <v/>
      </c>
      <c r="S1236" s="39" t="str">
        <f>IF(ISERROR(FIND('112'!$M$9,G1236,1)),"",IF((AND(LEFT(G1236,2)=LEFT('112'!$M$9,2),B1236&lt;'112'!$N$8,$L1236='112'!$I$6)),"x",""))</f>
        <v/>
      </c>
      <c r="T1236" s="39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39" t="str">
        <f>IF(OR(TH!L1236=TH!$V$7,M1236=TH!$V$7),"x","")</f>
        <v/>
      </c>
      <c r="W1236" s="39" t="str">
        <f>IF(AND(B1236&gt;='IN-NX'!$P$3,B1236&lt;='IN-NX'!$Q$3,'IN-NX'!$D$7=D1236,OR(LEFT(L1236,2)="15",AND(LEFT(M1236,2)&lt;&gt;"15",LEFT(M1236,2)&lt;&gt;"33"))),"x","")</f>
        <v/>
      </c>
      <c r="X1236" s="39" t="str">
        <f>IF(AND(OR(LEFT(TH!L1236,2)="15",LEFT(TH!M1236,2)="15"),'152-CT'!$J$8=TH!F1236),"x","")</f>
        <v/>
      </c>
      <c r="Y1236" s="39" t="str">
        <f>IF(AND(OR(LEFT(TH!L1236,2)="15",LEFT(TH!M1236,2)="15"),TK!$E$7=TH!F1236),"x","")</f>
        <v/>
      </c>
      <c r="Z1236" s="39" t="str">
        <f>IF(AND(B1236&lt;=NKC!$N$8,B1236&gt;=NKC!$M$8),"x","")</f>
        <v/>
      </c>
      <c r="AA1236" s="894"/>
    </row>
    <row r="1237" spans="1:27" ht="15.75" customHeight="1">
      <c r="A1237" s="199" t="str">
        <f>IF(B1237&lt;&gt;"",IF(AND(B1237&gt;=_TM1,B1237&lt;=_TM2,OR(TH!L1237="1111",TH!M1237="1111")),TH!D1237,""),"")</f>
        <v/>
      </c>
      <c r="B1237" s="36" t="str">
        <f t="shared" si="44"/>
        <v/>
      </c>
      <c r="C1237" s="37"/>
      <c r="D1237" s="37"/>
      <c r="E1237" s="37"/>
      <c r="F1237" s="40"/>
      <c r="G1237" s="40"/>
      <c r="H1237" s="7"/>
      <c r="I1237" s="253"/>
      <c r="J1237" s="253"/>
      <c r="K1237" s="606"/>
      <c r="L1237" s="39"/>
      <c r="M1237" s="39"/>
      <c r="N1237" s="39" t="str">
        <f>IF(AND('331-CT'!$E$7=TH!H1237,OR(L1237="331",M1237="331")),"331",IF(AND(OR(L1237="131",M1237="131"),H1237='131-CT'!$E$7),"131",""))</f>
        <v/>
      </c>
      <c r="O1237" s="39" t="str">
        <f>IF(AND($B1237&gt;='111'!$N$11,$B1237&lt;='111'!$O$11,OR($L1237=$O$7,$M1237=$O$7)),"x","")</f>
        <v/>
      </c>
      <c r="P1237" s="39" t="str">
        <f>IF(AND($L1237=$O$7,$B1237&lt;'111'!$N$11),"x","")</f>
        <v/>
      </c>
      <c r="Q1237" s="39" t="str">
        <f>IF(AND($M1237=$O$7,$B1237&lt;'111'!$N$11),"x","")</f>
        <v/>
      </c>
      <c r="R1237" s="39" t="str">
        <f>IF(ISERROR(FIND('112'!$M$9,G1237,1)),"",IF((AND(FIND('112'!$M$9,G1237,1)&gt;=1,$B1237&gt;='112'!$N$8,$B1237&lt;='112'!$O$8,OR($L1237='112'!$I$6,$M1237='112'!$I$6))),"x",""))</f>
        <v/>
      </c>
      <c r="S1237" s="39" t="str">
        <f>IF(ISERROR(FIND('112'!$M$9,G1237,1)),"",IF((AND(LEFT(G1237,2)=LEFT('112'!$M$9,2),B1237&lt;'112'!$N$8,$L1237='112'!$I$6)),"x",""))</f>
        <v/>
      </c>
      <c r="T1237" s="39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39" t="str">
        <f>IF(OR(TH!L1237=TH!$V$7,M1237=TH!$V$7),"x","")</f>
        <v/>
      </c>
      <c r="W1237" s="39" t="str">
        <f>IF(AND(B1237&gt;='IN-NX'!$P$3,B1237&lt;='IN-NX'!$Q$3,'IN-NX'!$D$7=D1237,OR(LEFT(L1237,2)="15",AND(LEFT(M1237,2)&lt;&gt;"15",LEFT(M1237,2)&lt;&gt;"33"))),"x","")</f>
        <v/>
      </c>
      <c r="X1237" s="39" t="str">
        <f>IF(AND(OR(LEFT(TH!L1237,2)="15",LEFT(TH!M1237,2)="15"),'152-CT'!$J$8=TH!F1237),"x","")</f>
        <v/>
      </c>
      <c r="Y1237" s="39" t="str">
        <f>IF(AND(OR(LEFT(TH!L1237,2)="15",LEFT(TH!M1237,2)="15"),TK!$E$7=TH!F1237),"x","")</f>
        <v/>
      </c>
      <c r="Z1237" s="39" t="str">
        <f>IF(AND(B1237&lt;=NKC!$N$8,B1237&gt;=NKC!$M$8),"x","")</f>
        <v/>
      </c>
      <c r="AA1237" s="894"/>
    </row>
    <row r="1238" spans="1:27" ht="15.75" customHeight="1">
      <c r="A1238" s="199" t="str">
        <f>IF(B1238&lt;&gt;"",IF(AND(B1238&gt;=_TM1,B1238&lt;=_TM2,OR(TH!L1238="1111",TH!M1238="1111")),TH!D1238,""),"")</f>
        <v/>
      </c>
      <c r="B1238" s="36" t="str">
        <f t="shared" si="44"/>
        <v/>
      </c>
      <c r="C1238" s="190"/>
      <c r="D1238" s="190"/>
      <c r="E1238" s="190"/>
      <c r="F1238" s="191"/>
      <c r="G1238" s="491"/>
      <c r="H1238" s="192"/>
      <c r="I1238" s="253"/>
      <c r="J1238" s="253"/>
      <c r="K1238" s="606"/>
      <c r="L1238" s="193"/>
      <c r="M1238" s="193"/>
      <c r="N1238" s="39" t="str">
        <f>IF(AND('331-CT'!$E$7=TH!H1238,OR(L1238="331",M1238="331")),"331",IF(AND(OR(L1238="131",M1238="131"),H1238='131-CT'!$E$7),"131",""))</f>
        <v/>
      </c>
      <c r="O1238" s="39" t="str">
        <f>IF(AND($B1238&gt;='111'!$N$11,$B1238&lt;='111'!$O$11,OR($L1238=$O$7,$M1238=$O$7)),"x","")</f>
        <v/>
      </c>
      <c r="P1238" s="39" t="str">
        <f>IF(AND($L1238=$O$7,$B1238&lt;'111'!$N$11),"x","")</f>
        <v/>
      </c>
      <c r="Q1238" s="39" t="str">
        <f>IF(AND($M1238=$O$7,$B1238&lt;'111'!$N$11),"x","")</f>
        <v/>
      </c>
      <c r="R1238" s="39" t="str">
        <f>IF(ISERROR(FIND('112'!$M$9,G1238,1)),"",IF((AND(FIND('112'!$M$9,G1238,1)&gt;=1,$B1238&gt;='112'!$N$8,$B1238&lt;='112'!$O$8,OR($L1238='112'!$I$6,$M1238='112'!$I$6))),"x",""))</f>
        <v/>
      </c>
      <c r="S1238" s="39" t="str">
        <f>IF(ISERROR(FIND('112'!$M$9,G1238,1)),"",IF((AND(LEFT(G1238,2)=LEFT('112'!$M$9,2),B1238&lt;'112'!$N$8,$L1238='112'!$I$6)),"x",""))</f>
        <v/>
      </c>
      <c r="T1238" s="39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39" t="str">
        <f>IF(OR(TH!L1238=TH!$V$7,M1238=TH!$V$7),"x","")</f>
        <v/>
      </c>
      <c r="W1238" s="39" t="str">
        <f>IF(AND(B1238&gt;='IN-NX'!$P$3,B1238&lt;='IN-NX'!$Q$3,'IN-NX'!$D$7=D1238,OR(LEFT(L1238,2)="15",AND(LEFT(M1238,2)&lt;&gt;"15",LEFT(M1238,2)&lt;&gt;"33"))),"x","")</f>
        <v/>
      </c>
      <c r="X1238" s="39" t="str">
        <f>IF(AND(OR(LEFT(TH!L1238,2)="15",LEFT(TH!M1238,2)="15"),'152-CT'!$J$8=TH!F1238),"x","")</f>
        <v/>
      </c>
      <c r="Y1238" s="39" t="str">
        <f>IF(AND(OR(LEFT(TH!L1238,2)="15",LEFT(TH!M1238,2)="15"),TK!$E$7=TH!F1238),"x","")</f>
        <v/>
      </c>
      <c r="Z1238" s="39" t="str">
        <f>IF(AND(B1238&lt;=NKC!$N$8,B1238&gt;=NKC!$M$8),"x","")</f>
        <v/>
      </c>
      <c r="AA1238" s="894"/>
    </row>
    <row r="1239" spans="1:27" ht="15.75" customHeight="1">
      <c r="A1239" s="199" t="str">
        <f>IF(B1239&lt;&gt;"",IF(AND(B1239&gt;=_TM1,B1239&lt;=_TM2,OR(TH!L1239="1111",TH!M1239="1111")),TH!D1239,""),"")</f>
        <v/>
      </c>
      <c r="B1239" s="36" t="str">
        <f t="shared" si="44"/>
        <v/>
      </c>
      <c r="C1239" s="190"/>
      <c r="D1239" s="190"/>
      <c r="E1239" s="190"/>
      <c r="F1239" s="191"/>
      <c r="G1239" s="491"/>
      <c r="H1239" s="192"/>
      <c r="I1239" s="253"/>
      <c r="J1239" s="253"/>
      <c r="K1239" s="606"/>
      <c r="L1239" s="193"/>
      <c r="M1239" s="193"/>
      <c r="N1239" s="39" t="str">
        <f>IF(AND('331-CT'!$E$7=TH!H1239,OR(L1239="331",M1239="331")),"331",IF(AND(OR(L1239="131",M1239="131"),H1239='131-CT'!$E$7),"131",""))</f>
        <v/>
      </c>
      <c r="O1239" s="39" t="str">
        <f>IF(AND($B1239&gt;='111'!$N$11,$B1239&lt;='111'!$O$11,OR($L1239=$O$7,$M1239=$O$7)),"x","")</f>
        <v/>
      </c>
      <c r="P1239" s="39" t="str">
        <f>IF(AND($L1239=$O$7,$B1239&lt;'111'!$N$11),"x","")</f>
        <v/>
      </c>
      <c r="Q1239" s="39" t="str">
        <f>IF(AND($M1239=$O$7,$B1239&lt;'111'!$N$11),"x","")</f>
        <v/>
      </c>
      <c r="R1239" s="39" t="str">
        <f>IF(ISERROR(FIND('112'!$M$9,G1239,1)),"",IF((AND(FIND('112'!$M$9,G1239,1)&gt;=1,$B1239&gt;='112'!$N$8,$B1239&lt;='112'!$O$8,OR($L1239='112'!$I$6,$M1239='112'!$I$6))),"x",""))</f>
        <v/>
      </c>
      <c r="S1239" s="39" t="str">
        <f>IF(ISERROR(FIND('112'!$M$9,G1239,1)),"",IF((AND(LEFT(G1239,2)=LEFT('112'!$M$9,2),B1239&lt;'112'!$N$8,$L1239='112'!$I$6)),"x",""))</f>
        <v/>
      </c>
      <c r="T1239" s="39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39" t="str">
        <f>IF(OR(TH!L1239=TH!$V$7,M1239=TH!$V$7),"x","")</f>
        <v/>
      </c>
      <c r="W1239" s="39" t="str">
        <f>IF(AND(B1239&gt;='IN-NX'!$P$3,B1239&lt;='IN-NX'!$Q$3,'IN-NX'!$D$7=D1239,OR(LEFT(L1239,2)="15",AND(LEFT(M1239,2)&lt;&gt;"15",LEFT(M1239,2)&lt;&gt;"33"))),"x","")</f>
        <v/>
      </c>
      <c r="X1239" s="39" t="str">
        <f>IF(AND(OR(LEFT(TH!L1239,2)="15",LEFT(TH!M1239,2)="15"),'152-CT'!$J$8=TH!F1239),"x","")</f>
        <v/>
      </c>
      <c r="Y1239" s="39" t="str">
        <f>IF(AND(OR(LEFT(TH!L1239,2)="15",LEFT(TH!M1239,2)="15"),TK!$E$7=TH!F1239),"x","")</f>
        <v/>
      </c>
      <c r="Z1239" s="39" t="str">
        <f>IF(AND(B1239&lt;=NKC!$N$8,B1239&gt;=NKC!$M$8),"x","")</f>
        <v/>
      </c>
      <c r="AA1239" s="894"/>
    </row>
    <row r="1240" spans="1:27" ht="15.75" customHeight="1">
      <c r="A1240" s="199" t="str">
        <f>IF(B1240&lt;&gt;"",IF(AND(B1240&gt;=_TM1,B1240&lt;=_TM2,OR(TH!L1240="1111",TH!M1240="1111")),TH!D1240,""),"")</f>
        <v/>
      </c>
      <c r="B1240" s="36" t="str">
        <f t="shared" si="44"/>
        <v/>
      </c>
      <c r="C1240" s="190"/>
      <c r="D1240" s="190"/>
      <c r="E1240" s="190"/>
      <c r="F1240" s="191"/>
      <c r="G1240" s="491"/>
      <c r="H1240" s="192"/>
      <c r="I1240" s="253"/>
      <c r="J1240" s="253"/>
      <c r="K1240" s="606"/>
      <c r="L1240" s="193"/>
      <c r="M1240" s="193"/>
      <c r="N1240" s="39" t="str">
        <f>IF(AND('331-CT'!$E$7=TH!H1240,OR(L1240="331",M1240="331")),"331",IF(AND(OR(L1240="131",M1240="131"),H1240='131-CT'!$E$7),"131",""))</f>
        <v/>
      </c>
      <c r="O1240" s="39" t="str">
        <f>IF(AND($B1240&gt;='111'!$N$11,$B1240&lt;='111'!$O$11,OR($L1240=$O$7,$M1240=$O$7)),"x","")</f>
        <v/>
      </c>
      <c r="P1240" s="39" t="str">
        <f>IF(AND($L1240=$O$7,$B1240&lt;'111'!$N$11),"x","")</f>
        <v/>
      </c>
      <c r="Q1240" s="39" t="str">
        <f>IF(AND($M1240=$O$7,$B1240&lt;'111'!$N$11),"x","")</f>
        <v/>
      </c>
      <c r="R1240" s="39" t="str">
        <f>IF(ISERROR(FIND('112'!$M$9,G1240,1)),"",IF((AND(FIND('112'!$M$9,G1240,1)&gt;=1,$B1240&gt;='112'!$N$8,$B1240&lt;='112'!$O$8,OR($L1240='112'!$I$6,$M1240='112'!$I$6))),"x",""))</f>
        <v/>
      </c>
      <c r="S1240" s="39" t="str">
        <f>IF(ISERROR(FIND('112'!$M$9,G1240,1)),"",IF((AND(LEFT(G1240,2)=LEFT('112'!$M$9,2),B1240&lt;'112'!$N$8,$L1240='112'!$I$6)),"x",""))</f>
        <v/>
      </c>
      <c r="T1240" s="39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39" t="str">
        <f>IF(OR(TH!L1240=TH!$V$7,M1240=TH!$V$7),"x","")</f>
        <v/>
      </c>
      <c r="W1240" s="39" t="str">
        <f>IF(AND(B1240&gt;='IN-NX'!$P$3,B1240&lt;='IN-NX'!$Q$3,'IN-NX'!$D$7=D1240,OR(LEFT(L1240,2)="15",AND(LEFT(M1240,2)&lt;&gt;"15",LEFT(M1240,2)&lt;&gt;"33"))),"x","")</f>
        <v/>
      </c>
      <c r="X1240" s="39" t="str">
        <f>IF(AND(OR(LEFT(TH!L1240,2)="15",LEFT(TH!M1240,2)="15"),'152-CT'!$J$8=TH!F1240),"x","")</f>
        <v/>
      </c>
      <c r="Y1240" s="39" t="str">
        <f>IF(AND(OR(LEFT(TH!L1240,2)="15",LEFT(TH!M1240,2)="15"),TK!$E$7=TH!F1240),"x","")</f>
        <v/>
      </c>
      <c r="Z1240" s="39" t="str">
        <f>IF(AND(B1240&lt;=NKC!$N$8,B1240&gt;=NKC!$M$8),"x","")</f>
        <v/>
      </c>
      <c r="AA1240" s="894"/>
    </row>
    <row r="1241" spans="1:27" ht="15.75" customHeight="1">
      <c r="A1241" s="199" t="str">
        <f>IF(B1241&lt;&gt;"",IF(AND(B1241&gt;=_TM1,B1241&lt;=_TM2,OR(TH!L1241="1111",TH!M1241="1111")),TH!D1241,""),"")</f>
        <v/>
      </c>
      <c r="B1241" s="36" t="str">
        <f t="shared" ref="B1241:B1304" si="45">IF(C1241&lt;&gt;"",MONTH(C1241),"")</f>
        <v/>
      </c>
      <c r="C1241" s="190"/>
      <c r="D1241" s="190"/>
      <c r="E1241" s="190"/>
      <c r="F1241" s="191"/>
      <c r="G1241" s="491"/>
      <c r="H1241" s="192"/>
      <c r="I1241" s="253"/>
      <c r="J1241" s="253"/>
      <c r="K1241" s="606"/>
      <c r="L1241" s="193"/>
      <c r="M1241" s="193"/>
      <c r="N1241" s="39" t="str">
        <f>IF(AND('331-CT'!$E$7=TH!H1241,OR(L1241="331",M1241="331")),"331",IF(AND(OR(L1241="131",M1241="131"),H1241='131-CT'!$E$7),"131",""))</f>
        <v/>
      </c>
      <c r="O1241" s="39" t="str">
        <f>IF(AND($B1241&gt;='111'!$N$11,$B1241&lt;='111'!$O$11,OR($L1241=$O$7,$M1241=$O$7)),"x","")</f>
        <v/>
      </c>
      <c r="P1241" s="39" t="str">
        <f>IF(AND($L1241=$O$7,$B1241&lt;'111'!$N$11),"x","")</f>
        <v/>
      </c>
      <c r="Q1241" s="39" t="str">
        <f>IF(AND($M1241=$O$7,$B1241&lt;'111'!$N$11),"x","")</f>
        <v/>
      </c>
      <c r="R1241" s="39" t="str">
        <f>IF(ISERROR(FIND('112'!$M$9,G1241,1)),"",IF((AND(FIND('112'!$M$9,G1241,1)&gt;=1,$B1241&gt;='112'!$N$8,$B1241&lt;='112'!$O$8,OR($L1241='112'!$I$6,$M1241='112'!$I$6))),"x",""))</f>
        <v/>
      </c>
      <c r="S1241" s="39" t="str">
        <f>IF(ISERROR(FIND('112'!$M$9,G1241,1)),"",IF((AND(LEFT(G1241,2)=LEFT('112'!$M$9,2),B1241&lt;'112'!$N$8,$L1241='112'!$I$6)),"x",""))</f>
        <v/>
      </c>
      <c r="T1241" s="39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39" t="str">
        <f>IF(OR(TH!L1241=TH!$V$7,M1241=TH!$V$7),"x","")</f>
        <v/>
      </c>
      <c r="W1241" s="39" t="str">
        <f>IF(AND(B1241&gt;='IN-NX'!$P$3,B1241&lt;='IN-NX'!$Q$3,'IN-NX'!$D$7=D1241,OR(LEFT(L1241,2)="15",AND(LEFT(M1241,2)&lt;&gt;"15",LEFT(M1241,2)&lt;&gt;"33"))),"x","")</f>
        <v/>
      </c>
      <c r="X1241" s="39" t="str">
        <f>IF(AND(OR(LEFT(TH!L1241,2)="15",LEFT(TH!M1241,2)="15"),'152-CT'!$J$8=TH!F1241),"x","")</f>
        <v/>
      </c>
      <c r="Y1241" s="39" t="str">
        <f>IF(AND(OR(LEFT(TH!L1241,2)="15",LEFT(TH!M1241,2)="15"),TK!$E$7=TH!F1241),"x","")</f>
        <v/>
      </c>
      <c r="Z1241" s="39" t="str">
        <f>IF(AND(B1241&lt;=NKC!$N$8,B1241&gt;=NKC!$M$8),"x","")</f>
        <v/>
      </c>
      <c r="AA1241" s="894"/>
    </row>
    <row r="1242" spans="1:27" ht="15.75" customHeight="1">
      <c r="A1242" s="199" t="str">
        <f>IF(B1242&lt;&gt;"",IF(AND(B1242&gt;=_TM1,B1242&lt;=_TM2,OR(TH!L1242="1111",TH!M1242="1111")),TH!D1242,""),"")</f>
        <v/>
      </c>
      <c r="B1242" s="36" t="str">
        <f t="shared" si="45"/>
        <v/>
      </c>
      <c r="C1242" s="190"/>
      <c r="D1242" s="190"/>
      <c r="E1242" s="190"/>
      <c r="F1242" s="191"/>
      <c r="G1242" s="491"/>
      <c r="H1242" s="192"/>
      <c r="I1242" s="253"/>
      <c r="J1242" s="253"/>
      <c r="K1242" s="606"/>
      <c r="L1242" s="193"/>
      <c r="M1242" s="193"/>
      <c r="N1242" s="39" t="str">
        <f>IF(AND('331-CT'!$E$7=TH!H1242,OR(L1242="331",M1242="331")),"331",IF(AND(OR(L1242="131",M1242="131"),H1242='131-CT'!$E$7),"131",""))</f>
        <v/>
      </c>
      <c r="O1242" s="39" t="str">
        <f>IF(AND($B1242&gt;='111'!$N$11,$B1242&lt;='111'!$O$11,OR($L1242=$O$7,$M1242=$O$7)),"x","")</f>
        <v/>
      </c>
      <c r="P1242" s="39" t="str">
        <f>IF(AND($L1242=$O$7,$B1242&lt;'111'!$N$11),"x","")</f>
        <v/>
      </c>
      <c r="Q1242" s="39" t="str">
        <f>IF(AND($M1242=$O$7,$B1242&lt;'111'!$N$11),"x","")</f>
        <v/>
      </c>
      <c r="R1242" s="39" t="str">
        <f>IF(ISERROR(FIND('112'!$M$9,G1242,1)),"",IF((AND(FIND('112'!$M$9,G1242,1)&gt;=1,$B1242&gt;='112'!$N$8,$B1242&lt;='112'!$O$8,OR($L1242='112'!$I$6,$M1242='112'!$I$6))),"x",""))</f>
        <v/>
      </c>
      <c r="S1242" s="39" t="str">
        <f>IF(ISERROR(FIND('112'!$M$9,G1242,1)),"",IF((AND(LEFT(G1242,2)=LEFT('112'!$M$9,2),B1242&lt;'112'!$N$8,$L1242='112'!$I$6)),"x",""))</f>
        <v/>
      </c>
      <c r="T1242" s="39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39" t="str">
        <f>IF(OR(TH!L1242=TH!$V$7,M1242=TH!$V$7),"x","")</f>
        <v/>
      </c>
      <c r="W1242" s="39" t="str">
        <f>IF(AND(B1242&gt;='IN-NX'!$P$3,B1242&lt;='IN-NX'!$Q$3,'IN-NX'!$D$7=D1242,OR(LEFT(L1242,2)="15",AND(LEFT(M1242,2)&lt;&gt;"15",LEFT(M1242,2)&lt;&gt;"33"))),"x","")</f>
        <v/>
      </c>
      <c r="X1242" s="39" t="str">
        <f>IF(AND(OR(LEFT(TH!L1242,2)="15",LEFT(TH!M1242,2)="15"),'152-CT'!$J$8=TH!F1242),"x","")</f>
        <v/>
      </c>
      <c r="Y1242" s="39" t="str">
        <f>IF(AND(OR(LEFT(TH!L1242,2)="15",LEFT(TH!M1242,2)="15"),TK!$E$7=TH!F1242),"x","")</f>
        <v/>
      </c>
      <c r="Z1242" s="39" t="str">
        <f>IF(AND(B1242&lt;=NKC!$N$8,B1242&gt;=NKC!$M$8),"x","")</f>
        <v/>
      </c>
      <c r="AA1242" s="894"/>
    </row>
    <row r="1243" spans="1:27" ht="15.75" customHeight="1">
      <c r="A1243" s="199" t="str">
        <f>IF(B1243&lt;&gt;"",IF(AND(B1243&gt;=_TM1,B1243&lt;=_TM2,OR(TH!L1243="1111",TH!M1243="1111")),TH!D1243,""),"")</f>
        <v/>
      </c>
      <c r="B1243" s="36" t="str">
        <f t="shared" si="45"/>
        <v/>
      </c>
      <c r="C1243" s="190"/>
      <c r="D1243" s="190"/>
      <c r="E1243" s="190"/>
      <c r="F1243" s="188"/>
      <c r="G1243" s="491"/>
      <c r="H1243" s="192"/>
      <c r="I1243" s="253"/>
      <c r="J1243" s="253"/>
      <c r="K1243" s="606"/>
      <c r="L1243" s="193"/>
      <c r="M1243" s="193"/>
      <c r="N1243" s="39" t="str">
        <f>IF(AND('331-CT'!$E$7=TH!H1243,OR(L1243="331",M1243="331")),"331",IF(AND(OR(L1243="131",M1243="131"),H1243='131-CT'!$E$7),"131",""))</f>
        <v/>
      </c>
      <c r="O1243" s="39" t="str">
        <f>IF(AND($B1243&gt;='111'!$N$11,$B1243&lt;='111'!$O$11,OR($L1243=$O$7,$M1243=$O$7)),"x","")</f>
        <v/>
      </c>
      <c r="P1243" s="39" t="str">
        <f>IF(AND($L1243=$O$7,$B1243&lt;'111'!$N$11),"x","")</f>
        <v/>
      </c>
      <c r="Q1243" s="39" t="str">
        <f>IF(AND($M1243=$O$7,$B1243&lt;'111'!$N$11),"x","")</f>
        <v/>
      </c>
      <c r="R1243" s="39" t="str">
        <f>IF(ISERROR(FIND('112'!$M$9,G1243,1)),"",IF((AND(FIND('112'!$M$9,G1243,1)&gt;=1,$B1243&gt;='112'!$N$8,$B1243&lt;='112'!$O$8,OR($L1243='112'!$I$6,$M1243='112'!$I$6))),"x",""))</f>
        <v/>
      </c>
      <c r="S1243" s="39" t="str">
        <f>IF(ISERROR(FIND('112'!$M$9,G1243,1)),"",IF((AND(LEFT(G1243,2)=LEFT('112'!$M$9,2),B1243&lt;'112'!$N$8,$L1243='112'!$I$6)),"x",""))</f>
        <v/>
      </c>
      <c r="T1243" s="39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39" t="str">
        <f>IF(OR(TH!L1243=TH!$V$7,M1243=TH!$V$7),"x","")</f>
        <v/>
      </c>
      <c r="W1243" s="39" t="str">
        <f>IF(AND(B1243&gt;='IN-NX'!$P$3,B1243&lt;='IN-NX'!$Q$3,'IN-NX'!$D$7=D1243,OR(LEFT(L1243,2)="15",AND(LEFT(M1243,2)&lt;&gt;"15",LEFT(M1243,2)&lt;&gt;"33"))),"x","")</f>
        <v/>
      </c>
      <c r="X1243" s="39" t="str">
        <f>IF(AND(OR(LEFT(TH!L1243,2)="15",LEFT(TH!M1243,2)="15"),'152-CT'!$J$8=TH!F1243),"x","")</f>
        <v/>
      </c>
      <c r="Y1243" s="39" t="str">
        <f>IF(AND(OR(LEFT(TH!L1243,2)="15",LEFT(TH!M1243,2)="15"),TK!$E$7=TH!F1243),"x","")</f>
        <v/>
      </c>
      <c r="Z1243" s="39" t="str">
        <f>IF(AND(B1243&lt;=NKC!$N$8,B1243&gt;=NKC!$M$8),"x","")</f>
        <v/>
      </c>
      <c r="AA1243" s="894"/>
    </row>
    <row r="1244" spans="1:27" ht="15.75" customHeight="1">
      <c r="A1244" s="199" t="str">
        <f>IF(B1244&lt;&gt;"",IF(AND(B1244&gt;=_TM1,B1244&lt;=_TM2,OR(TH!L1244="1111",TH!M1244="1111")),TH!D1244,""),"")</f>
        <v/>
      </c>
      <c r="B1244" s="36" t="str">
        <f t="shared" si="45"/>
        <v/>
      </c>
      <c r="C1244" s="190"/>
      <c r="D1244" s="190"/>
      <c r="E1244" s="190"/>
      <c r="F1244" s="191"/>
      <c r="G1244" s="491"/>
      <c r="H1244" s="192"/>
      <c r="I1244" s="253"/>
      <c r="J1244" s="253"/>
      <c r="K1244" s="606"/>
      <c r="L1244" s="193"/>
      <c r="M1244" s="193"/>
      <c r="N1244" s="39" t="str">
        <f>IF(AND('331-CT'!$E$7=TH!H1244,OR(L1244="331",M1244="331")),"331",IF(AND(OR(L1244="131",M1244="131"),H1244='131-CT'!$E$7),"131",""))</f>
        <v/>
      </c>
      <c r="O1244" s="39" t="str">
        <f>IF(AND($B1244&gt;='111'!$N$11,$B1244&lt;='111'!$O$11,OR($L1244=$O$7,$M1244=$O$7)),"x","")</f>
        <v/>
      </c>
      <c r="P1244" s="39" t="str">
        <f>IF(AND($L1244=$O$7,$B1244&lt;'111'!$N$11),"x","")</f>
        <v/>
      </c>
      <c r="Q1244" s="39" t="str">
        <f>IF(AND($M1244=$O$7,$B1244&lt;'111'!$N$11),"x","")</f>
        <v/>
      </c>
      <c r="R1244" s="39" t="str">
        <f>IF(ISERROR(FIND('112'!$M$9,G1244,1)),"",IF((AND(FIND('112'!$M$9,G1244,1)&gt;=1,$B1244&gt;='112'!$N$8,$B1244&lt;='112'!$O$8,OR($L1244='112'!$I$6,$M1244='112'!$I$6))),"x",""))</f>
        <v/>
      </c>
      <c r="S1244" s="39" t="str">
        <f>IF(ISERROR(FIND('112'!$M$9,G1244,1)),"",IF((AND(LEFT(G1244,2)=LEFT('112'!$M$9,2),B1244&lt;'112'!$N$8,$L1244='112'!$I$6)),"x",""))</f>
        <v/>
      </c>
      <c r="T1244" s="39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39" t="str">
        <f>IF(OR(TH!L1244=TH!$V$7,M1244=TH!$V$7),"x","")</f>
        <v/>
      </c>
      <c r="W1244" s="39" t="str">
        <f>IF(AND(B1244&gt;='IN-NX'!$P$3,B1244&lt;='IN-NX'!$Q$3,'IN-NX'!$D$7=D1244,OR(LEFT(L1244,2)="15",AND(LEFT(M1244,2)&lt;&gt;"15",LEFT(M1244,2)&lt;&gt;"33"))),"x","")</f>
        <v/>
      </c>
      <c r="X1244" s="39" t="str">
        <f>IF(AND(OR(LEFT(TH!L1244,2)="15",LEFT(TH!M1244,2)="15"),'152-CT'!$J$8=TH!F1244),"x","")</f>
        <v/>
      </c>
      <c r="Y1244" s="39" t="str">
        <f>IF(AND(OR(LEFT(TH!L1244,2)="15",LEFT(TH!M1244,2)="15"),TK!$E$7=TH!F1244),"x","")</f>
        <v/>
      </c>
      <c r="Z1244" s="39" t="str">
        <f>IF(AND(B1244&lt;=NKC!$N$8,B1244&gt;=NKC!$M$8),"x","")</f>
        <v/>
      </c>
      <c r="AA1244" s="894"/>
    </row>
    <row r="1245" spans="1:27" ht="15.75" customHeight="1">
      <c r="A1245" s="199" t="str">
        <f>IF(B1245&lt;&gt;"",IF(AND(B1245&gt;=_TM1,B1245&lt;=_TM2,OR(TH!L1245="1111",TH!M1245="1111")),TH!D1245,""),"")</f>
        <v/>
      </c>
      <c r="B1245" s="36" t="str">
        <f t="shared" si="45"/>
        <v/>
      </c>
      <c r="C1245" s="190"/>
      <c r="D1245" s="190"/>
      <c r="E1245" s="190"/>
      <c r="F1245" s="191"/>
      <c r="G1245" s="491"/>
      <c r="H1245" s="192"/>
      <c r="I1245" s="253"/>
      <c r="J1245" s="253"/>
      <c r="K1245" s="606"/>
      <c r="L1245" s="193"/>
      <c r="M1245" s="193"/>
      <c r="N1245" s="39" t="str">
        <f>IF(AND('331-CT'!$E$7=TH!H1245,OR(L1245="331",M1245="331")),"331",IF(AND(OR(L1245="131",M1245="131"),H1245='131-CT'!$E$7),"131",""))</f>
        <v/>
      </c>
      <c r="O1245" s="39" t="str">
        <f>IF(AND($B1245&gt;='111'!$N$11,$B1245&lt;='111'!$O$11,OR($L1245=$O$7,$M1245=$O$7)),"x","")</f>
        <v/>
      </c>
      <c r="P1245" s="39" t="str">
        <f>IF(AND($L1245=$O$7,$B1245&lt;'111'!$N$11),"x","")</f>
        <v/>
      </c>
      <c r="Q1245" s="39" t="str">
        <f>IF(AND($M1245=$O$7,$B1245&lt;'111'!$N$11),"x","")</f>
        <v/>
      </c>
      <c r="R1245" s="39" t="str">
        <f>IF(ISERROR(FIND('112'!$M$9,G1245,1)),"",IF((AND(FIND('112'!$M$9,G1245,1)&gt;=1,$B1245&gt;='112'!$N$8,$B1245&lt;='112'!$O$8,OR($L1245='112'!$I$6,$M1245='112'!$I$6))),"x",""))</f>
        <v/>
      </c>
      <c r="S1245" s="39" t="str">
        <f>IF(ISERROR(FIND('112'!$M$9,G1245,1)),"",IF((AND(LEFT(G1245,2)=LEFT('112'!$M$9,2),B1245&lt;'112'!$N$8,$L1245='112'!$I$6)),"x",""))</f>
        <v/>
      </c>
      <c r="T1245" s="39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39" t="str">
        <f>IF(OR(TH!L1245=TH!$V$7,M1245=TH!$V$7),"x","")</f>
        <v/>
      </c>
      <c r="W1245" s="39" t="str">
        <f>IF(AND(B1245&gt;='IN-NX'!$P$3,B1245&lt;='IN-NX'!$Q$3,'IN-NX'!$D$7=D1245,OR(LEFT(L1245,2)="15",AND(LEFT(M1245,2)&lt;&gt;"15",LEFT(M1245,2)&lt;&gt;"33"))),"x","")</f>
        <v/>
      </c>
      <c r="X1245" s="39" t="str">
        <f>IF(AND(OR(LEFT(TH!L1245,2)="15",LEFT(TH!M1245,2)="15"),'152-CT'!$J$8=TH!F1245),"x","")</f>
        <v/>
      </c>
      <c r="Y1245" s="39" t="str">
        <f>IF(AND(OR(LEFT(TH!L1245,2)="15",LEFT(TH!M1245,2)="15"),TK!$E$7=TH!F1245),"x","")</f>
        <v/>
      </c>
      <c r="Z1245" s="39" t="str">
        <f>IF(AND(B1245&lt;=NKC!$N$8,B1245&gt;=NKC!$M$8),"x","")</f>
        <v/>
      </c>
      <c r="AA1245" s="894"/>
    </row>
    <row r="1246" spans="1:27" ht="15.75" customHeight="1">
      <c r="A1246" s="199" t="str">
        <f>IF(B1246&lt;&gt;"",IF(AND(B1246&gt;=_TM1,B1246&lt;=_TM2,OR(TH!L1246="1111",TH!M1246="1111")),TH!D1246,""),"")</f>
        <v/>
      </c>
      <c r="B1246" s="36" t="str">
        <f t="shared" si="45"/>
        <v/>
      </c>
      <c r="C1246" s="190"/>
      <c r="D1246" s="190"/>
      <c r="E1246" s="190"/>
      <c r="F1246" s="191"/>
      <c r="G1246" s="491"/>
      <c r="H1246" s="192"/>
      <c r="I1246" s="253"/>
      <c r="J1246" s="253"/>
      <c r="K1246" s="606"/>
      <c r="L1246" s="193"/>
      <c r="M1246" s="193"/>
      <c r="N1246" s="39" t="str">
        <f>IF(AND('331-CT'!$E$7=TH!H1246,OR(L1246="331",M1246="331")),"331",IF(AND(OR(L1246="131",M1246="131"),H1246='131-CT'!$E$7),"131",""))</f>
        <v/>
      </c>
      <c r="O1246" s="39" t="str">
        <f>IF(AND($B1246&gt;='111'!$N$11,$B1246&lt;='111'!$O$11,OR($L1246=$O$7,$M1246=$O$7)),"x","")</f>
        <v/>
      </c>
      <c r="P1246" s="39" t="str">
        <f>IF(AND($L1246=$O$7,$B1246&lt;'111'!$N$11),"x","")</f>
        <v/>
      </c>
      <c r="Q1246" s="39" t="str">
        <f>IF(AND($M1246=$O$7,$B1246&lt;'111'!$N$11),"x","")</f>
        <v/>
      </c>
      <c r="R1246" s="39" t="str">
        <f>IF(ISERROR(FIND('112'!$M$9,G1246,1)),"",IF((AND(FIND('112'!$M$9,G1246,1)&gt;=1,$B1246&gt;='112'!$N$8,$B1246&lt;='112'!$O$8,OR($L1246='112'!$I$6,$M1246='112'!$I$6))),"x",""))</f>
        <v/>
      </c>
      <c r="S1246" s="39" t="str">
        <f>IF(ISERROR(FIND('112'!$M$9,G1246,1)),"",IF((AND(LEFT(G1246,2)=LEFT('112'!$M$9,2),B1246&lt;'112'!$N$8,$L1246='112'!$I$6)),"x",""))</f>
        <v/>
      </c>
      <c r="T1246" s="39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39" t="str">
        <f>IF(OR(TH!L1246=TH!$V$7,M1246=TH!$V$7),"x","")</f>
        <v/>
      </c>
      <c r="W1246" s="39" t="str">
        <f>IF(AND(B1246&gt;='IN-NX'!$P$3,B1246&lt;='IN-NX'!$Q$3,'IN-NX'!$D$7=D1246,OR(LEFT(L1246,2)="15",AND(LEFT(M1246,2)&lt;&gt;"15",LEFT(M1246,2)&lt;&gt;"33"))),"x","")</f>
        <v/>
      </c>
      <c r="X1246" s="39" t="str">
        <f>IF(AND(OR(LEFT(TH!L1246,2)="15",LEFT(TH!M1246,2)="15"),'152-CT'!$J$8=TH!F1246),"x","")</f>
        <v/>
      </c>
      <c r="Y1246" s="39" t="str">
        <f>IF(AND(OR(LEFT(TH!L1246,2)="15",LEFT(TH!M1246,2)="15"),TK!$E$7=TH!F1246),"x","")</f>
        <v/>
      </c>
      <c r="Z1246" s="39" t="str">
        <f>IF(AND(B1246&lt;=NKC!$N$8,B1246&gt;=NKC!$M$8),"x","")</f>
        <v/>
      </c>
      <c r="AA1246" s="894"/>
    </row>
    <row r="1247" spans="1:27" ht="15.75" customHeight="1">
      <c r="A1247" s="199" t="str">
        <f>IF(B1247&lt;&gt;"",IF(AND(B1247&gt;=_TM1,B1247&lt;=_TM2,OR(TH!L1247="1111",TH!M1247="1111")),TH!D1247,""),"")</f>
        <v/>
      </c>
      <c r="B1247" s="36" t="str">
        <f t="shared" si="45"/>
        <v/>
      </c>
      <c r="C1247" s="37"/>
      <c r="D1247" s="37"/>
      <c r="E1247" s="776"/>
      <c r="F1247" s="40"/>
      <c r="G1247" s="40"/>
      <c r="H1247" s="7"/>
      <c r="I1247" s="253"/>
      <c r="J1247" s="253"/>
      <c r="K1247" s="606"/>
      <c r="L1247" s="39"/>
      <c r="M1247" s="39"/>
      <c r="N1247" s="39" t="str">
        <f>IF(AND('331-CT'!$E$7=TH!H1247,OR(L1247="331",M1247="331")),"331",IF(AND(OR(L1247="131",M1247="131"),H1247='131-CT'!$E$7),"131",""))</f>
        <v/>
      </c>
      <c r="O1247" s="39" t="str">
        <f>IF(AND($B1247&gt;='111'!$N$11,$B1247&lt;='111'!$O$11,OR($L1247=$O$7,$M1247=$O$7)),"x","")</f>
        <v/>
      </c>
      <c r="P1247" s="39" t="str">
        <f>IF(AND($L1247=$O$7,$B1247&lt;'111'!$N$11),"x","")</f>
        <v/>
      </c>
      <c r="Q1247" s="39" t="str">
        <f>IF(AND($M1247=$O$7,$B1247&lt;'111'!$N$11),"x","")</f>
        <v/>
      </c>
      <c r="R1247" s="39" t="str">
        <f>IF(ISERROR(FIND('112'!$M$9,G1247,1)),"",IF((AND(FIND('112'!$M$9,G1247,1)&gt;=1,$B1247&gt;='112'!$N$8,$B1247&lt;='112'!$O$8,OR($L1247='112'!$I$6,$M1247='112'!$I$6))),"x",""))</f>
        <v/>
      </c>
      <c r="S1247" s="39" t="str">
        <f>IF(ISERROR(FIND('112'!$M$9,G1247,1)),"",IF((AND(LEFT(G1247,2)=LEFT('112'!$M$9,2),B1247&lt;'112'!$N$8,$L1247='112'!$I$6)),"x",""))</f>
        <v/>
      </c>
      <c r="T1247" s="39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39" t="str">
        <f>IF(OR(TH!L1247=TH!$V$7,M1247=TH!$V$7),"x","")</f>
        <v/>
      </c>
      <c r="W1247" s="39" t="str">
        <f>IF(AND(B1247&gt;='IN-NX'!$P$3,B1247&lt;='IN-NX'!$Q$3,'IN-NX'!$D$7=D1247,OR(LEFT(L1247,2)="15",AND(LEFT(M1247,2)&lt;&gt;"15",LEFT(M1247,2)&lt;&gt;"33"))),"x","")</f>
        <v/>
      </c>
      <c r="X1247" s="39" t="str">
        <f>IF(AND(OR(LEFT(TH!L1247,2)="15",LEFT(TH!M1247,2)="15"),'152-CT'!$J$8=TH!F1247),"x","")</f>
        <v/>
      </c>
      <c r="Y1247" s="39" t="str">
        <f>IF(AND(OR(LEFT(TH!L1247,2)="15",LEFT(TH!M1247,2)="15"),TK!$E$7=TH!F1247),"x","")</f>
        <v/>
      </c>
      <c r="Z1247" s="39" t="str">
        <f>IF(AND(B1247&lt;=NKC!$N$8,B1247&gt;=NKC!$M$8),"x","")</f>
        <v/>
      </c>
      <c r="AA1247" s="894"/>
    </row>
    <row r="1248" spans="1:27" ht="15.75" customHeight="1">
      <c r="A1248" s="199" t="str">
        <f>IF(B1248&lt;&gt;"",IF(AND(B1248&gt;=_TM1,B1248&lt;=_TM2,OR(TH!L1248="1111",TH!M1248="1111")),TH!D1248,""),"")</f>
        <v/>
      </c>
      <c r="B1248" s="36" t="str">
        <f t="shared" si="45"/>
        <v/>
      </c>
      <c r="C1248" s="37"/>
      <c r="D1248" s="37"/>
      <c r="E1248" s="776"/>
      <c r="F1248" s="40"/>
      <c r="G1248" s="40"/>
      <c r="H1248" s="7"/>
      <c r="I1248" s="821"/>
      <c r="J1248" s="253"/>
      <c r="K1248" s="606"/>
      <c r="L1248" s="39"/>
      <c r="M1248" s="39"/>
      <c r="N1248" s="39" t="str">
        <f>IF(AND('331-CT'!$E$7=TH!H1248,OR(L1248="331",M1248="331")),"331",IF(AND(OR(L1248="131",M1248="131"),H1248='131-CT'!$E$7),"131",""))</f>
        <v/>
      </c>
      <c r="O1248" s="39" t="str">
        <f>IF(AND($B1248&gt;='111'!$N$11,$B1248&lt;='111'!$O$11,OR($L1248=$O$7,$M1248=$O$7)),"x","")</f>
        <v/>
      </c>
      <c r="P1248" s="39" t="str">
        <f>IF(AND($L1248=$O$7,$B1248&lt;'111'!$N$11),"x","")</f>
        <v/>
      </c>
      <c r="Q1248" s="39" t="str">
        <f>IF(AND($M1248=$O$7,$B1248&lt;'111'!$N$11),"x","")</f>
        <v/>
      </c>
      <c r="R1248" s="39" t="str">
        <f>IF(ISERROR(FIND('112'!$M$9,G1248,1)),"",IF((AND(FIND('112'!$M$9,G1248,1)&gt;=1,$B1248&gt;='112'!$N$8,$B1248&lt;='112'!$O$8,OR($L1248='112'!$I$6,$M1248='112'!$I$6))),"x",""))</f>
        <v/>
      </c>
      <c r="S1248" s="39" t="str">
        <f>IF(ISERROR(FIND('112'!$M$9,G1248,1)),"",IF((AND(LEFT(G1248,2)=LEFT('112'!$M$9,2),B1248&lt;'112'!$N$8,$L1248='112'!$I$6)),"x",""))</f>
        <v/>
      </c>
      <c r="T1248" s="39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39" t="str">
        <f>IF(OR(TH!L1248=TH!$V$7,M1248=TH!$V$7),"x","")</f>
        <v/>
      </c>
      <c r="W1248" s="39" t="str">
        <f>IF(AND(B1248&gt;='IN-NX'!$P$3,B1248&lt;='IN-NX'!$Q$3,'IN-NX'!$D$7=D1248,OR(LEFT(L1248,2)="15",AND(LEFT(M1248,2)&lt;&gt;"15",LEFT(M1248,2)&lt;&gt;"33"))),"x","")</f>
        <v/>
      </c>
      <c r="X1248" s="39" t="str">
        <f>IF(AND(OR(LEFT(TH!L1248,2)="15",LEFT(TH!M1248,2)="15"),'152-CT'!$J$8=TH!F1248),"x","")</f>
        <v/>
      </c>
      <c r="Y1248" s="39" t="str">
        <f>IF(AND(OR(LEFT(TH!L1248,2)="15",LEFT(TH!M1248,2)="15"),TK!$E$7=TH!F1248),"x","")</f>
        <v/>
      </c>
      <c r="Z1248" s="39" t="str">
        <f>IF(AND(B1248&lt;=NKC!$N$8,B1248&gt;=NKC!$M$8),"x","")</f>
        <v/>
      </c>
      <c r="AA1248" s="894"/>
    </row>
    <row r="1249" spans="1:27" ht="15.75" customHeight="1">
      <c r="A1249" s="199" t="str">
        <f>IF(B1249&lt;&gt;"",IF(AND(B1249&gt;=_TM1,B1249&lt;=_TM2,OR(TH!L1249="1111",TH!M1249="1111")),TH!D1249,""),"")</f>
        <v/>
      </c>
      <c r="B1249" s="36" t="str">
        <f t="shared" si="45"/>
        <v/>
      </c>
      <c r="C1249" s="37"/>
      <c r="D1249" s="37"/>
      <c r="E1249" s="776"/>
      <c r="F1249" s="40"/>
      <c r="G1249" s="40"/>
      <c r="H1249" s="7"/>
      <c r="I1249" s="253"/>
      <c r="J1249" s="253"/>
      <c r="K1249" s="606"/>
      <c r="L1249" s="39"/>
      <c r="M1249" s="39"/>
      <c r="N1249" s="39" t="str">
        <f>IF(AND('331-CT'!$E$7=TH!H1249,OR(L1249="331",M1249="331")),"331",IF(AND(OR(L1249="131",M1249="131"),H1249='131-CT'!$E$7),"131",""))</f>
        <v/>
      </c>
      <c r="O1249" s="39" t="str">
        <f>IF(AND($B1249&gt;='111'!$N$11,$B1249&lt;='111'!$O$11,OR($L1249=$O$7,$M1249=$O$7)),"x","")</f>
        <v/>
      </c>
      <c r="P1249" s="39" t="str">
        <f>IF(AND($L1249=$O$7,$B1249&lt;'111'!$N$11),"x","")</f>
        <v/>
      </c>
      <c r="Q1249" s="39" t="str">
        <f>IF(AND($M1249=$O$7,$B1249&lt;'111'!$N$11),"x","")</f>
        <v/>
      </c>
      <c r="R1249" s="39" t="str">
        <f>IF(ISERROR(FIND('112'!$M$9,G1249,1)),"",IF((AND(FIND('112'!$M$9,G1249,1)&gt;=1,$B1249&gt;='112'!$N$8,$B1249&lt;='112'!$O$8,OR($L1249='112'!$I$6,$M1249='112'!$I$6))),"x",""))</f>
        <v/>
      </c>
      <c r="S1249" s="39" t="str">
        <f>IF(ISERROR(FIND('112'!$M$9,G1249,1)),"",IF((AND(LEFT(G1249,2)=LEFT('112'!$M$9,2),B1249&lt;'112'!$N$8,$L1249='112'!$I$6)),"x",""))</f>
        <v/>
      </c>
      <c r="T1249" s="39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39" t="str">
        <f>IF(OR(TH!L1249=TH!$V$7,M1249=TH!$V$7),"x","")</f>
        <v/>
      </c>
      <c r="W1249" s="39" t="str">
        <f>IF(AND(B1249&gt;='IN-NX'!$P$3,B1249&lt;='IN-NX'!$Q$3,'IN-NX'!$D$7=D1249,OR(LEFT(L1249,2)="15",AND(LEFT(M1249,2)&lt;&gt;"15",LEFT(M1249,2)&lt;&gt;"33"))),"x","")</f>
        <v/>
      </c>
      <c r="X1249" s="39" t="str">
        <f>IF(AND(OR(LEFT(TH!L1249,2)="15",LEFT(TH!M1249,2)="15"),'152-CT'!$J$8=TH!F1249),"x","")</f>
        <v/>
      </c>
      <c r="Y1249" s="39" t="str">
        <f>IF(AND(OR(LEFT(TH!L1249,2)="15",LEFT(TH!M1249,2)="15"),TK!$E$7=TH!F1249),"x","")</f>
        <v/>
      </c>
      <c r="Z1249" s="39" t="str">
        <f>IF(AND(B1249&lt;=NKC!$N$8,B1249&gt;=NKC!$M$8),"x","")</f>
        <v/>
      </c>
      <c r="AA1249" s="894"/>
    </row>
    <row r="1250" spans="1:27" ht="15.75" customHeight="1">
      <c r="A1250" s="199" t="str">
        <f>IF(B1250&lt;&gt;"",IF(AND(B1250&gt;=_TM1,B1250&lt;=_TM2,OR(TH!L1250="1111",TH!M1250="1111")),TH!D1250,""),"")</f>
        <v/>
      </c>
      <c r="B1250" s="36" t="str">
        <f t="shared" si="45"/>
        <v/>
      </c>
      <c r="C1250" s="37"/>
      <c r="D1250" s="37"/>
      <c r="E1250" s="37"/>
      <c r="F1250" s="40"/>
      <c r="G1250" s="40"/>
      <c r="H1250" s="7"/>
      <c r="I1250" s="253"/>
      <c r="J1250" s="253"/>
      <c r="K1250" s="606"/>
      <c r="L1250" s="39"/>
      <c r="M1250" s="39"/>
      <c r="N1250" s="39" t="str">
        <f>IF(AND('331-CT'!$E$7=TH!H1250,OR(L1250="331",M1250="331")),"331",IF(AND(OR(L1250="131",M1250="131"),H1250='131-CT'!$E$7),"131",""))</f>
        <v/>
      </c>
      <c r="O1250" s="39" t="str">
        <f>IF(AND($B1250&gt;='111'!$N$11,$B1250&lt;='111'!$O$11,OR($L1250=$O$7,$M1250=$O$7)),"x","")</f>
        <v/>
      </c>
      <c r="P1250" s="39" t="str">
        <f>IF(AND($L1250=$O$7,$B1250&lt;'111'!$N$11),"x","")</f>
        <v/>
      </c>
      <c r="Q1250" s="39" t="str">
        <f>IF(AND($M1250=$O$7,$B1250&lt;'111'!$N$11),"x","")</f>
        <v/>
      </c>
      <c r="R1250" s="39" t="str">
        <f>IF(ISERROR(FIND('112'!$M$9,G1250,1)),"",IF((AND(FIND('112'!$M$9,G1250,1)&gt;=1,$B1250&gt;='112'!$N$8,$B1250&lt;='112'!$O$8,OR($L1250='112'!$I$6,$M1250='112'!$I$6))),"x",""))</f>
        <v/>
      </c>
      <c r="S1250" s="39" t="str">
        <f>IF(ISERROR(FIND('112'!$M$9,G1250,1)),"",IF((AND(LEFT(G1250,2)=LEFT('112'!$M$9,2),B1250&lt;'112'!$N$8,$L1250='112'!$I$6)),"x",""))</f>
        <v/>
      </c>
      <c r="T1250" s="39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39" t="str">
        <f>IF(OR(TH!L1250=TH!$V$7,M1250=TH!$V$7),"x","")</f>
        <v/>
      </c>
      <c r="W1250" s="39" t="str">
        <f>IF(AND(B1250&gt;='IN-NX'!$P$3,B1250&lt;='IN-NX'!$Q$3,'IN-NX'!$D$7=D1250,OR(LEFT(L1250,2)="15",AND(LEFT(M1250,2)&lt;&gt;"15",LEFT(M1250,2)&lt;&gt;"33"))),"x","")</f>
        <v/>
      </c>
      <c r="X1250" s="39" t="str">
        <f>IF(AND(OR(LEFT(TH!L1250,2)="15",LEFT(TH!M1250,2)="15"),'152-CT'!$J$8=TH!F1250),"x","")</f>
        <v/>
      </c>
      <c r="Y1250" s="39" t="str">
        <f>IF(AND(OR(LEFT(TH!L1250,2)="15",LEFT(TH!M1250,2)="15"),TK!$E$7=TH!F1250),"x","")</f>
        <v/>
      </c>
      <c r="Z1250" s="39" t="str">
        <f>IF(AND(B1250&lt;=NKC!$N$8,B1250&gt;=NKC!$M$8),"x","")</f>
        <v/>
      </c>
      <c r="AA1250" s="894"/>
    </row>
    <row r="1251" spans="1:27" ht="15.75" customHeight="1">
      <c r="A1251" s="199" t="str">
        <f>IF(B1251&lt;&gt;"",IF(AND(B1251&gt;=_TM1,B1251&lt;=_TM2,OR(TH!L1251="1111",TH!M1251="1111")),TH!D1251,""),"")</f>
        <v/>
      </c>
      <c r="B1251" s="36" t="str">
        <f t="shared" si="45"/>
        <v/>
      </c>
      <c r="C1251" s="37"/>
      <c r="D1251" s="37"/>
      <c r="E1251" s="37"/>
      <c r="F1251" s="40"/>
      <c r="G1251" s="40"/>
      <c r="H1251" s="7"/>
      <c r="I1251" s="253"/>
      <c r="J1251" s="253"/>
      <c r="K1251" s="606"/>
      <c r="L1251" s="39"/>
      <c r="M1251" s="39"/>
      <c r="N1251" s="39" t="str">
        <f>IF(AND('331-CT'!$E$7=TH!H1251,OR(L1251="331",M1251="331")),"331",IF(AND(OR(L1251="131",M1251="131"),H1251='131-CT'!$E$7),"131",""))</f>
        <v/>
      </c>
      <c r="O1251" s="39" t="str">
        <f>IF(AND($B1251&gt;='111'!$N$11,$B1251&lt;='111'!$O$11,OR($L1251=$O$7,$M1251=$O$7)),"x","")</f>
        <v/>
      </c>
      <c r="P1251" s="39" t="str">
        <f>IF(AND($L1251=$O$7,$B1251&lt;'111'!$N$11),"x","")</f>
        <v/>
      </c>
      <c r="Q1251" s="39" t="str">
        <f>IF(AND($M1251=$O$7,$B1251&lt;'111'!$N$11),"x","")</f>
        <v/>
      </c>
      <c r="R1251" s="39" t="str">
        <f>IF(ISERROR(FIND('112'!$M$9,G1251,1)),"",IF((AND(FIND('112'!$M$9,G1251,1)&gt;=1,$B1251&gt;='112'!$N$8,$B1251&lt;='112'!$O$8,OR($L1251='112'!$I$6,$M1251='112'!$I$6))),"x",""))</f>
        <v/>
      </c>
      <c r="S1251" s="39" t="str">
        <f>IF(ISERROR(FIND('112'!$M$9,G1251,1)),"",IF((AND(LEFT(G1251,2)=LEFT('112'!$M$9,2),B1251&lt;'112'!$N$8,$L1251='112'!$I$6)),"x",""))</f>
        <v/>
      </c>
      <c r="T1251" s="39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39" t="str">
        <f>IF(OR(TH!L1251=TH!$V$7,M1251=TH!$V$7),"x","")</f>
        <v/>
      </c>
      <c r="W1251" s="39" t="str">
        <f>IF(AND(B1251&gt;='IN-NX'!$P$3,B1251&lt;='IN-NX'!$Q$3,'IN-NX'!$D$7=D1251,OR(LEFT(L1251,2)="15",AND(LEFT(M1251,2)&lt;&gt;"15",LEFT(M1251,2)&lt;&gt;"33"))),"x","")</f>
        <v/>
      </c>
      <c r="X1251" s="39" t="str">
        <f>IF(AND(OR(LEFT(TH!L1251,2)="15",LEFT(TH!M1251,2)="15"),'152-CT'!$J$8=TH!F1251),"x","")</f>
        <v/>
      </c>
      <c r="Y1251" s="39" t="str">
        <f>IF(AND(OR(LEFT(TH!L1251,2)="15",LEFT(TH!M1251,2)="15"),TK!$E$7=TH!F1251),"x","")</f>
        <v/>
      </c>
      <c r="Z1251" s="39" t="str">
        <f>IF(AND(B1251&lt;=NKC!$N$8,B1251&gt;=NKC!$M$8),"x","")</f>
        <v/>
      </c>
      <c r="AA1251" s="894"/>
    </row>
    <row r="1252" spans="1:27" ht="15.75" customHeight="1">
      <c r="A1252" s="199" t="str">
        <f>IF(B1252&lt;&gt;"",IF(AND(B1252&gt;=_TM1,B1252&lt;=_TM2,OR(TH!L1252="1111",TH!M1252="1111")),TH!D1252,""),"")</f>
        <v/>
      </c>
      <c r="B1252" s="36" t="str">
        <f t="shared" si="45"/>
        <v/>
      </c>
      <c r="C1252" s="37"/>
      <c r="D1252" s="37"/>
      <c r="E1252" s="37"/>
      <c r="F1252" s="191"/>
      <c r="G1252" s="40"/>
      <c r="H1252" s="7"/>
      <c r="I1252" s="253"/>
      <c r="J1252" s="253"/>
      <c r="K1252" s="606"/>
      <c r="L1252" s="39"/>
      <c r="M1252" s="39"/>
      <c r="N1252" s="39" t="str">
        <f>IF(AND('331-CT'!$E$7=TH!H1252,OR(L1252="331",M1252="331")),"331",IF(AND(OR(L1252="131",M1252="131"),H1252='131-CT'!$E$7),"131",""))</f>
        <v/>
      </c>
      <c r="O1252" s="39" t="str">
        <f>IF(AND($B1252&gt;='111'!$N$11,$B1252&lt;='111'!$O$11,OR($L1252=$O$7,$M1252=$O$7)),"x","")</f>
        <v/>
      </c>
      <c r="P1252" s="39" t="str">
        <f>IF(AND($L1252=$O$7,$B1252&lt;'111'!$N$11),"x","")</f>
        <v/>
      </c>
      <c r="Q1252" s="39" t="str">
        <f>IF(AND($M1252=$O$7,$B1252&lt;'111'!$N$11),"x","")</f>
        <v/>
      </c>
      <c r="R1252" s="39" t="str">
        <f>IF(ISERROR(FIND('112'!$M$9,G1252,1)),"",IF((AND(FIND('112'!$M$9,G1252,1)&gt;=1,$B1252&gt;='112'!$N$8,$B1252&lt;='112'!$O$8,OR($L1252='112'!$I$6,$M1252='112'!$I$6))),"x",""))</f>
        <v/>
      </c>
      <c r="S1252" s="39" t="str">
        <f>IF(ISERROR(FIND('112'!$M$9,G1252,1)),"",IF((AND(LEFT(G1252,2)=LEFT('112'!$M$9,2),B1252&lt;'112'!$N$8,$L1252='112'!$I$6)),"x",""))</f>
        <v/>
      </c>
      <c r="T1252" s="39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39" t="str">
        <f>IF(OR(TH!L1252=TH!$V$7,M1252=TH!$V$7),"x","")</f>
        <v/>
      </c>
      <c r="W1252" s="39" t="str">
        <f>IF(AND(B1252&gt;='IN-NX'!$P$3,B1252&lt;='IN-NX'!$Q$3,'IN-NX'!$D$7=D1252,OR(LEFT(L1252,2)="15",AND(LEFT(M1252,2)&lt;&gt;"15",LEFT(M1252,2)&lt;&gt;"33"))),"x","")</f>
        <v/>
      </c>
      <c r="X1252" s="39" t="str">
        <f>IF(AND(OR(LEFT(TH!L1252,2)="15",LEFT(TH!M1252,2)="15"),'152-CT'!$J$8=TH!F1252),"x","")</f>
        <v/>
      </c>
      <c r="Y1252" s="39" t="str">
        <f>IF(AND(OR(LEFT(TH!L1252,2)="15",LEFT(TH!M1252,2)="15"),TK!$E$7=TH!F1252),"x","")</f>
        <v/>
      </c>
      <c r="Z1252" s="39" t="str">
        <f>IF(AND(B1252&lt;=NKC!$N$8,B1252&gt;=NKC!$M$8),"x","")</f>
        <v/>
      </c>
      <c r="AA1252" s="894"/>
    </row>
    <row r="1253" spans="1:27" ht="15.75" customHeight="1">
      <c r="A1253" s="199" t="str">
        <f>IF(B1253&lt;&gt;"",IF(AND(B1253&gt;=_TM1,B1253&lt;=_TM2,OR(TH!L1253="1111",TH!M1253="1111")),TH!D1253,""),"")</f>
        <v/>
      </c>
      <c r="B1253" s="36" t="str">
        <f t="shared" si="45"/>
        <v/>
      </c>
      <c r="C1253" s="37"/>
      <c r="D1253" s="37"/>
      <c r="E1253" s="37"/>
      <c r="F1253" s="40"/>
      <c r="G1253" s="40"/>
      <c r="H1253" s="7"/>
      <c r="I1253" s="253"/>
      <c r="J1253" s="253"/>
      <c r="K1253" s="606"/>
      <c r="L1253" s="39"/>
      <c r="M1253" s="39"/>
      <c r="N1253" s="39" t="str">
        <f>IF(AND('331-CT'!$E$7=TH!H1253,OR(L1253="331",M1253="331")),"331",IF(AND(OR(L1253="131",M1253="131"),H1253='131-CT'!$E$7),"131",""))</f>
        <v/>
      </c>
      <c r="O1253" s="39" t="str">
        <f>IF(AND($B1253&gt;='111'!$N$11,$B1253&lt;='111'!$O$11,OR($L1253=$O$7,$M1253=$O$7)),"x","")</f>
        <v/>
      </c>
      <c r="P1253" s="39" t="str">
        <f>IF(AND($L1253=$O$7,$B1253&lt;'111'!$N$11),"x","")</f>
        <v/>
      </c>
      <c r="Q1253" s="39" t="str">
        <f>IF(AND($M1253=$O$7,$B1253&lt;'111'!$N$11),"x","")</f>
        <v/>
      </c>
      <c r="R1253" s="39" t="str">
        <f>IF(ISERROR(FIND('112'!$M$9,G1253,1)),"",IF((AND(FIND('112'!$M$9,G1253,1)&gt;=1,$B1253&gt;='112'!$N$8,$B1253&lt;='112'!$O$8,OR($L1253='112'!$I$6,$M1253='112'!$I$6))),"x",""))</f>
        <v/>
      </c>
      <c r="S1253" s="39" t="str">
        <f>IF(ISERROR(FIND('112'!$M$9,G1253,1)),"",IF((AND(LEFT(G1253,2)=LEFT('112'!$M$9,2),B1253&lt;'112'!$N$8,$L1253='112'!$I$6)),"x",""))</f>
        <v/>
      </c>
      <c r="T1253" s="39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39" t="str">
        <f>IF(OR(TH!L1253=TH!$V$7,M1253=TH!$V$7),"x","")</f>
        <v/>
      </c>
      <c r="W1253" s="39" t="str">
        <f>IF(AND(B1253&gt;='IN-NX'!$P$3,B1253&lt;='IN-NX'!$Q$3,'IN-NX'!$D$7=D1253,OR(LEFT(L1253,2)="15",AND(LEFT(M1253,2)&lt;&gt;"15",LEFT(M1253,2)&lt;&gt;"33"))),"x","")</f>
        <v/>
      </c>
      <c r="X1253" s="39" t="str">
        <f>IF(AND(OR(LEFT(TH!L1253,2)="15",LEFT(TH!M1253,2)="15"),'152-CT'!$J$8=TH!F1253),"x","")</f>
        <v/>
      </c>
      <c r="Y1253" s="39" t="str">
        <f>IF(AND(OR(LEFT(TH!L1253,2)="15",LEFT(TH!M1253,2)="15"),TK!$E$7=TH!F1253),"x","")</f>
        <v/>
      </c>
      <c r="Z1253" s="39" t="str">
        <f>IF(AND(B1253&lt;=NKC!$N$8,B1253&gt;=NKC!$M$8),"x","")</f>
        <v/>
      </c>
      <c r="AA1253" s="894"/>
    </row>
    <row r="1254" spans="1:27" ht="15.75" customHeight="1">
      <c r="A1254" s="199" t="str">
        <f>IF(B1254&lt;&gt;"",IF(AND(B1254&gt;=_TM1,B1254&lt;=_TM2,OR(TH!L1254="1111",TH!M1254="1111")),TH!D1254,""),"")</f>
        <v/>
      </c>
      <c r="B1254" s="36" t="str">
        <f t="shared" si="45"/>
        <v/>
      </c>
      <c r="C1254" s="37"/>
      <c r="D1254" s="37"/>
      <c r="E1254" s="37"/>
      <c r="F1254" s="40"/>
      <c r="G1254" s="40"/>
      <c r="H1254" s="7"/>
      <c r="I1254" s="253"/>
      <c r="J1254" s="253"/>
      <c r="K1254" s="606"/>
      <c r="L1254" s="39"/>
      <c r="M1254" s="39"/>
      <c r="N1254" s="39" t="str">
        <f>IF(AND('331-CT'!$E$7=TH!H1254,OR(L1254="331",M1254="331")),"331",IF(AND(OR(L1254="131",M1254="131"),H1254='131-CT'!$E$7),"131",""))</f>
        <v/>
      </c>
      <c r="O1254" s="39" t="str">
        <f>IF(AND($B1254&gt;='111'!$N$11,$B1254&lt;='111'!$O$11,OR($L1254=$O$7,$M1254=$O$7)),"x","")</f>
        <v/>
      </c>
      <c r="P1254" s="39" t="str">
        <f>IF(AND($L1254=$O$7,$B1254&lt;'111'!$N$11),"x","")</f>
        <v/>
      </c>
      <c r="Q1254" s="39" t="str">
        <f>IF(AND($M1254=$O$7,$B1254&lt;'111'!$N$11),"x","")</f>
        <v/>
      </c>
      <c r="R1254" s="39" t="str">
        <f>IF(ISERROR(FIND('112'!$M$9,G1254,1)),"",IF((AND(FIND('112'!$M$9,G1254,1)&gt;=1,$B1254&gt;='112'!$N$8,$B1254&lt;='112'!$O$8,OR($L1254='112'!$I$6,$M1254='112'!$I$6))),"x",""))</f>
        <v/>
      </c>
      <c r="S1254" s="39" t="str">
        <f>IF(ISERROR(FIND('112'!$M$9,G1254,1)),"",IF((AND(LEFT(G1254,2)=LEFT('112'!$M$9,2),B1254&lt;'112'!$N$8,$L1254='112'!$I$6)),"x",""))</f>
        <v/>
      </c>
      <c r="T1254" s="39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39" t="str">
        <f>IF(OR(TH!L1254=TH!$V$7,M1254=TH!$V$7),"x","")</f>
        <v/>
      </c>
      <c r="W1254" s="39" t="str">
        <f>IF(AND(B1254&gt;='IN-NX'!$P$3,B1254&lt;='IN-NX'!$Q$3,'IN-NX'!$D$7=D1254,OR(LEFT(L1254,2)="15",AND(LEFT(M1254,2)&lt;&gt;"15",LEFT(M1254,2)&lt;&gt;"33"))),"x","")</f>
        <v/>
      </c>
      <c r="X1254" s="39" t="str">
        <f>IF(AND(OR(LEFT(TH!L1254,2)="15",LEFT(TH!M1254,2)="15"),'152-CT'!$J$8=TH!F1254),"x","")</f>
        <v/>
      </c>
      <c r="Y1254" s="39" t="str">
        <f>IF(AND(OR(LEFT(TH!L1254,2)="15",LEFT(TH!M1254,2)="15"),TK!$E$7=TH!F1254),"x","")</f>
        <v/>
      </c>
      <c r="Z1254" s="39" t="str">
        <f>IF(AND(B1254&lt;=NKC!$N$8,B1254&gt;=NKC!$M$8),"x","")</f>
        <v/>
      </c>
      <c r="AA1254" s="894"/>
    </row>
    <row r="1255" spans="1:27" ht="15.75" customHeight="1">
      <c r="A1255" s="199" t="str">
        <f>IF(B1255&lt;&gt;"",IF(AND(B1255&gt;=_TM1,B1255&lt;=_TM2,OR(TH!L1255="1111",TH!M1255="1111")),TH!D1255,""),"")</f>
        <v/>
      </c>
      <c r="B1255" s="36" t="str">
        <f t="shared" si="45"/>
        <v/>
      </c>
      <c r="C1255" s="37"/>
      <c r="D1255" s="37"/>
      <c r="E1255" s="37"/>
      <c r="F1255" s="188"/>
      <c r="G1255" s="40"/>
      <c r="H1255" s="7"/>
      <c r="I1255" s="253"/>
      <c r="J1255" s="253"/>
      <c r="K1255" s="606"/>
      <c r="L1255" s="39"/>
      <c r="M1255" s="39"/>
      <c r="N1255" s="39" t="str">
        <f>IF(AND('331-CT'!$E$7=TH!H1255,OR(L1255="331",M1255="331")),"331",IF(AND(OR(L1255="131",M1255="131"),H1255='131-CT'!$E$7),"131",""))</f>
        <v/>
      </c>
      <c r="O1255" s="39" t="str">
        <f>IF(AND($B1255&gt;='111'!$N$11,$B1255&lt;='111'!$O$11,OR($L1255=$O$7,$M1255=$O$7)),"x","")</f>
        <v/>
      </c>
      <c r="P1255" s="39" t="str">
        <f>IF(AND($L1255=$O$7,$B1255&lt;'111'!$N$11),"x","")</f>
        <v/>
      </c>
      <c r="Q1255" s="39" t="str">
        <f>IF(AND($M1255=$O$7,$B1255&lt;'111'!$N$11),"x","")</f>
        <v/>
      </c>
      <c r="R1255" s="39" t="str">
        <f>IF(ISERROR(FIND('112'!$M$9,G1255,1)),"",IF((AND(FIND('112'!$M$9,G1255,1)&gt;=1,$B1255&gt;='112'!$N$8,$B1255&lt;='112'!$O$8,OR($L1255='112'!$I$6,$M1255='112'!$I$6))),"x",""))</f>
        <v/>
      </c>
      <c r="S1255" s="39" t="str">
        <f>IF(ISERROR(FIND('112'!$M$9,G1255,1)),"",IF((AND(LEFT(G1255,2)=LEFT('112'!$M$9,2),B1255&lt;'112'!$N$8,$L1255='112'!$I$6)),"x",""))</f>
        <v/>
      </c>
      <c r="T1255" s="39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39" t="str">
        <f>IF(OR(TH!L1255=TH!$V$7,M1255=TH!$V$7),"x","")</f>
        <v/>
      </c>
      <c r="W1255" s="39" t="str">
        <f>IF(AND(B1255&gt;='IN-NX'!$P$3,B1255&lt;='IN-NX'!$Q$3,'IN-NX'!$D$7=D1255,OR(LEFT(L1255,2)="15",AND(LEFT(M1255,2)&lt;&gt;"15",LEFT(M1255,2)&lt;&gt;"33"))),"x","")</f>
        <v/>
      </c>
      <c r="X1255" s="39" t="str">
        <f>IF(AND(OR(LEFT(TH!L1255,2)="15",LEFT(TH!M1255,2)="15"),'152-CT'!$J$8=TH!F1255),"x","")</f>
        <v/>
      </c>
      <c r="Y1255" s="39" t="str">
        <f>IF(AND(OR(LEFT(TH!L1255,2)="15",LEFT(TH!M1255,2)="15"),TK!$E$7=TH!F1255),"x","")</f>
        <v/>
      </c>
      <c r="Z1255" s="39" t="str">
        <f>IF(AND(B1255&lt;=NKC!$N$8,B1255&gt;=NKC!$M$8),"x","")</f>
        <v/>
      </c>
      <c r="AA1255" s="894"/>
    </row>
    <row r="1256" spans="1:27" ht="15.75" customHeight="1">
      <c r="A1256" s="199" t="str">
        <f>IF(B1256&lt;&gt;"",IF(AND(B1256&gt;=_TM1,B1256&lt;=_TM2,OR(TH!L1256="1111",TH!M1256="1111")),TH!D1256,""),"")</f>
        <v/>
      </c>
      <c r="B1256" s="36" t="str">
        <f t="shared" si="45"/>
        <v/>
      </c>
      <c r="C1256" s="37"/>
      <c r="D1256" s="37"/>
      <c r="E1256" s="37"/>
      <c r="F1256" s="40"/>
      <c r="G1256" s="40"/>
      <c r="H1256" s="7"/>
      <c r="I1256" s="253"/>
      <c r="J1256" s="253"/>
      <c r="K1256" s="606"/>
      <c r="L1256" s="39"/>
      <c r="M1256" s="39"/>
      <c r="N1256" s="39" t="str">
        <f>IF(AND('331-CT'!$E$7=TH!H1256,OR(L1256="331",M1256="331")),"331",IF(AND(OR(L1256="131",M1256="131"),H1256='131-CT'!$E$7),"131",""))</f>
        <v/>
      </c>
      <c r="O1256" s="39" t="str">
        <f>IF(AND($B1256&gt;='111'!$N$11,$B1256&lt;='111'!$O$11,OR($L1256=$O$7,$M1256=$O$7)),"x","")</f>
        <v/>
      </c>
      <c r="P1256" s="39" t="str">
        <f>IF(AND($L1256=$O$7,$B1256&lt;'111'!$N$11),"x","")</f>
        <v/>
      </c>
      <c r="Q1256" s="39" t="str">
        <f>IF(AND($M1256=$O$7,$B1256&lt;'111'!$N$11),"x","")</f>
        <v/>
      </c>
      <c r="R1256" s="39" t="str">
        <f>IF(ISERROR(FIND('112'!$M$9,G1256,1)),"",IF((AND(FIND('112'!$M$9,G1256,1)&gt;=1,$B1256&gt;='112'!$N$8,$B1256&lt;='112'!$O$8,OR($L1256='112'!$I$6,$M1256='112'!$I$6))),"x",""))</f>
        <v/>
      </c>
      <c r="S1256" s="39" t="str">
        <f>IF(ISERROR(FIND('112'!$M$9,G1256,1)),"",IF((AND(LEFT(G1256,2)=LEFT('112'!$M$9,2),B1256&lt;'112'!$N$8,$L1256='112'!$I$6)),"x",""))</f>
        <v/>
      </c>
      <c r="T1256" s="39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39" t="str">
        <f>IF(OR(TH!L1256=TH!$V$7,M1256=TH!$V$7),"x","")</f>
        <v/>
      </c>
      <c r="W1256" s="39" t="str">
        <f>IF(AND(B1256&gt;='IN-NX'!$P$3,B1256&lt;='IN-NX'!$Q$3,'IN-NX'!$D$7=D1256,OR(LEFT(L1256,2)="15",AND(LEFT(M1256,2)&lt;&gt;"15",LEFT(M1256,2)&lt;&gt;"33"))),"x","")</f>
        <v/>
      </c>
      <c r="X1256" s="39" t="str">
        <f>IF(AND(OR(LEFT(TH!L1256,2)="15",LEFT(TH!M1256,2)="15"),'152-CT'!$J$8=TH!F1256),"x","")</f>
        <v/>
      </c>
      <c r="Y1256" s="39" t="str">
        <f>IF(AND(OR(LEFT(TH!L1256,2)="15",LEFT(TH!M1256,2)="15"),TK!$E$7=TH!F1256),"x","")</f>
        <v/>
      </c>
      <c r="Z1256" s="39" t="str">
        <f>IF(AND(B1256&lt;=NKC!$N$8,B1256&gt;=NKC!$M$8),"x","")</f>
        <v/>
      </c>
      <c r="AA1256" s="894"/>
    </row>
    <row r="1257" spans="1:27" ht="15.75" customHeight="1">
      <c r="A1257" s="199" t="str">
        <f>IF(B1257&lt;&gt;"",IF(AND(B1257&gt;=_TM1,B1257&lt;=_TM2,OR(TH!L1257="1111",TH!M1257="1111")),TH!D1257,""),"")</f>
        <v/>
      </c>
      <c r="B1257" s="36" t="str">
        <f t="shared" si="45"/>
        <v/>
      </c>
      <c r="C1257" s="37"/>
      <c r="D1257" s="37"/>
      <c r="E1257" s="37"/>
      <c r="F1257" s="40"/>
      <c r="G1257" s="40"/>
      <c r="H1257" s="7"/>
      <c r="I1257" s="253"/>
      <c r="J1257" s="253"/>
      <c r="K1257" s="606"/>
      <c r="L1257" s="39"/>
      <c r="M1257" s="39"/>
      <c r="N1257" s="39" t="str">
        <f>IF(AND('331-CT'!$E$7=TH!H1257,OR(L1257="331",M1257="331")),"331",IF(AND(OR(L1257="131",M1257="131"),H1257='131-CT'!$E$7),"131",""))</f>
        <v/>
      </c>
      <c r="O1257" s="39" t="str">
        <f>IF(AND($B1257&gt;='111'!$N$11,$B1257&lt;='111'!$O$11,OR($L1257=$O$7,$M1257=$O$7)),"x","")</f>
        <v/>
      </c>
      <c r="P1257" s="39" t="str">
        <f>IF(AND($L1257=$O$7,$B1257&lt;'111'!$N$11),"x","")</f>
        <v/>
      </c>
      <c r="Q1257" s="39" t="str">
        <f>IF(AND($M1257=$O$7,$B1257&lt;'111'!$N$11),"x","")</f>
        <v/>
      </c>
      <c r="R1257" s="39" t="str">
        <f>IF(ISERROR(FIND('112'!$M$9,G1257,1)),"",IF((AND(FIND('112'!$M$9,G1257,1)&gt;=1,$B1257&gt;='112'!$N$8,$B1257&lt;='112'!$O$8,OR($L1257='112'!$I$6,$M1257='112'!$I$6))),"x",""))</f>
        <v/>
      </c>
      <c r="S1257" s="39" t="str">
        <f>IF(ISERROR(FIND('112'!$M$9,G1257,1)),"",IF((AND(LEFT(G1257,2)=LEFT('112'!$M$9,2),B1257&lt;'112'!$N$8,$L1257='112'!$I$6)),"x",""))</f>
        <v/>
      </c>
      <c r="T1257" s="39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39" t="str">
        <f>IF(OR(TH!L1257=TH!$V$7,M1257=TH!$V$7),"x","")</f>
        <v/>
      </c>
      <c r="W1257" s="39" t="str">
        <f>IF(AND(B1257&gt;='IN-NX'!$P$3,B1257&lt;='IN-NX'!$Q$3,'IN-NX'!$D$7=D1257,OR(LEFT(L1257,2)="15",AND(LEFT(M1257,2)&lt;&gt;"15",LEFT(M1257,2)&lt;&gt;"33"))),"x","")</f>
        <v/>
      </c>
      <c r="X1257" s="39" t="str">
        <f>IF(AND(OR(LEFT(TH!L1257,2)="15",LEFT(TH!M1257,2)="15"),'152-CT'!$J$8=TH!F1257),"x","")</f>
        <v/>
      </c>
      <c r="Y1257" s="39" t="str">
        <f>IF(AND(OR(LEFT(TH!L1257,2)="15",LEFT(TH!M1257,2)="15"),TK!$E$7=TH!F1257),"x","")</f>
        <v/>
      </c>
      <c r="Z1257" s="39" t="str">
        <f>IF(AND(B1257&lt;=NKC!$N$8,B1257&gt;=NKC!$M$8),"x","")</f>
        <v/>
      </c>
      <c r="AA1257" s="894"/>
    </row>
    <row r="1258" spans="1:27" ht="15.75" customHeight="1">
      <c r="A1258" s="199" t="str">
        <f>IF(B1258&lt;&gt;"",IF(AND(B1258&gt;=_TM1,B1258&lt;=_TM2,OR(TH!L1258="1111",TH!M1258="1111")),TH!D1258,""),"")</f>
        <v/>
      </c>
      <c r="B1258" s="36" t="str">
        <f t="shared" si="45"/>
        <v/>
      </c>
      <c r="C1258" s="37"/>
      <c r="D1258" s="37"/>
      <c r="E1258" s="37"/>
      <c r="F1258" s="40"/>
      <c r="G1258" s="40"/>
      <c r="H1258" s="7"/>
      <c r="I1258" s="253"/>
      <c r="J1258" s="253"/>
      <c r="K1258" s="606"/>
      <c r="L1258" s="39"/>
      <c r="M1258" s="39"/>
      <c r="N1258" s="39" t="str">
        <f>IF(AND('331-CT'!$E$7=TH!H1258,OR(L1258="331",M1258="331")),"331",IF(AND(OR(L1258="131",M1258="131"),H1258='131-CT'!$E$7),"131",""))</f>
        <v/>
      </c>
      <c r="O1258" s="39" t="str">
        <f>IF(AND($B1258&gt;='111'!$N$11,$B1258&lt;='111'!$O$11,OR($L1258=$O$7,$M1258=$O$7)),"x","")</f>
        <v/>
      </c>
      <c r="P1258" s="39" t="str">
        <f>IF(AND($L1258=$O$7,$B1258&lt;'111'!$N$11),"x","")</f>
        <v/>
      </c>
      <c r="Q1258" s="39" t="str">
        <f>IF(AND($M1258=$O$7,$B1258&lt;'111'!$N$11),"x","")</f>
        <v/>
      </c>
      <c r="R1258" s="39" t="str">
        <f>IF(ISERROR(FIND('112'!$M$9,G1258,1)),"",IF((AND(FIND('112'!$M$9,G1258,1)&gt;=1,$B1258&gt;='112'!$N$8,$B1258&lt;='112'!$O$8,OR($L1258='112'!$I$6,$M1258='112'!$I$6))),"x",""))</f>
        <v/>
      </c>
      <c r="S1258" s="39" t="str">
        <f>IF(ISERROR(FIND('112'!$M$9,G1258,1)),"",IF((AND(LEFT(G1258,2)=LEFT('112'!$M$9,2),B1258&lt;'112'!$N$8,$L1258='112'!$I$6)),"x",""))</f>
        <v/>
      </c>
      <c r="T1258" s="39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39" t="str">
        <f>IF(OR(TH!L1258=TH!$V$7,M1258=TH!$V$7),"x","")</f>
        <v/>
      </c>
      <c r="W1258" s="39" t="str">
        <f>IF(AND(B1258&gt;='IN-NX'!$P$3,B1258&lt;='IN-NX'!$Q$3,'IN-NX'!$D$7=D1258,OR(LEFT(L1258,2)="15",AND(LEFT(M1258,2)&lt;&gt;"15",LEFT(M1258,2)&lt;&gt;"33"))),"x","")</f>
        <v/>
      </c>
      <c r="X1258" s="39" t="str">
        <f>IF(AND(OR(LEFT(TH!L1258,2)="15",LEFT(TH!M1258,2)="15"),'152-CT'!$J$8=TH!F1258),"x","")</f>
        <v/>
      </c>
      <c r="Y1258" s="39" t="str">
        <f>IF(AND(OR(LEFT(TH!L1258,2)="15",LEFT(TH!M1258,2)="15"),TK!$E$7=TH!F1258),"x","")</f>
        <v/>
      </c>
      <c r="Z1258" s="39" t="str">
        <f>IF(AND(B1258&lt;=NKC!$N$8,B1258&gt;=NKC!$M$8),"x","")</f>
        <v/>
      </c>
      <c r="AA1258" s="894"/>
    </row>
    <row r="1259" spans="1:27" ht="15.75" customHeight="1">
      <c r="A1259" s="199" t="str">
        <f>IF(B1259&lt;&gt;"",IF(AND(B1259&gt;=_TM1,B1259&lt;=_TM2,OR(TH!L1259="1111",TH!M1259="1111")),TH!D1259,""),"")</f>
        <v/>
      </c>
      <c r="B1259" s="36" t="str">
        <f t="shared" si="45"/>
        <v/>
      </c>
      <c r="C1259" s="37"/>
      <c r="D1259" s="37"/>
      <c r="E1259" s="37"/>
      <c r="F1259" s="40"/>
      <c r="G1259" s="40"/>
      <c r="H1259" s="7"/>
      <c r="I1259" s="253"/>
      <c r="J1259" s="253"/>
      <c r="K1259" s="606"/>
      <c r="L1259" s="39"/>
      <c r="M1259" s="39"/>
      <c r="N1259" s="39" t="str">
        <f>IF(AND('331-CT'!$E$7=TH!H1259,OR(L1259="331",M1259="331")),"331",IF(AND(OR(L1259="131",M1259="131"),H1259='131-CT'!$E$7),"131",""))</f>
        <v/>
      </c>
      <c r="O1259" s="39" t="str">
        <f>IF(AND($B1259&gt;='111'!$N$11,$B1259&lt;='111'!$O$11,OR($L1259=$O$7,$M1259=$O$7)),"x","")</f>
        <v/>
      </c>
      <c r="P1259" s="39" t="str">
        <f>IF(AND($L1259=$O$7,$B1259&lt;'111'!$N$11),"x","")</f>
        <v/>
      </c>
      <c r="Q1259" s="39" t="str">
        <f>IF(AND($M1259=$O$7,$B1259&lt;'111'!$N$11),"x","")</f>
        <v/>
      </c>
      <c r="R1259" s="39" t="str">
        <f>IF(ISERROR(FIND('112'!$M$9,G1259,1)),"",IF((AND(FIND('112'!$M$9,G1259,1)&gt;=1,$B1259&gt;='112'!$N$8,$B1259&lt;='112'!$O$8,OR($L1259='112'!$I$6,$M1259='112'!$I$6))),"x",""))</f>
        <v/>
      </c>
      <c r="S1259" s="39" t="str">
        <f>IF(ISERROR(FIND('112'!$M$9,G1259,1)),"",IF((AND(LEFT(G1259,2)=LEFT('112'!$M$9,2),B1259&lt;'112'!$N$8,$L1259='112'!$I$6)),"x",""))</f>
        <v/>
      </c>
      <c r="T1259" s="39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39" t="str">
        <f>IF(OR(TH!L1259=TH!$V$7,M1259=TH!$V$7),"x","")</f>
        <v/>
      </c>
      <c r="W1259" s="39" t="str">
        <f>IF(AND(B1259&gt;='IN-NX'!$P$3,B1259&lt;='IN-NX'!$Q$3,'IN-NX'!$D$7=D1259,OR(LEFT(L1259,2)="15",AND(LEFT(M1259,2)&lt;&gt;"15",LEFT(M1259,2)&lt;&gt;"33"))),"x","")</f>
        <v/>
      </c>
      <c r="X1259" s="39" t="str">
        <f>IF(AND(OR(LEFT(TH!L1259,2)="15",LEFT(TH!M1259,2)="15"),'152-CT'!$J$8=TH!F1259),"x","")</f>
        <v/>
      </c>
      <c r="Y1259" s="39" t="str">
        <f>IF(AND(OR(LEFT(TH!L1259,2)="15",LEFT(TH!M1259,2)="15"),TK!$E$7=TH!F1259),"x","")</f>
        <v/>
      </c>
      <c r="Z1259" s="39" t="str">
        <f>IF(AND(B1259&lt;=NKC!$N$8,B1259&gt;=NKC!$M$8),"x","")</f>
        <v/>
      </c>
      <c r="AA1259" s="894"/>
    </row>
    <row r="1260" spans="1:27" ht="15.75" customHeight="1">
      <c r="A1260" s="199" t="str">
        <f>IF(B1260&lt;&gt;"",IF(AND(B1260&gt;=_TM1,B1260&lt;=_TM2,OR(TH!L1260="1111",TH!M1260="1111")),TH!D1260,""),"")</f>
        <v/>
      </c>
      <c r="B1260" s="36" t="str">
        <f t="shared" si="45"/>
        <v/>
      </c>
      <c r="C1260" s="37"/>
      <c r="D1260" s="37"/>
      <c r="E1260" s="37"/>
      <c r="F1260" s="191"/>
      <c r="G1260" s="40"/>
      <c r="H1260" s="7"/>
      <c r="I1260" s="253"/>
      <c r="J1260" s="253"/>
      <c r="K1260" s="606"/>
      <c r="L1260" s="39"/>
      <c r="M1260" s="39"/>
      <c r="N1260" s="39" t="str">
        <f>IF(AND('331-CT'!$E$7=TH!H1260,OR(L1260="331",M1260="331")),"331",IF(AND(OR(L1260="131",M1260="131"),H1260='131-CT'!$E$7),"131",""))</f>
        <v/>
      </c>
      <c r="O1260" s="39" t="str">
        <f>IF(AND($B1260&gt;='111'!$N$11,$B1260&lt;='111'!$O$11,OR($L1260=$O$7,$M1260=$O$7)),"x","")</f>
        <v/>
      </c>
      <c r="P1260" s="39" t="str">
        <f>IF(AND($L1260=$O$7,$B1260&lt;'111'!$N$11),"x","")</f>
        <v/>
      </c>
      <c r="Q1260" s="39" t="str">
        <f>IF(AND($M1260=$O$7,$B1260&lt;'111'!$N$11),"x","")</f>
        <v/>
      </c>
      <c r="R1260" s="39" t="str">
        <f>IF(ISERROR(FIND('112'!$M$9,G1260,1)),"",IF((AND(FIND('112'!$M$9,G1260,1)&gt;=1,$B1260&gt;='112'!$N$8,$B1260&lt;='112'!$O$8,OR($L1260='112'!$I$6,$M1260='112'!$I$6))),"x",""))</f>
        <v/>
      </c>
      <c r="S1260" s="39" t="str">
        <f>IF(ISERROR(FIND('112'!$M$9,G1260,1)),"",IF((AND(LEFT(G1260,2)=LEFT('112'!$M$9,2),B1260&lt;'112'!$N$8,$L1260='112'!$I$6)),"x",""))</f>
        <v/>
      </c>
      <c r="T1260" s="39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39" t="str">
        <f>IF(OR(TH!L1260=TH!$V$7,M1260=TH!$V$7),"x","")</f>
        <v/>
      </c>
      <c r="W1260" s="39" t="str">
        <f>IF(AND(B1260&gt;='IN-NX'!$P$3,B1260&lt;='IN-NX'!$Q$3,'IN-NX'!$D$7=D1260,OR(LEFT(L1260,2)="15",AND(LEFT(M1260,2)&lt;&gt;"15",LEFT(M1260,2)&lt;&gt;"33"))),"x","")</f>
        <v/>
      </c>
      <c r="X1260" s="39" t="str">
        <f>IF(AND(OR(LEFT(TH!L1260,2)="15",LEFT(TH!M1260,2)="15"),'152-CT'!$J$8=TH!F1260),"x","")</f>
        <v/>
      </c>
      <c r="Y1260" s="39" t="str">
        <f>IF(AND(OR(LEFT(TH!L1260,2)="15",LEFT(TH!M1260,2)="15"),TK!$E$7=TH!F1260),"x","")</f>
        <v/>
      </c>
      <c r="Z1260" s="39" t="str">
        <f>IF(AND(B1260&lt;=NKC!$N$8,B1260&gt;=NKC!$M$8),"x","")</f>
        <v/>
      </c>
      <c r="AA1260" s="894"/>
    </row>
    <row r="1261" spans="1:27" ht="15.75" customHeight="1">
      <c r="A1261" s="199" t="str">
        <f>IF(B1261&lt;&gt;"",IF(AND(B1261&gt;=_TM1,B1261&lt;=_TM2,OR(TH!L1261="1111",TH!M1261="1111")),TH!D1261,""),"")</f>
        <v/>
      </c>
      <c r="B1261" s="36" t="str">
        <f t="shared" si="45"/>
        <v/>
      </c>
      <c r="C1261" s="37"/>
      <c r="D1261" s="37"/>
      <c r="E1261" s="37"/>
      <c r="F1261" s="40"/>
      <c r="G1261" s="40"/>
      <c r="H1261" s="7"/>
      <c r="I1261" s="253"/>
      <c r="J1261" s="253"/>
      <c r="K1261" s="606"/>
      <c r="L1261" s="39"/>
      <c r="M1261" s="39"/>
      <c r="N1261" s="39" t="str">
        <f>IF(AND('331-CT'!$E$7=TH!H1261,OR(L1261="331",M1261="331")),"331",IF(AND(OR(L1261="131",M1261="131"),H1261='131-CT'!$E$7),"131",""))</f>
        <v/>
      </c>
      <c r="O1261" s="39" t="str">
        <f>IF(AND($B1261&gt;='111'!$N$11,$B1261&lt;='111'!$O$11,OR($L1261=$O$7,$M1261=$O$7)),"x","")</f>
        <v/>
      </c>
      <c r="P1261" s="39" t="str">
        <f>IF(AND($L1261=$O$7,$B1261&lt;'111'!$N$11),"x","")</f>
        <v/>
      </c>
      <c r="Q1261" s="39" t="str">
        <f>IF(AND($M1261=$O$7,$B1261&lt;'111'!$N$11),"x","")</f>
        <v/>
      </c>
      <c r="R1261" s="39" t="str">
        <f>IF(ISERROR(FIND('112'!$M$9,G1261,1)),"",IF((AND(FIND('112'!$M$9,G1261,1)&gt;=1,$B1261&gt;='112'!$N$8,$B1261&lt;='112'!$O$8,OR($L1261='112'!$I$6,$M1261='112'!$I$6))),"x",""))</f>
        <v/>
      </c>
      <c r="S1261" s="39" t="str">
        <f>IF(ISERROR(FIND('112'!$M$9,G1261,1)),"",IF((AND(LEFT(G1261,2)=LEFT('112'!$M$9,2),B1261&lt;'112'!$N$8,$L1261='112'!$I$6)),"x",""))</f>
        <v/>
      </c>
      <c r="T1261" s="39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39" t="str">
        <f>IF(OR(TH!L1261=TH!$V$7,M1261=TH!$V$7),"x","")</f>
        <v/>
      </c>
      <c r="W1261" s="39" t="str">
        <f>IF(AND(B1261&gt;='IN-NX'!$P$3,B1261&lt;='IN-NX'!$Q$3,'IN-NX'!$D$7=D1261,OR(LEFT(L1261,2)="15",AND(LEFT(M1261,2)&lt;&gt;"15",LEFT(M1261,2)&lt;&gt;"33"))),"x","")</f>
        <v/>
      </c>
      <c r="X1261" s="39" t="str">
        <f>IF(AND(OR(LEFT(TH!L1261,2)="15",LEFT(TH!M1261,2)="15"),'152-CT'!$J$8=TH!F1261),"x","")</f>
        <v/>
      </c>
      <c r="Y1261" s="39" t="str">
        <f>IF(AND(OR(LEFT(TH!L1261,2)="15",LEFT(TH!M1261,2)="15"),TK!$E$7=TH!F1261),"x","")</f>
        <v/>
      </c>
      <c r="Z1261" s="39" t="str">
        <f>IF(AND(B1261&lt;=NKC!$N$8,B1261&gt;=NKC!$M$8),"x","")</f>
        <v/>
      </c>
      <c r="AA1261" s="894"/>
    </row>
    <row r="1262" spans="1:27" ht="15.75" customHeight="1">
      <c r="A1262" s="199" t="str">
        <f>IF(B1262&lt;&gt;"",IF(AND(B1262&gt;=_TM1,B1262&lt;=_TM2,OR(TH!L1262="1111",TH!M1262="1111")),TH!D1262,""),"")</f>
        <v/>
      </c>
      <c r="B1262" s="36" t="str">
        <f t="shared" si="45"/>
        <v/>
      </c>
      <c r="C1262" s="37"/>
      <c r="D1262" s="37"/>
      <c r="E1262" s="37"/>
      <c r="F1262" s="40"/>
      <c r="G1262" s="40"/>
      <c r="H1262" s="7"/>
      <c r="I1262" s="253"/>
      <c r="J1262" s="253"/>
      <c r="K1262" s="606"/>
      <c r="L1262" s="39"/>
      <c r="M1262" s="39"/>
      <c r="N1262" s="39" t="str">
        <f>IF(AND('331-CT'!$E$7=TH!H1262,OR(L1262="331",M1262="331")),"331",IF(AND(OR(L1262="131",M1262="131"),H1262='131-CT'!$E$7),"131",""))</f>
        <v/>
      </c>
      <c r="O1262" s="39" t="str">
        <f>IF(AND($B1262&gt;='111'!$N$11,$B1262&lt;='111'!$O$11,OR($L1262=$O$7,$M1262=$O$7)),"x","")</f>
        <v/>
      </c>
      <c r="P1262" s="39" t="str">
        <f>IF(AND($L1262=$O$7,$B1262&lt;'111'!$N$11),"x","")</f>
        <v/>
      </c>
      <c r="Q1262" s="39" t="str">
        <f>IF(AND($M1262=$O$7,$B1262&lt;'111'!$N$11),"x","")</f>
        <v/>
      </c>
      <c r="R1262" s="39" t="str">
        <f>IF(ISERROR(FIND('112'!$M$9,G1262,1)),"",IF((AND(FIND('112'!$M$9,G1262,1)&gt;=1,$B1262&gt;='112'!$N$8,$B1262&lt;='112'!$O$8,OR($L1262='112'!$I$6,$M1262='112'!$I$6))),"x",""))</f>
        <v/>
      </c>
      <c r="S1262" s="39" t="str">
        <f>IF(ISERROR(FIND('112'!$M$9,G1262,1)),"",IF((AND(LEFT(G1262,2)=LEFT('112'!$M$9,2),B1262&lt;'112'!$N$8,$L1262='112'!$I$6)),"x",""))</f>
        <v/>
      </c>
      <c r="T1262" s="39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39" t="str">
        <f>IF(OR(TH!L1262=TH!$V$7,M1262=TH!$V$7),"x","")</f>
        <v/>
      </c>
      <c r="W1262" s="39" t="str">
        <f>IF(AND(B1262&gt;='IN-NX'!$P$3,B1262&lt;='IN-NX'!$Q$3,'IN-NX'!$D$7=D1262,OR(LEFT(L1262,2)="15",AND(LEFT(M1262,2)&lt;&gt;"15",LEFT(M1262,2)&lt;&gt;"33"))),"x","")</f>
        <v/>
      </c>
      <c r="X1262" s="39" t="str">
        <f>IF(AND(OR(LEFT(TH!L1262,2)="15",LEFT(TH!M1262,2)="15"),'152-CT'!$J$8=TH!F1262),"x","")</f>
        <v/>
      </c>
      <c r="Y1262" s="39" t="str">
        <f>IF(AND(OR(LEFT(TH!L1262,2)="15",LEFT(TH!M1262,2)="15"),TK!$E$7=TH!F1262),"x","")</f>
        <v/>
      </c>
      <c r="Z1262" s="39" t="str">
        <f>IF(AND(B1262&lt;=NKC!$N$8,B1262&gt;=NKC!$M$8),"x","")</f>
        <v/>
      </c>
      <c r="AA1262" s="894"/>
    </row>
    <row r="1263" spans="1:27" ht="15.75" customHeight="1">
      <c r="A1263" s="199" t="str">
        <f>IF(B1263&lt;&gt;"",IF(AND(B1263&gt;=_TM1,B1263&lt;=_TM2,OR(TH!L1263="1111",TH!M1263="1111")),TH!D1263,""),"")</f>
        <v/>
      </c>
      <c r="B1263" s="36" t="str">
        <f t="shared" si="45"/>
        <v/>
      </c>
      <c r="C1263" s="37"/>
      <c r="D1263" s="37"/>
      <c r="E1263" s="37"/>
      <c r="F1263" s="188"/>
      <c r="G1263" s="40"/>
      <c r="H1263" s="7"/>
      <c r="I1263" s="253"/>
      <c r="J1263" s="253"/>
      <c r="K1263" s="606"/>
      <c r="L1263" s="39"/>
      <c r="M1263" s="39"/>
      <c r="N1263" s="39" t="str">
        <f>IF(AND('331-CT'!$E$7=TH!H1263,OR(L1263="331",M1263="331")),"331",IF(AND(OR(L1263="131",M1263="131"),H1263='131-CT'!$E$7),"131",""))</f>
        <v/>
      </c>
      <c r="O1263" s="39" t="str">
        <f>IF(AND($B1263&gt;='111'!$N$11,$B1263&lt;='111'!$O$11,OR($L1263=$O$7,$M1263=$O$7)),"x","")</f>
        <v/>
      </c>
      <c r="P1263" s="39" t="str">
        <f>IF(AND($L1263=$O$7,$B1263&lt;'111'!$N$11),"x","")</f>
        <v/>
      </c>
      <c r="Q1263" s="39" t="str">
        <f>IF(AND($M1263=$O$7,$B1263&lt;'111'!$N$11),"x","")</f>
        <v/>
      </c>
      <c r="R1263" s="39" t="str">
        <f>IF(ISERROR(FIND('112'!$M$9,G1263,1)),"",IF((AND(FIND('112'!$M$9,G1263,1)&gt;=1,$B1263&gt;='112'!$N$8,$B1263&lt;='112'!$O$8,OR($L1263='112'!$I$6,$M1263='112'!$I$6))),"x",""))</f>
        <v/>
      </c>
      <c r="S1263" s="39" t="str">
        <f>IF(ISERROR(FIND('112'!$M$9,G1263,1)),"",IF((AND(LEFT(G1263,2)=LEFT('112'!$M$9,2),B1263&lt;'112'!$N$8,$L1263='112'!$I$6)),"x",""))</f>
        <v/>
      </c>
      <c r="T1263" s="39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39" t="str">
        <f>IF(OR(TH!L1263=TH!$V$7,M1263=TH!$V$7),"x","")</f>
        <v/>
      </c>
      <c r="W1263" s="39" t="str">
        <f>IF(AND(B1263&gt;='IN-NX'!$P$3,B1263&lt;='IN-NX'!$Q$3,'IN-NX'!$D$7=D1263,OR(LEFT(L1263,2)="15",AND(LEFT(M1263,2)&lt;&gt;"15",LEFT(M1263,2)&lt;&gt;"33"))),"x","")</f>
        <v/>
      </c>
      <c r="X1263" s="39" t="str">
        <f>IF(AND(OR(LEFT(TH!L1263,2)="15",LEFT(TH!M1263,2)="15"),'152-CT'!$J$8=TH!F1263),"x","")</f>
        <v/>
      </c>
      <c r="Y1263" s="39" t="str">
        <f>IF(AND(OR(LEFT(TH!L1263,2)="15",LEFT(TH!M1263,2)="15"),TK!$E$7=TH!F1263),"x","")</f>
        <v/>
      </c>
      <c r="Z1263" s="39" t="str">
        <f>IF(AND(B1263&lt;=NKC!$N$8,B1263&gt;=NKC!$M$8),"x","")</f>
        <v/>
      </c>
      <c r="AA1263" s="894"/>
    </row>
    <row r="1264" spans="1:27" ht="15.75" customHeight="1">
      <c r="A1264" s="199" t="str">
        <f>IF(B1264&lt;&gt;"",IF(AND(B1264&gt;=_TM1,B1264&lt;=_TM2,OR(TH!L1264="1111",TH!M1264="1111")),TH!D1264,""),"")</f>
        <v/>
      </c>
      <c r="B1264" s="36" t="str">
        <f t="shared" si="45"/>
        <v/>
      </c>
      <c r="C1264" s="37"/>
      <c r="D1264" s="37"/>
      <c r="E1264" s="37"/>
      <c r="F1264" s="40"/>
      <c r="G1264" s="40"/>
      <c r="H1264" s="7"/>
      <c r="I1264" s="253"/>
      <c r="J1264" s="253"/>
      <c r="K1264" s="606"/>
      <c r="L1264" s="39"/>
      <c r="M1264" s="39"/>
      <c r="N1264" s="39" t="str">
        <f>IF(AND('331-CT'!$E$7=TH!H1264,OR(L1264="331",M1264="331")),"331",IF(AND(OR(L1264="131",M1264="131"),H1264='131-CT'!$E$7),"131",""))</f>
        <v/>
      </c>
      <c r="O1264" s="39" t="str">
        <f>IF(AND($B1264&gt;='111'!$N$11,$B1264&lt;='111'!$O$11,OR($L1264=$O$7,$M1264=$O$7)),"x","")</f>
        <v/>
      </c>
      <c r="P1264" s="39" t="str">
        <f>IF(AND($L1264=$O$7,$B1264&lt;'111'!$N$11),"x","")</f>
        <v/>
      </c>
      <c r="Q1264" s="39" t="str">
        <f>IF(AND($M1264=$O$7,$B1264&lt;'111'!$N$11),"x","")</f>
        <v/>
      </c>
      <c r="R1264" s="39" t="str">
        <f>IF(ISERROR(FIND('112'!$M$9,G1264,1)),"",IF((AND(FIND('112'!$M$9,G1264,1)&gt;=1,$B1264&gt;='112'!$N$8,$B1264&lt;='112'!$O$8,OR($L1264='112'!$I$6,$M1264='112'!$I$6))),"x",""))</f>
        <v/>
      </c>
      <c r="S1264" s="39" t="str">
        <f>IF(ISERROR(FIND('112'!$M$9,G1264,1)),"",IF((AND(LEFT(G1264,2)=LEFT('112'!$M$9,2),B1264&lt;'112'!$N$8,$L1264='112'!$I$6)),"x",""))</f>
        <v/>
      </c>
      <c r="T1264" s="39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39" t="str">
        <f>IF(OR(TH!L1264=TH!$V$7,M1264=TH!$V$7),"x","")</f>
        <v/>
      </c>
      <c r="W1264" s="39" t="str">
        <f>IF(AND(B1264&gt;='IN-NX'!$P$3,B1264&lt;='IN-NX'!$Q$3,'IN-NX'!$D$7=D1264,OR(LEFT(L1264,2)="15",AND(LEFT(M1264,2)&lt;&gt;"15",LEFT(M1264,2)&lt;&gt;"33"))),"x","")</f>
        <v/>
      </c>
      <c r="X1264" s="39" t="str">
        <f>IF(AND(OR(LEFT(TH!L1264,2)="15",LEFT(TH!M1264,2)="15"),'152-CT'!$J$8=TH!F1264),"x","")</f>
        <v/>
      </c>
      <c r="Y1264" s="39" t="str">
        <f>IF(AND(OR(LEFT(TH!L1264,2)="15",LEFT(TH!M1264,2)="15"),TK!$E$7=TH!F1264),"x","")</f>
        <v/>
      </c>
      <c r="Z1264" s="39" t="str">
        <f>IF(AND(B1264&lt;=NKC!$N$8,B1264&gt;=NKC!$M$8),"x","")</f>
        <v/>
      </c>
      <c r="AA1264" s="894"/>
    </row>
    <row r="1265" spans="1:27" ht="15.75" customHeight="1">
      <c r="A1265" s="199" t="str">
        <f>IF(B1265&lt;&gt;"",IF(AND(B1265&gt;=_TM1,B1265&lt;=_TM2,OR(TH!L1265="1111",TH!M1265="1111")),TH!D1265,""),"")</f>
        <v/>
      </c>
      <c r="B1265" s="36" t="str">
        <f t="shared" si="45"/>
        <v/>
      </c>
      <c r="C1265" s="37"/>
      <c r="D1265" s="37"/>
      <c r="E1265" s="37"/>
      <c r="F1265" s="40"/>
      <c r="G1265" s="40"/>
      <c r="H1265" s="7"/>
      <c r="I1265" s="253"/>
      <c r="J1265" s="253"/>
      <c r="K1265" s="606"/>
      <c r="L1265" s="39"/>
      <c r="M1265" s="39"/>
      <c r="N1265" s="39" t="str">
        <f>IF(AND('331-CT'!$E$7=TH!H1265,OR(L1265="331",M1265="331")),"331",IF(AND(OR(L1265="131",M1265="131"),H1265='131-CT'!$E$7),"131",""))</f>
        <v/>
      </c>
      <c r="O1265" s="39" t="str">
        <f>IF(AND($B1265&gt;='111'!$N$11,$B1265&lt;='111'!$O$11,OR($L1265=$O$7,$M1265=$O$7)),"x","")</f>
        <v/>
      </c>
      <c r="P1265" s="39" t="str">
        <f>IF(AND($L1265=$O$7,$B1265&lt;'111'!$N$11),"x","")</f>
        <v/>
      </c>
      <c r="Q1265" s="39" t="str">
        <f>IF(AND($M1265=$O$7,$B1265&lt;'111'!$N$11),"x","")</f>
        <v/>
      </c>
      <c r="R1265" s="39" t="str">
        <f>IF(ISERROR(FIND('112'!$M$9,G1265,1)),"",IF((AND(FIND('112'!$M$9,G1265,1)&gt;=1,$B1265&gt;='112'!$N$8,$B1265&lt;='112'!$O$8,OR($L1265='112'!$I$6,$M1265='112'!$I$6))),"x",""))</f>
        <v/>
      </c>
      <c r="S1265" s="39" t="str">
        <f>IF(ISERROR(FIND('112'!$M$9,G1265,1)),"",IF((AND(LEFT(G1265,2)=LEFT('112'!$M$9,2),B1265&lt;'112'!$N$8,$L1265='112'!$I$6)),"x",""))</f>
        <v/>
      </c>
      <c r="T1265" s="39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39" t="str">
        <f>IF(OR(TH!L1265=TH!$V$7,M1265=TH!$V$7),"x","")</f>
        <v/>
      </c>
      <c r="W1265" s="39" t="str">
        <f>IF(AND(B1265&gt;='IN-NX'!$P$3,B1265&lt;='IN-NX'!$Q$3,'IN-NX'!$D$7=D1265,OR(LEFT(L1265,2)="15",AND(LEFT(M1265,2)&lt;&gt;"15",LEFT(M1265,2)&lt;&gt;"33"))),"x","")</f>
        <v/>
      </c>
      <c r="X1265" s="39" t="str">
        <f>IF(AND(OR(LEFT(TH!L1265,2)="15",LEFT(TH!M1265,2)="15"),'152-CT'!$J$8=TH!F1265),"x","")</f>
        <v/>
      </c>
      <c r="Y1265" s="39" t="str">
        <f>IF(AND(OR(LEFT(TH!L1265,2)="15",LEFT(TH!M1265,2)="15"),TK!$E$7=TH!F1265),"x","")</f>
        <v/>
      </c>
      <c r="Z1265" s="39" t="str">
        <f>IF(AND(B1265&lt;=NKC!$N$8,B1265&gt;=NKC!$M$8),"x","")</f>
        <v/>
      </c>
      <c r="AA1265" s="894"/>
    </row>
    <row r="1266" spans="1:27" ht="15.75" customHeight="1">
      <c r="A1266" s="199" t="str">
        <f>IF(B1266&lt;&gt;"",IF(AND(B1266&gt;=_TM1,B1266&lt;=_TM2,OR(TH!L1266="1111",TH!M1266="1111")),TH!D1266,""),"")</f>
        <v/>
      </c>
      <c r="B1266" s="36" t="str">
        <f t="shared" si="45"/>
        <v/>
      </c>
      <c r="C1266" s="190"/>
      <c r="D1266" s="190"/>
      <c r="E1266" s="190"/>
      <c r="F1266" s="191"/>
      <c r="G1266" s="491"/>
      <c r="H1266" s="192"/>
      <c r="I1266" s="253"/>
      <c r="J1266" s="253"/>
      <c r="K1266" s="606"/>
      <c r="L1266" s="193"/>
      <c r="M1266" s="193"/>
      <c r="N1266" s="39" t="str">
        <f>IF(AND('331-CT'!$E$7=TH!H1266,OR(L1266="331",M1266="331")),"331",IF(AND(OR(L1266="131",M1266="131"),H1266='131-CT'!$E$7),"131",""))</f>
        <v/>
      </c>
      <c r="O1266" s="39" t="str">
        <f>IF(AND($B1266&gt;='111'!$N$11,$B1266&lt;='111'!$O$11,OR($L1266=$O$7,$M1266=$O$7)),"x","")</f>
        <v/>
      </c>
      <c r="P1266" s="39" t="str">
        <f>IF(AND($L1266=$O$7,$B1266&lt;'111'!$N$11),"x","")</f>
        <v/>
      </c>
      <c r="Q1266" s="39" t="str">
        <f>IF(AND($M1266=$O$7,$B1266&lt;'111'!$N$11),"x","")</f>
        <v/>
      </c>
      <c r="R1266" s="39" t="str">
        <f>IF(ISERROR(FIND('112'!$M$9,G1266,1)),"",IF((AND(FIND('112'!$M$9,G1266,1)&gt;=1,$B1266&gt;='112'!$N$8,$B1266&lt;='112'!$O$8,OR($L1266='112'!$I$6,$M1266='112'!$I$6))),"x",""))</f>
        <v/>
      </c>
      <c r="S1266" s="39" t="str">
        <f>IF(ISERROR(FIND('112'!$M$9,G1266,1)),"",IF((AND(LEFT(G1266,2)=LEFT('112'!$M$9,2),B1266&lt;'112'!$N$8,$L1266='112'!$I$6)),"x",""))</f>
        <v/>
      </c>
      <c r="T1266" s="39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39" t="str">
        <f>IF(OR(TH!L1266=TH!$V$7,M1266=TH!$V$7),"x","")</f>
        <v/>
      </c>
      <c r="W1266" s="39" t="str">
        <f>IF(AND(B1266&gt;='IN-NX'!$P$3,B1266&lt;='IN-NX'!$Q$3,'IN-NX'!$D$7=D1266,OR(LEFT(L1266,2)="15",AND(LEFT(M1266,2)&lt;&gt;"15",LEFT(M1266,2)&lt;&gt;"33"))),"x","")</f>
        <v/>
      </c>
      <c r="X1266" s="39" t="str">
        <f>IF(AND(OR(LEFT(TH!L1266,2)="15",LEFT(TH!M1266,2)="15"),'152-CT'!$J$8=TH!F1266),"x","")</f>
        <v/>
      </c>
      <c r="Y1266" s="39" t="str">
        <f>IF(AND(OR(LEFT(TH!L1266,2)="15",LEFT(TH!M1266,2)="15"),TK!$E$7=TH!F1266),"x","")</f>
        <v/>
      </c>
      <c r="Z1266" s="39" t="str">
        <f>IF(AND(B1266&lt;=NKC!$N$8,B1266&gt;=NKC!$M$8),"x","")</f>
        <v/>
      </c>
      <c r="AA1266" s="894"/>
    </row>
    <row r="1267" spans="1:27" ht="15.75" customHeight="1">
      <c r="A1267" s="199" t="str">
        <f>IF(B1267&lt;&gt;"",IF(AND(B1267&gt;=_TM1,B1267&lt;=_TM2,OR(TH!L1267="1111",TH!M1267="1111")),TH!D1267,""),"")</f>
        <v/>
      </c>
      <c r="B1267" s="36" t="str">
        <f t="shared" si="45"/>
        <v/>
      </c>
      <c r="C1267" s="190"/>
      <c r="D1267" s="190"/>
      <c r="E1267" s="190"/>
      <c r="F1267" s="191"/>
      <c r="G1267" s="491"/>
      <c r="H1267" s="192"/>
      <c r="I1267" s="253"/>
      <c r="J1267" s="253"/>
      <c r="K1267" s="606"/>
      <c r="L1267" s="193"/>
      <c r="M1267" s="193"/>
      <c r="N1267" s="39" t="str">
        <f>IF(AND('331-CT'!$E$7=TH!H1267,OR(L1267="331",M1267="331")),"331",IF(AND(OR(L1267="131",M1267="131"),H1267='131-CT'!$E$7),"131",""))</f>
        <v/>
      </c>
      <c r="O1267" s="39" t="str">
        <f>IF(AND($B1267&gt;='111'!$N$11,$B1267&lt;='111'!$O$11,OR($L1267=$O$7,$M1267=$O$7)),"x","")</f>
        <v/>
      </c>
      <c r="P1267" s="39" t="str">
        <f>IF(AND($L1267=$O$7,$B1267&lt;'111'!$N$11),"x","")</f>
        <v/>
      </c>
      <c r="Q1267" s="39" t="str">
        <f>IF(AND($M1267=$O$7,$B1267&lt;'111'!$N$11),"x","")</f>
        <v/>
      </c>
      <c r="R1267" s="39" t="str">
        <f>IF(ISERROR(FIND('112'!$M$9,G1267,1)),"",IF((AND(FIND('112'!$M$9,G1267,1)&gt;=1,$B1267&gt;='112'!$N$8,$B1267&lt;='112'!$O$8,OR($L1267='112'!$I$6,$M1267='112'!$I$6))),"x",""))</f>
        <v/>
      </c>
      <c r="S1267" s="39" t="str">
        <f>IF(ISERROR(FIND('112'!$M$9,G1267,1)),"",IF((AND(LEFT(G1267,2)=LEFT('112'!$M$9,2),B1267&lt;'112'!$N$8,$L1267='112'!$I$6)),"x",""))</f>
        <v/>
      </c>
      <c r="T1267" s="39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39" t="str">
        <f>IF(OR(TH!L1267=TH!$V$7,M1267=TH!$V$7),"x","")</f>
        <v/>
      </c>
      <c r="W1267" s="39" t="str">
        <f>IF(AND(B1267&gt;='IN-NX'!$P$3,B1267&lt;='IN-NX'!$Q$3,'IN-NX'!$D$7=D1267,OR(LEFT(L1267,2)="15",AND(LEFT(M1267,2)&lt;&gt;"15",LEFT(M1267,2)&lt;&gt;"33"))),"x","")</f>
        <v/>
      </c>
      <c r="X1267" s="39" t="str">
        <f>IF(AND(OR(LEFT(TH!L1267,2)="15",LEFT(TH!M1267,2)="15"),'152-CT'!$J$8=TH!F1267),"x","")</f>
        <v/>
      </c>
      <c r="Y1267" s="39" t="str">
        <f>IF(AND(OR(LEFT(TH!L1267,2)="15",LEFT(TH!M1267,2)="15"),TK!$E$7=TH!F1267),"x","")</f>
        <v/>
      </c>
      <c r="Z1267" s="39" t="str">
        <f>IF(AND(B1267&lt;=NKC!$N$8,B1267&gt;=NKC!$M$8),"x","")</f>
        <v/>
      </c>
      <c r="AA1267" s="894"/>
    </row>
    <row r="1268" spans="1:27" ht="15.75" customHeight="1">
      <c r="A1268" s="199" t="str">
        <f>IF(B1268&lt;&gt;"",IF(AND(B1268&gt;=_TM1,B1268&lt;=_TM2,OR(TH!L1268="1111",TH!M1268="1111")),TH!D1268,""),"")</f>
        <v/>
      </c>
      <c r="B1268" s="36" t="str">
        <f t="shared" si="45"/>
        <v/>
      </c>
      <c r="C1268" s="190"/>
      <c r="D1268" s="190"/>
      <c r="E1268" s="190"/>
      <c r="F1268" s="191"/>
      <c r="G1268" s="491"/>
      <c r="H1268" s="192"/>
      <c r="I1268" s="253"/>
      <c r="J1268" s="253"/>
      <c r="K1268" s="606"/>
      <c r="L1268" s="193"/>
      <c r="M1268" s="193"/>
      <c r="N1268" s="39" t="str">
        <f>IF(AND('331-CT'!$E$7=TH!H1268,OR(L1268="331",M1268="331")),"331",IF(AND(OR(L1268="131",M1268="131"),H1268='131-CT'!$E$7),"131",""))</f>
        <v/>
      </c>
      <c r="O1268" s="39" t="str">
        <f>IF(AND($B1268&gt;='111'!$N$11,$B1268&lt;='111'!$O$11,OR($L1268=$O$7,$M1268=$O$7)),"x","")</f>
        <v/>
      </c>
      <c r="P1268" s="39" t="str">
        <f>IF(AND($L1268=$O$7,$B1268&lt;'111'!$N$11),"x","")</f>
        <v/>
      </c>
      <c r="Q1268" s="39" t="str">
        <f>IF(AND($M1268=$O$7,$B1268&lt;'111'!$N$11),"x","")</f>
        <v/>
      </c>
      <c r="R1268" s="39" t="str">
        <f>IF(ISERROR(FIND('112'!$M$9,G1268,1)),"",IF((AND(FIND('112'!$M$9,G1268,1)&gt;=1,$B1268&gt;='112'!$N$8,$B1268&lt;='112'!$O$8,OR($L1268='112'!$I$6,$M1268='112'!$I$6))),"x",""))</f>
        <v/>
      </c>
      <c r="S1268" s="39" t="str">
        <f>IF(ISERROR(FIND('112'!$M$9,G1268,1)),"",IF((AND(LEFT(G1268,2)=LEFT('112'!$M$9,2),B1268&lt;'112'!$N$8,$L1268='112'!$I$6)),"x",""))</f>
        <v/>
      </c>
      <c r="T1268" s="39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39" t="str">
        <f>IF(OR(TH!L1268=TH!$V$7,M1268=TH!$V$7),"x","")</f>
        <v/>
      </c>
      <c r="W1268" s="39" t="str">
        <f>IF(AND(B1268&gt;='IN-NX'!$P$3,B1268&lt;='IN-NX'!$Q$3,'IN-NX'!$D$7=D1268,OR(LEFT(L1268,2)="15",AND(LEFT(M1268,2)&lt;&gt;"15",LEFT(M1268,2)&lt;&gt;"33"))),"x","")</f>
        <v/>
      </c>
      <c r="X1268" s="39" t="str">
        <f>IF(AND(OR(LEFT(TH!L1268,2)="15",LEFT(TH!M1268,2)="15"),'152-CT'!$J$8=TH!F1268),"x","")</f>
        <v/>
      </c>
      <c r="Y1268" s="39" t="str">
        <f>IF(AND(OR(LEFT(TH!L1268,2)="15",LEFT(TH!M1268,2)="15"),TK!$E$7=TH!F1268),"x","")</f>
        <v/>
      </c>
      <c r="Z1268" s="39" t="str">
        <f>IF(AND(B1268&lt;=NKC!$N$8,B1268&gt;=NKC!$M$8),"x","")</f>
        <v/>
      </c>
      <c r="AA1268" s="894"/>
    </row>
    <row r="1269" spans="1:27" ht="15.75" customHeight="1">
      <c r="A1269" s="199" t="str">
        <f>IF(B1269&lt;&gt;"",IF(AND(B1269&gt;=_TM1,B1269&lt;=_TM2,OR(TH!L1269="1111",TH!M1269="1111")),TH!D1269,""),"")</f>
        <v/>
      </c>
      <c r="B1269" s="36" t="str">
        <f t="shared" si="45"/>
        <v/>
      </c>
      <c r="C1269" s="190"/>
      <c r="D1269" s="190"/>
      <c r="E1269" s="190"/>
      <c r="F1269" s="191"/>
      <c r="G1269" s="491"/>
      <c r="H1269" s="192"/>
      <c r="I1269" s="253"/>
      <c r="J1269" s="253"/>
      <c r="K1269" s="606"/>
      <c r="L1269" s="193"/>
      <c r="M1269" s="193"/>
      <c r="N1269" s="39" t="str">
        <f>IF(AND('331-CT'!$E$7=TH!H1269,OR(L1269="331",M1269="331")),"331",IF(AND(OR(L1269="131",M1269="131"),H1269='131-CT'!$E$7),"131",""))</f>
        <v/>
      </c>
      <c r="O1269" s="39" t="str">
        <f>IF(AND($B1269&gt;='111'!$N$11,$B1269&lt;='111'!$O$11,OR($L1269=$O$7,$M1269=$O$7)),"x","")</f>
        <v/>
      </c>
      <c r="P1269" s="39" t="str">
        <f>IF(AND($L1269=$O$7,$B1269&lt;'111'!$N$11),"x","")</f>
        <v/>
      </c>
      <c r="Q1269" s="39" t="str">
        <f>IF(AND($M1269=$O$7,$B1269&lt;'111'!$N$11),"x","")</f>
        <v/>
      </c>
      <c r="R1269" s="39" t="str">
        <f>IF(ISERROR(FIND('112'!$M$9,G1269,1)),"",IF((AND(FIND('112'!$M$9,G1269,1)&gt;=1,$B1269&gt;='112'!$N$8,$B1269&lt;='112'!$O$8,OR($L1269='112'!$I$6,$M1269='112'!$I$6))),"x",""))</f>
        <v/>
      </c>
      <c r="S1269" s="39" t="str">
        <f>IF(ISERROR(FIND('112'!$M$9,G1269,1)),"",IF((AND(LEFT(G1269,2)=LEFT('112'!$M$9,2),B1269&lt;'112'!$N$8,$L1269='112'!$I$6)),"x",""))</f>
        <v/>
      </c>
      <c r="T1269" s="39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39" t="str">
        <f>IF(OR(TH!L1269=TH!$V$7,M1269=TH!$V$7),"x","")</f>
        <v/>
      </c>
      <c r="W1269" s="39" t="str">
        <f>IF(AND(B1269&gt;='IN-NX'!$P$3,B1269&lt;='IN-NX'!$Q$3,'IN-NX'!$D$7=D1269,OR(LEFT(L1269,2)="15",AND(LEFT(M1269,2)&lt;&gt;"15",LEFT(M1269,2)&lt;&gt;"33"))),"x","")</f>
        <v/>
      </c>
      <c r="X1269" s="39" t="str">
        <f>IF(AND(OR(LEFT(TH!L1269,2)="15",LEFT(TH!M1269,2)="15"),'152-CT'!$J$8=TH!F1269),"x","")</f>
        <v/>
      </c>
      <c r="Y1269" s="39" t="str">
        <f>IF(AND(OR(LEFT(TH!L1269,2)="15",LEFT(TH!M1269,2)="15"),TK!$E$7=TH!F1269),"x","")</f>
        <v/>
      </c>
      <c r="Z1269" s="39" t="str">
        <f>IF(AND(B1269&lt;=NKC!$N$8,B1269&gt;=NKC!$M$8),"x","")</f>
        <v/>
      </c>
      <c r="AA1269" s="894"/>
    </row>
    <row r="1270" spans="1:27" ht="15.75" customHeight="1">
      <c r="A1270" s="199" t="str">
        <f>IF(B1270&lt;&gt;"",IF(AND(B1270&gt;=_TM1,B1270&lt;=_TM2,OR(TH!L1270="1111",TH!M1270="1111")),TH!D1270,""),"")</f>
        <v/>
      </c>
      <c r="B1270" s="36" t="str">
        <f t="shared" si="45"/>
        <v/>
      </c>
      <c r="C1270" s="190"/>
      <c r="D1270" s="190"/>
      <c r="E1270" s="846"/>
      <c r="F1270" s="191"/>
      <c r="G1270" s="491"/>
      <c r="H1270" s="192"/>
      <c r="I1270" s="253"/>
      <c r="J1270" s="253"/>
      <c r="K1270" s="606"/>
      <c r="L1270" s="193"/>
      <c r="M1270" s="193"/>
      <c r="N1270" s="39" t="str">
        <f>IF(AND('331-CT'!$E$7=TH!H1270,OR(L1270="331",M1270="331")),"331",IF(AND(OR(L1270="131",M1270="131"),H1270='131-CT'!$E$7),"131",""))</f>
        <v/>
      </c>
      <c r="O1270" s="39" t="str">
        <f>IF(AND($B1270&gt;='111'!$N$11,$B1270&lt;='111'!$O$11,OR($L1270=$O$7,$M1270=$O$7)),"x","")</f>
        <v/>
      </c>
      <c r="P1270" s="39" t="str">
        <f>IF(AND($L1270=$O$7,$B1270&lt;'111'!$N$11),"x","")</f>
        <v/>
      </c>
      <c r="Q1270" s="39" t="str">
        <f>IF(AND($M1270=$O$7,$B1270&lt;'111'!$N$11),"x","")</f>
        <v/>
      </c>
      <c r="R1270" s="39" t="str">
        <f>IF(ISERROR(FIND('112'!$M$9,G1270,1)),"",IF((AND(FIND('112'!$M$9,G1270,1)&gt;=1,$B1270&gt;='112'!$N$8,$B1270&lt;='112'!$O$8,OR($L1270='112'!$I$6,$M1270='112'!$I$6))),"x",""))</f>
        <v/>
      </c>
      <c r="S1270" s="39" t="str">
        <f>IF(ISERROR(FIND('112'!$M$9,G1270,1)),"",IF((AND(LEFT(G1270,2)=LEFT('112'!$M$9,2),B1270&lt;'112'!$N$8,$L1270='112'!$I$6)),"x",""))</f>
        <v/>
      </c>
      <c r="T1270" s="39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39" t="str">
        <f>IF(OR(TH!L1270=TH!$V$7,M1270=TH!$V$7),"x","")</f>
        <v/>
      </c>
      <c r="W1270" s="39" t="str">
        <f>IF(AND(B1270&gt;='IN-NX'!$P$3,B1270&lt;='IN-NX'!$Q$3,'IN-NX'!$D$7=D1270,OR(LEFT(L1270,2)="15",AND(LEFT(M1270,2)&lt;&gt;"15",LEFT(M1270,2)&lt;&gt;"33"))),"x","")</f>
        <v/>
      </c>
      <c r="X1270" s="39" t="str">
        <f>IF(AND(OR(LEFT(TH!L1270,2)="15",LEFT(TH!M1270,2)="15"),'152-CT'!$J$8=TH!F1270),"x","")</f>
        <v/>
      </c>
      <c r="Y1270" s="39" t="str">
        <f>IF(AND(OR(LEFT(TH!L1270,2)="15",LEFT(TH!M1270,2)="15"),TK!$E$7=TH!F1270),"x","")</f>
        <v/>
      </c>
      <c r="Z1270" s="39" t="str">
        <f>IF(AND(B1270&lt;=NKC!$N$8,B1270&gt;=NKC!$M$8),"x","")</f>
        <v/>
      </c>
      <c r="AA1270" s="894"/>
    </row>
    <row r="1271" spans="1:27" ht="15.75" customHeight="1">
      <c r="A1271" s="199" t="str">
        <f>IF(B1271&lt;&gt;"",IF(AND(B1271&gt;=_TM1,B1271&lt;=_TM2,OR(TH!L1271="1111",TH!M1271="1111")),TH!D1271,""),"")</f>
        <v/>
      </c>
      <c r="B1271" s="36" t="str">
        <f t="shared" si="45"/>
        <v/>
      </c>
      <c r="C1271" s="190"/>
      <c r="D1271" s="190"/>
      <c r="E1271" s="846"/>
      <c r="F1271" s="191"/>
      <c r="G1271" s="491"/>
      <c r="H1271" s="192"/>
      <c r="I1271" s="253"/>
      <c r="J1271" s="253"/>
      <c r="K1271" s="606"/>
      <c r="L1271" s="193"/>
      <c r="M1271" s="193"/>
      <c r="N1271" s="39" t="str">
        <f>IF(AND('331-CT'!$E$7=TH!H1271,OR(L1271="331",M1271="331")),"331",IF(AND(OR(L1271="131",M1271="131"),H1271='131-CT'!$E$7),"131",""))</f>
        <v/>
      </c>
      <c r="O1271" s="39" t="str">
        <f>IF(AND($B1271&gt;='111'!$N$11,$B1271&lt;='111'!$O$11,OR($L1271=$O$7,$M1271=$O$7)),"x","")</f>
        <v/>
      </c>
      <c r="P1271" s="39" t="str">
        <f>IF(AND($L1271=$O$7,$B1271&lt;'111'!$N$11),"x","")</f>
        <v/>
      </c>
      <c r="Q1271" s="39" t="str">
        <f>IF(AND($M1271=$O$7,$B1271&lt;'111'!$N$11),"x","")</f>
        <v/>
      </c>
      <c r="R1271" s="39" t="str">
        <f>IF(ISERROR(FIND('112'!$M$9,G1271,1)),"",IF((AND(FIND('112'!$M$9,G1271,1)&gt;=1,$B1271&gt;='112'!$N$8,$B1271&lt;='112'!$O$8,OR($L1271='112'!$I$6,$M1271='112'!$I$6))),"x",""))</f>
        <v/>
      </c>
      <c r="S1271" s="39" t="str">
        <f>IF(ISERROR(FIND('112'!$M$9,G1271,1)),"",IF((AND(LEFT(G1271,2)=LEFT('112'!$M$9,2),B1271&lt;'112'!$N$8,$L1271='112'!$I$6)),"x",""))</f>
        <v/>
      </c>
      <c r="T1271" s="39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39" t="str">
        <f>IF(OR(TH!L1271=TH!$V$7,M1271=TH!$V$7),"x","")</f>
        <v/>
      </c>
      <c r="W1271" s="39" t="str">
        <f>IF(AND(B1271&gt;='IN-NX'!$P$3,B1271&lt;='IN-NX'!$Q$3,'IN-NX'!$D$7=D1271,OR(LEFT(L1271,2)="15",AND(LEFT(M1271,2)&lt;&gt;"15",LEFT(M1271,2)&lt;&gt;"33"))),"x","")</f>
        <v/>
      </c>
      <c r="X1271" s="39" t="str">
        <f>IF(AND(OR(LEFT(TH!L1271,2)="15",LEFT(TH!M1271,2)="15"),'152-CT'!$J$8=TH!F1271),"x","")</f>
        <v/>
      </c>
      <c r="Y1271" s="39" t="str">
        <f>IF(AND(OR(LEFT(TH!L1271,2)="15",LEFT(TH!M1271,2)="15"),TK!$E$7=TH!F1271),"x","")</f>
        <v/>
      </c>
      <c r="Z1271" s="39" t="str">
        <f>IF(AND(B1271&lt;=NKC!$N$8,B1271&gt;=NKC!$M$8),"x","")</f>
        <v/>
      </c>
      <c r="AA1271" s="894"/>
    </row>
    <row r="1272" spans="1:27" ht="15.75" customHeight="1">
      <c r="A1272" s="199" t="str">
        <f>IF(B1272&lt;&gt;"",IF(AND(B1272&gt;=_TM1,B1272&lt;=_TM2,OR(TH!L1272="1111",TH!M1272="1111")),TH!D1272,""),"")</f>
        <v/>
      </c>
      <c r="B1272" s="36" t="str">
        <f t="shared" si="45"/>
        <v/>
      </c>
      <c r="C1272" s="37"/>
      <c r="D1272" s="37"/>
      <c r="E1272" s="774"/>
      <c r="F1272" s="188"/>
      <c r="G1272" s="40"/>
      <c r="H1272" s="7"/>
      <c r="I1272" s="253"/>
      <c r="J1272" s="253"/>
      <c r="K1272" s="606"/>
      <c r="L1272" s="39"/>
      <c r="M1272" s="39"/>
      <c r="N1272" s="39" t="str">
        <f>IF(AND('331-CT'!$E$7=TH!H1272,OR(L1272="331",M1272="331")),"331",IF(AND(OR(L1272="131",M1272="131"),H1272='131-CT'!$E$7),"131",""))</f>
        <v/>
      </c>
      <c r="O1272" s="39" t="str">
        <f>IF(AND($B1272&gt;='111'!$N$11,$B1272&lt;='111'!$O$11,OR($L1272=$O$7,$M1272=$O$7)),"x","")</f>
        <v/>
      </c>
      <c r="P1272" s="39" t="str">
        <f>IF(AND($L1272=$O$7,$B1272&lt;'111'!$N$11),"x","")</f>
        <v/>
      </c>
      <c r="Q1272" s="39" t="str">
        <f>IF(AND($M1272=$O$7,$B1272&lt;'111'!$N$11),"x","")</f>
        <v/>
      </c>
      <c r="R1272" s="39" t="str">
        <f>IF(ISERROR(FIND('112'!$M$9,G1272,1)),"",IF((AND(FIND('112'!$M$9,G1272,1)&gt;=1,$B1272&gt;='112'!$N$8,$B1272&lt;='112'!$O$8,OR($L1272='112'!$I$6,$M1272='112'!$I$6))),"x",""))</f>
        <v/>
      </c>
      <c r="S1272" s="39" t="str">
        <f>IF(ISERROR(FIND('112'!$M$9,G1272,1)),"",IF((AND(LEFT(G1272,2)=LEFT('112'!$M$9,2),B1272&lt;'112'!$N$8,$L1272='112'!$I$6)),"x",""))</f>
        <v/>
      </c>
      <c r="T1272" s="39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39" t="str">
        <f>IF(OR(TH!L1272=TH!$V$7,M1272=TH!$V$7),"x","")</f>
        <v/>
      </c>
      <c r="W1272" s="39" t="str">
        <f>IF(AND(B1272&gt;='IN-NX'!$P$3,B1272&lt;='IN-NX'!$Q$3,'IN-NX'!$D$7=D1272,OR(LEFT(L1272,2)="15",AND(LEFT(M1272,2)&lt;&gt;"15",LEFT(M1272,2)&lt;&gt;"33"))),"x","")</f>
        <v/>
      </c>
      <c r="X1272" s="39" t="str">
        <f>IF(AND(OR(LEFT(TH!L1272,2)="15",LEFT(TH!M1272,2)="15"),'152-CT'!$J$8=TH!F1272),"x","")</f>
        <v/>
      </c>
      <c r="Y1272" s="39" t="str">
        <f>IF(AND(OR(LEFT(TH!L1272,2)="15",LEFT(TH!M1272,2)="15"),TK!$E$7=TH!F1272),"x","")</f>
        <v/>
      </c>
      <c r="Z1272" s="39" t="str">
        <f>IF(AND(B1272&lt;=NKC!$N$8,B1272&gt;=NKC!$M$8),"x","")</f>
        <v/>
      </c>
      <c r="AA1272" s="894"/>
    </row>
    <row r="1273" spans="1:27" ht="15.75" customHeight="1">
      <c r="A1273" s="199" t="str">
        <f>IF(B1273&lt;&gt;"",IF(AND(B1273&gt;=_TM1,B1273&lt;=_TM2,OR(TH!L1273="1111",TH!M1273="1111")),TH!D1273,""),"")</f>
        <v/>
      </c>
      <c r="B1273" s="36" t="str">
        <f t="shared" si="45"/>
        <v/>
      </c>
      <c r="C1273" s="37"/>
      <c r="D1273" s="37"/>
      <c r="E1273" s="845"/>
      <c r="F1273" s="40"/>
      <c r="G1273" s="40"/>
      <c r="H1273" s="7"/>
      <c r="I1273" s="253"/>
      <c r="J1273" s="253"/>
      <c r="K1273" s="606"/>
      <c r="L1273" s="39"/>
      <c r="M1273" s="39"/>
      <c r="N1273" s="39" t="str">
        <f>IF(AND('331-CT'!$E$7=TH!H1273,OR(L1273="331",M1273="331")),"331",IF(AND(OR(L1273="131",M1273="131"),H1273='131-CT'!$E$7),"131",""))</f>
        <v/>
      </c>
      <c r="O1273" s="39" t="str">
        <f>IF(AND($B1273&gt;='111'!$N$11,$B1273&lt;='111'!$O$11,OR($L1273=$O$7,$M1273=$O$7)),"x","")</f>
        <v/>
      </c>
      <c r="P1273" s="39" t="str">
        <f>IF(AND($L1273=$O$7,$B1273&lt;'111'!$N$11),"x","")</f>
        <v/>
      </c>
      <c r="Q1273" s="39" t="str">
        <f>IF(AND($M1273=$O$7,$B1273&lt;'111'!$N$11),"x","")</f>
        <v/>
      </c>
      <c r="R1273" s="39" t="str">
        <f>IF(ISERROR(FIND('112'!$M$9,G1273,1)),"",IF((AND(FIND('112'!$M$9,G1273,1)&gt;=1,$B1273&gt;='112'!$N$8,$B1273&lt;='112'!$O$8,OR($L1273='112'!$I$6,$M1273='112'!$I$6))),"x",""))</f>
        <v/>
      </c>
      <c r="S1273" s="39" t="str">
        <f>IF(ISERROR(FIND('112'!$M$9,G1273,1)),"",IF((AND(LEFT(G1273,2)=LEFT('112'!$M$9,2),B1273&lt;'112'!$N$8,$L1273='112'!$I$6)),"x",""))</f>
        <v/>
      </c>
      <c r="T1273" s="39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39" t="str">
        <f>IF(OR(TH!L1273=TH!$V$7,M1273=TH!$V$7),"x","")</f>
        <v/>
      </c>
      <c r="W1273" s="39" t="str">
        <f>IF(AND(B1273&gt;='IN-NX'!$P$3,B1273&lt;='IN-NX'!$Q$3,'IN-NX'!$D$7=D1273,OR(LEFT(L1273,2)="15",AND(LEFT(M1273,2)&lt;&gt;"15",LEFT(M1273,2)&lt;&gt;"33"))),"x","")</f>
        <v/>
      </c>
      <c r="X1273" s="39" t="str">
        <f>IF(AND(OR(LEFT(TH!L1273,2)="15",LEFT(TH!M1273,2)="15"),'152-CT'!$J$8=TH!F1273),"x","")</f>
        <v/>
      </c>
      <c r="Y1273" s="39" t="str">
        <f>IF(AND(OR(LEFT(TH!L1273,2)="15",LEFT(TH!M1273,2)="15"),TK!$E$7=TH!F1273),"x","")</f>
        <v/>
      </c>
      <c r="Z1273" s="39" t="str">
        <f>IF(AND(B1273&lt;=NKC!$N$8,B1273&gt;=NKC!$M$8),"x","")</f>
        <v/>
      </c>
      <c r="AA1273" s="894"/>
    </row>
    <row r="1274" spans="1:27" ht="15.75" customHeight="1">
      <c r="A1274" s="199" t="str">
        <f>IF(B1274&lt;&gt;"",IF(AND(B1274&gt;=_TM1,B1274&lt;=_TM2,OR(TH!L1274="1111",TH!M1274="1111")),TH!D1274,""),"")</f>
        <v/>
      </c>
      <c r="B1274" s="36" t="str">
        <f t="shared" si="45"/>
        <v/>
      </c>
      <c r="C1274" s="37"/>
      <c r="D1274" s="37"/>
      <c r="E1274" s="845"/>
      <c r="F1274" s="40"/>
      <c r="G1274" s="40"/>
      <c r="H1274" s="7"/>
      <c r="I1274" s="253"/>
      <c r="J1274" s="253"/>
      <c r="K1274" s="606"/>
      <c r="L1274" s="39"/>
      <c r="M1274" s="39"/>
      <c r="N1274" s="39" t="str">
        <f>IF(AND('331-CT'!$E$7=TH!H1274,OR(L1274="331",M1274="331")),"331",IF(AND(OR(L1274="131",M1274="131"),H1274='131-CT'!$E$7),"131",""))</f>
        <v/>
      </c>
      <c r="O1274" s="39" t="str">
        <f>IF(AND($B1274&gt;='111'!$N$11,$B1274&lt;='111'!$O$11,OR($L1274=$O$7,$M1274=$O$7)),"x","")</f>
        <v/>
      </c>
      <c r="P1274" s="39" t="str">
        <f>IF(AND($L1274=$O$7,$B1274&lt;'111'!$N$11),"x","")</f>
        <v/>
      </c>
      <c r="Q1274" s="39" t="str">
        <f>IF(AND($M1274=$O$7,$B1274&lt;'111'!$N$11),"x","")</f>
        <v/>
      </c>
      <c r="R1274" s="39" t="str">
        <f>IF(ISERROR(FIND('112'!$M$9,G1274,1)),"",IF((AND(FIND('112'!$M$9,G1274,1)&gt;=1,$B1274&gt;='112'!$N$8,$B1274&lt;='112'!$O$8,OR($L1274='112'!$I$6,$M1274='112'!$I$6))),"x",""))</f>
        <v/>
      </c>
      <c r="S1274" s="39" t="str">
        <f>IF(ISERROR(FIND('112'!$M$9,G1274,1)),"",IF((AND(LEFT(G1274,2)=LEFT('112'!$M$9,2),B1274&lt;'112'!$N$8,$L1274='112'!$I$6)),"x",""))</f>
        <v/>
      </c>
      <c r="T1274" s="39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39" t="str">
        <f>IF(OR(TH!L1274=TH!$V$7,M1274=TH!$V$7),"x","")</f>
        <v/>
      </c>
      <c r="W1274" s="39" t="str">
        <f>IF(AND(B1274&gt;='IN-NX'!$P$3,B1274&lt;='IN-NX'!$Q$3,'IN-NX'!$D$7=D1274,OR(LEFT(L1274,2)="15",AND(LEFT(M1274,2)&lt;&gt;"15",LEFT(M1274,2)&lt;&gt;"33"))),"x","")</f>
        <v/>
      </c>
      <c r="X1274" s="39" t="str">
        <f>IF(AND(OR(LEFT(TH!L1274,2)="15",LEFT(TH!M1274,2)="15"),'152-CT'!$J$8=TH!F1274),"x","")</f>
        <v/>
      </c>
      <c r="Y1274" s="39" t="str">
        <f>IF(AND(OR(LEFT(TH!L1274,2)="15",LEFT(TH!M1274,2)="15"),TK!$E$7=TH!F1274),"x","")</f>
        <v/>
      </c>
      <c r="Z1274" s="39" t="str">
        <f>IF(AND(B1274&lt;=NKC!$N$8,B1274&gt;=NKC!$M$8),"x","")</f>
        <v/>
      </c>
      <c r="AA1274" s="894"/>
    </row>
    <row r="1275" spans="1:27" ht="15.75" customHeight="1">
      <c r="A1275" s="199" t="str">
        <f>IF(B1275&lt;&gt;"",IF(AND(B1275&gt;=_TM1,B1275&lt;=_TM2,OR(TH!L1275="1111",TH!M1275="1111")),TH!D1275,""),"")</f>
        <v/>
      </c>
      <c r="B1275" s="36" t="str">
        <f t="shared" si="45"/>
        <v/>
      </c>
      <c r="C1275" s="37"/>
      <c r="D1275" s="37"/>
      <c r="E1275" s="845"/>
      <c r="F1275" s="40"/>
      <c r="G1275" s="40"/>
      <c r="H1275" s="7"/>
      <c r="I1275" s="253"/>
      <c r="J1275" s="253"/>
      <c r="K1275" s="606"/>
      <c r="L1275" s="39"/>
      <c r="M1275" s="39"/>
      <c r="N1275" s="39" t="str">
        <f>IF(AND('331-CT'!$E$7=TH!H1275,OR(L1275="331",M1275="331")),"331",IF(AND(OR(L1275="131",M1275="131"),H1275='131-CT'!$E$7),"131",""))</f>
        <v/>
      </c>
      <c r="O1275" s="39" t="str">
        <f>IF(AND($B1275&gt;='111'!$N$11,$B1275&lt;='111'!$O$11,OR($L1275=$O$7,$M1275=$O$7)),"x","")</f>
        <v/>
      </c>
      <c r="P1275" s="39" t="str">
        <f>IF(AND($L1275=$O$7,$B1275&lt;'111'!$N$11),"x","")</f>
        <v/>
      </c>
      <c r="Q1275" s="39" t="str">
        <f>IF(AND($M1275=$O$7,$B1275&lt;'111'!$N$11),"x","")</f>
        <v/>
      </c>
      <c r="R1275" s="39" t="str">
        <f>IF(ISERROR(FIND('112'!$M$9,G1275,1)),"",IF((AND(FIND('112'!$M$9,G1275,1)&gt;=1,$B1275&gt;='112'!$N$8,$B1275&lt;='112'!$O$8,OR($L1275='112'!$I$6,$M1275='112'!$I$6))),"x",""))</f>
        <v/>
      </c>
      <c r="S1275" s="39" t="str">
        <f>IF(ISERROR(FIND('112'!$M$9,G1275,1)),"",IF((AND(LEFT(G1275,2)=LEFT('112'!$M$9,2),B1275&lt;'112'!$N$8,$L1275='112'!$I$6)),"x",""))</f>
        <v/>
      </c>
      <c r="T1275" s="39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39" t="str">
        <f>IF(OR(TH!L1275=TH!$V$7,M1275=TH!$V$7),"x","")</f>
        <v/>
      </c>
      <c r="W1275" s="39" t="str">
        <f>IF(AND(B1275&gt;='IN-NX'!$P$3,B1275&lt;='IN-NX'!$Q$3,'IN-NX'!$D$7=D1275,OR(LEFT(L1275,2)="15",AND(LEFT(M1275,2)&lt;&gt;"15",LEFT(M1275,2)&lt;&gt;"33"))),"x","")</f>
        <v/>
      </c>
      <c r="X1275" s="39" t="str">
        <f>IF(AND(OR(LEFT(TH!L1275,2)="15",LEFT(TH!M1275,2)="15"),'152-CT'!$J$8=TH!F1275),"x","")</f>
        <v/>
      </c>
      <c r="Y1275" s="39" t="str">
        <f>IF(AND(OR(LEFT(TH!L1275,2)="15",LEFT(TH!M1275,2)="15"),TK!$E$7=TH!F1275),"x","")</f>
        <v/>
      </c>
      <c r="Z1275" s="39" t="str">
        <f>IF(AND(B1275&lt;=NKC!$N$8,B1275&gt;=NKC!$M$8),"x","")</f>
        <v/>
      </c>
      <c r="AA1275" s="894"/>
    </row>
    <row r="1276" spans="1:27" ht="15.75" customHeight="1">
      <c r="A1276" s="199" t="str">
        <f>IF(B1276&lt;&gt;"",IF(AND(B1276&gt;=_TM1,B1276&lt;=_TM2,OR(TH!L1276="1111",TH!M1276="1111")),TH!D1276,""),"")</f>
        <v/>
      </c>
      <c r="B1276" s="36" t="str">
        <f t="shared" si="45"/>
        <v/>
      </c>
      <c r="C1276" s="37"/>
      <c r="D1276" s="37"/>
      <c r="E1276" s="845"/>
      <c r="F1276" s="191"/>
      <c r="G1276" s="40"/>
      <c r="H1276" s="7"/>
      <c r="I1276" s="253"/>
      <c r="J1276" s="253"/>
      <c r="K1276" s="606"/>
      <c r="L1276" s="39"/>
      <c r="M1276" s="39"/>
      <c r="N1276" s="39" t="str">
        <f>IF(AND('331-CT'!$E$7=TH!H1276,OR(L1276="331",M1276="331")),"331",IF(AND(OR(L1276="131",M1276="131"),H1276='131-CT'!$E$7),"131",""))</f>
        <v/>
      </c>
      <c r="O1276" s="39" t="str">
        <f>IF(AND($B1276&gt;='111'!$N$11,$B1276&lt;='111'!$O$11,OR($L1276=$O$7,$M1276=$O$7)),"x","")</f>
        <v/>
      </c>
      <c r="P1276" s="39" t="str">
        <f>IF(AND($L1276=$O$7,$B1276&lt;'111'!$N$11),"x","")</f>
        <v/>
      </c>
      <c r="Q1276" s="39" t="str">
        <f>IF(AND($M1276=$O$7,$B1276&lt;'111'!$N$11),"x","")</f>
        <v/>
      </c>
      <c r="R1276" s="39" t="str">
        <f>IF(ISERROR(FIND('112'!$M$9,G1276,1)),"",IF((AND(FIND('112'!$M$9,G1276,1)&gt;=1,$B1276&gt;='112'!$N$8,$B1276&lt;='112'!$O$8,OR($L1276='112'!$I$6,$M1276='112'!$I$6))),"x",""))</f>
        <v/>
      </c>
      <c r="S1276" s="39" t="str">
        <f>IF(ISERROR(FIND('112'!$M$9,G1276,1)),"",IF((AND(LEFT(G1276,2)=LEFT('112'!$M$9,2),B1276&lt;'112'!$N$8,$L1276='112'!$I$6)),"x",""))</f>
        <v/>
      </c>
      <c r="T1276" s="39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39" t="str">
        <f>IF(OR(TH!L1276=TH!$V$7,M1276=TH!$V$7),"x","")</f>
        <v/>
      </c>
      <c r="W1276" s="39" t="str">
        <f>IF(AND(B1276&gt;='IN-NX'!$P$3,B1276&lt;='IN-NX'!$Q$3,'IN-NX'!$D$7=D1276,OR(LEFT(L1276,2)="15",AND(LEFT(M1276,2)&lt;&gt;"15",LEFT(M1276,2)&lt;&gt;"33"))),"x","")</f>
        <v/>
      </c>
      <c r="X1276" s="39" t="str">
        <f>IF(AND(OR(LEFT(TH!L1276,2)="15",LEFT(TH!M1276,2)="15"),'152-CT'!$J$8=TH!F1276),"x","")</f>
        <v/>
      </c>
      <c r="Y1276" s="39" t="str">
        <f>IF(AND(OR(LEFT(TH!L1276,2)="15",LEFT(TH!M1276,2)="15"),TK!$E$7=TH!F1276),"x","")</f>
        <v/>
      </c>
      <c r="Z1276" s="39" t="str">
        <f>IF(AND(B1276&lt;=NKC!$N$8,B1276&gt;=NKC!$M$8),"x","")</f>
        <v/>
      </c>
      <c r="AA1276" s="894"/>
    </row>
    <row r="1277" spans="1:27" ht="15.75" customHeight="1">
      <c r="A1277" s="199" t="str">
        <f>IF(B1277&lt;&gt;"",IF(AND(B1277&gt;=_TM1,B1277&lt;=_TM2,OR(TH!L1277="1111",TH!M1277="1111")),TH!D1277,""),"")</f>
        <v/>
      </c>
      <c r="B1277" s="36" t="str">
        <f t="shared" si="45"/>
        <v/>
      </c>
      <c r="C1277" s="37"/>
      <c r="D1277" s="37"/>
      <c r="E1277" s="845"/>
      <c r="F1277" s="40"/>
      <c r="G1277" s="40"/>
      <c r="H1277" s="7"/>
      <c r="I1277" s="253"/>
      <c r="J1277" s="253"/>
      <c r="K1277" s="606"/>
      <c r="L1277" s="39"/>
      <c r="M1277" s="39"/>
      <c r="N1277" s="39" t="str">
        <f>IF(AND('331-CT'!$E$7=TH!H1277,OR(L1277="331",M1277="331")),"331",IF(AND(OR(L1277="131",M1277="131"),H1277='131-CT'!$E$7),"131",""))</f>
        <v/>
      </c>
      <c r="O1277" s="39" t="str">
        <f>IF(AND($B1277&gt;='111'!$N$11,$B1277&lt;='111'!$O$11,OR($L1277=$O$7,$M1277=$O$7)),"x","")</f>
        <v/>
      </c>
      <c r="P1277" s="39" t="str">
        <f>IF(AND($L1277=$O$7,$B1277&lt;'111'!$N$11),"x","")</f>
        <v/>
      </c>
      <c r="Q1277" s="39" t="str">
        <f>IF(AND($M1277=$O$7,$B1277&lt;'111'!$N$11),"x","")</f>
        <v/>
      </c>
      <c r="R1277" s="39" t="str">
        <f>IF(ISERROR(FIND('112'!$M$9,G1277,1)),"",IF((AND(FIND('112'!$M$9,G1277,1)&gt;=1,$B1277&gt;='112'!$N$8,$B1277&lt;='112'!$O$8,OR($L1277='112'!$I$6,$M1277='112'!$I$6))),"x",""))</f>
        <v/>
      </c>
      <c r="S1277" s="39" t="str">
        <f>IF(ISERROR(FIND('112'!$M$9,G1277,1)),"",IF((AND(LEFT(G1277,2)=LEFT('112'!$M$9,2),B1277&lt;'112'!$N$8,$L1277='112'!$I$6)),"x",""))</f>
        <v/>
      </c>
      <c r="T1277" s="39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39" t="str">
        <f>IF(OR(TH!L1277=TH!$V$7,M1277=TH!$V$7),"x","")</f>
        <v/>
      </c>
      <c r="W1277" s="39" t="str">
        <f>IF(AND(B1277&gt;='IN-NX'!$P$3,B1277&lt;='IN-NX'!$Q$3,'IN-NX'!$D$7=D1277,OR(LEFT(L1277,2)="15",AND(LEFT(M1277,2)&lt;&gt;"15",LEFT(M1277,2)&lt;&gt;"33"))),"x","")</f>
        <v/>
      </c>
      <c r="X1277" s="39" t="str">
        <f>IF(AND(OR(LEFT(TH!L1277,2)="15",LEFT(TH!M1277,2)="15"),'152-CT'!$J$8=TH!F1277),"x","")</f>
        <v/>
      </c>
      <c r="Y1277" s="39" t="str">
        <f>IF(AND(OR(LEFT(TH!L1277,2)="15",LEFT(TH!M1277,2)="15"),TK!$E$7=TH!F1277),"x","")</f>
        <v/>
      </c>
      <c r="Z1277" s="39" t="str">
        <f>IF(AND(B1277&lt;=NKC!$N$8,B1277&gt;=NKC!$M$8),"x","")</f>
        <v/>
      </c>
      <c r="AA1277" s="894"/>
    </row>
    <row r="1278" spans="1:27" ht="15.75" customHeight="1">
      <c r="A1278" s="199" t="str">
        <f>IF(B1278&lt;&gt;"",IF(AND(B1278&gt;=_TM1,B1278&lt;=_TM2,OR(TH!L1278="1111",TH!M1278="1111")),TH!D1278,""),"")</f>
        <v/>
      </c>
      <c r="B1278" s="36" t="str">
        <f t="shared" si="45"/>
        <v/>
      </c>
      <c r="C1278" s="37"/>
      <c r="D1278" s="37"/>
      <c r="E1278" s="37"/>
      <c r="F1278" s="40"/>
      <c r="G1278" s="40"/>
      <c r="H1278" s="7"/>
      <c r="I1278" s="253"/>
      <c r="J1278" s="253"/>
      <c r="K1278" s="606"/>
      <c r="L1278" s="39"/>
      <c r="M1278" s="39"/>
      <c r="N1278" s="39" t="str">
        <f>IF(AND('331-CT'!$E$7=TH!H1278,OR(L1278="331",M1278="331")),"331",IF(AND(OR(L1278="131",M1278="131"),H1278='131-CT'!$E$7),"131",""))</f>
        <v/>
      </c>
      <c r="O1278" s="39" t="str">
        <f>IF(AND($B1278&gt;='111'!$N$11,$B1278&lt;='111'!$O$11,OR($L1278=$O$7,$M1278=$O$7)),"x","")</f>
        <v/>
      </c>
      <c r="P1278" s="39" t="str">
        <f>IF(AND($L1278=$O$7,$B1278&lt;'111'!$N$11),"x","")</f>
        <v/>
      </c>
      <c r="Q1278" s="39" t="str">
        <f>IF(AND($M1278=$O$7,$B1278&lt;'111'!$N$11),"x","")</f>
        <v/>
      </c>
      <c r="R1278" s="39" t="str">
        <f>IF(ISERROR(FIND('112'!$M$9,G1278,1)),"",IF((AND(FIND('112'!$M$9,G1278,1)&gt;=1,$B1278&gt;='112'!$N$8,$B1278&lt;='112'!$O$8,OR($L1278='112'!$I$6,$M1278='112'!$I$6))),"x",""))</f>
        <v/>
      </c>
      <c r="S1278" s="39" t="str">
        <f>IF(ISERROR(FIND('112'!$M$9,G1278,1)),"",IF((AND(LEFT(G1278,2)=LEFT('112'!$M$9,2),B1278&lt;'112'!$N$8,$L1278='112'!$I$6)),"x",""))</f>
        <v/>
      </c>
      <c r="T1278" s="39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39" t="str">
        <f>IF(OR(TH!L1278=TH!$V$7,M1278=TH!$V$7),"x","")</f>
        <v/>
      </c>
      <c r="W1278" s="39" t="str">
        <f>IF(AND(B1278&gt;='IN-NX'!$P$3,B1278&lt;='IN-NX'!$Q$3,'IN-NX'!$D$7=D1278,OR(LEFT(L1278,2)="15",AND(LEFT(M1278,2)&lt;&gt;"15",LEFT(M1278,2)&lt;&gt;"33"))),"x","")</f>
        <v/>
      </c>
      <c r="X1278" s="39" t="str">
        <f>IF(AND(OR(LEFT(TH!L1278,2)="15",LEFT(TH!M1278,2)="15"),'152-CT'!$J$8=TH!F1278),"x","")</f>
        <v/>
      </c>
      <c r="Y1278" s="39" t="str">
        <f>IF(AND(OR(LEFT(TH!L1278,2)="15",LEFT(TH!M1278,2)="15"),TK!$E$7=TH!F1278),"x","")</f>
        <v/>
      </c>
      <c r="Z1278" s="39" t="str">
        <f>IF(AND(B1278&lt;=NKC!$N$8,B1278&gt;=NKC!$M$8),"x","")</f>
        <v/>
      </c>
      <c r="AA1278" s="894"/>
    </row>
    <row r="1279" spans="1:27" ht="15.75" customHeight="1">
      <c r="A1279" s="199" t="str">
        <f>IF(B1279&lt;&gt;"",IF(AND(B1279&gt;=_TM1,B1279&lt;=_TM2,OR(TH!L1279="1111",TH!M1279="1111")),TH!D1279,""),"")</f>
        <v/>
      </c>
      <c r="B1279" s="36" t="str">
        <f t="shared" si="45"/>
        <v/>
      </c>
      <c r="C1279" s="37"/>
      <c r="D1279" s="37"/>
      <c r="E1279" s="37"/>
      <c r="F1279" s="40"/>
      <c r="G1279" s="40"/>
      <c r="H1279" s="7"/>
      <c r="I1279" s="253"/>
      <c r="J1279" s="253"/>
      <c r="K1279" s="606"/>
      <c r="L1279" s="39"/>
      <c r="M1279" s="39"/>
      <c r="N1279" s="39" t="str">
        <f>IF(AND('331-CT'!$E$7=TH!H1279,OR(L1279="331",M1279="331")),"331",IF(AND(OR(L1279="131",M1279="131"),H1279='131-CT'!$E$7),"131",""))</f>
        <v/>
      </c>
      <c r="O1279" s="39" t="str">
        <f>IF(AND($B1279&gt;='111'!$N$11,$B1279&lt;='111'!$O$11,OR($L1279=$O$7,$M1279=$O$7)),"x","")</f>
        <v/>
      </c>
      <c r="P1279" s="39" t="str">
        <f>IF(AND($L1279=$O$7,$B1279&lt;'111'!$N$11),"x","")</f>
        <v/>
      </c>
      <c r="Q1279" s="39" t="str">
        <f>IF(AND($M1279=$O$7,$B1279&lt;'111'!$N$11),"x","")</f>
        <v/>
      </c>
      <c r="R1279" s="39" t="str">
        <f>IF(ISERROR(FIND('112'!$M$9,G1279,1)),"",IF((AND(FIND('112'!$M$9,G1279,1)&gt;=1,$B1279&gt;='112'!$N$8,$B1279&lt;='112'!$O$8,OR($L1279='112'!$I$6,$M1279='112'!$I$6))),"x",""))</f>
        <v/>
      </c>
      <c r="S1279" s="39" t="str">
        <f>IF(ISERROR(FIND('112'!$M$9,G1279,1)),"",IF((AND(LEFT(G1279,2)=LEFT('112'!$M$9,2),B1279&lt;'112'!$N$8,$L1279='112'!$I$6)),"x",""))</f>
        <v/>
      </c>
      <c r="T1279" s="39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39" t="str">
        <f>IF(OR(TH!L1279=TH!$V$7,M1279=TH!$V$7),"x","")</f>
        <v/>
      </c>
      <c r="W1279" s="39" t="str">
        <f>IF(AND(B1279&gt;='IN-NX'!$P$3,B1279&lt;='IN-NX'!$Q$3,'IN-NX'!$D$7=D1279,OR(LEFT(L1279,2)="15",AND(LEFT(M1279,2)&lt;&gt;"15",LEFT(M1279,2)&lt;&gt;"33"))),"x","")</f>
        <v/>
      </c>
      <c r="X1279" s="39" t="str">
        <f>IF(AND(OR(LEFT(TH!L1279,2)="15",LEFT(TH!M1279,2)="15"),'152-CT'!$J$8=TH!F1279),"x","")</f>
        <v/>
      </c>
      <c r="Y1279" s="39" t="str">
        <f>IF(AND(OR(LEFT(TH!L1279,2)="15",LEFT(TH!M1279,2)="15"),TK!$E$7=TH!F1279),"x","")</f>
        <v/>
      </c>
      <c r="Z1279" s="39" t="str">
        <f>IF(AND(B1279&lt;=NKC!$N$8,B1279&gt;=NKC!$M$8),"x","")</f>
        <v/>
      </c>
      <c r="AA1279" s="894"/>
    </row>
    <row r="1280" spans="1:27" ht="15.75" customHeight="1">
      <c r="A1280" s="199" t="str">
        <f>IF(B1280&lt;&gt;"",IF(AND(B1280&gt;=_TM1,B1280&lt;=_TM2,OR(TH!L1280="1111",TH!M1280="1111")),TH!D1280,""),"")</f>
        <v/>
      </c>
      <c r="B1280" s="36" t="str">
        <f t="shared" si="45"/>
        <v/>
      </c>
      <c r="C1280" s="37"/>
      <c r="D1280" s="37"/>
      <c r="E1280" s="37"/>
      <c r="F1280" s="40"/>
      <c r="G1280" s="40"/>
      <c r="H1280" s="7"/>
      <c r="I1280" s="253"/>
      <c r="J1280" s="253"/>
      <c r="K1280" s="606"/>
      <c r="L1280" s="39"/>
      <c r="M1280" s="39"/>
      <c r="N1280" s="39" t="str">
        <f>IF(AND('331-CT'!$E$7=TH!H1280,OR(L1280="331",M1280="331")),"331",IF(AND(OR(L1280="131",M1280="131"),H1280='131-CT'!$E$7),"131",""))</f>
        <v/>
      </c>
      <c r="O1280" s="39" t="str">
        <f>IF(AND($B1280&gt;='111'!$N$11,$B1280&lt;='111'!$O$11,OR($L1280=$O$7,$M1280=$O$7)),"x","")</f>
        <v/>
      </c>
      <c r="P1280" s="39" t="str">
        <f>IF(AND($L1280=$O$7,$B1280&lt;'111'!$N$11),"x","")</f>
        <v/>
      </c>
      <c r="Q1280" s="39" t="str">
        <f>IF(AND($M1280=$O$7,$B1280&lt;'111'!$N$11),"x","")</f>
        <v/>
      </c>
      <c r="R1280" s="39" t="str">
        <f>IF(ISERROR(FIND('112'!$M$9,G1280,1)),"",IF((AND(FIND('112'!$M$9,G1280,1)&gt;=1,$B1280&gt;='112'!$N$8,$B1280&lt;='112'!$O$8,OR($L1280='112'!$I$6,$M1280='112'!$I$6))),"x",""))</f>
        <v/>
      </c>
      <c r="S1280" s="39" t="str">
        <f>IF(ISERROR(FIND('112'!$M$9,G1280,1)),"",IF((AND(LEFT(G1280,2)=LEFT('112'!$M$9,2),B1280&lt;'112'!$N$8,$L1280='112'!$I$6)),"x",""))</f>
        <v/>
      </c>
      <c r="T1280" s="39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39" t="str">
        <f>IF(OR(TH!L1280=TH!$V$7,M1280=TH!$V$7),"x","")</f>
        <v/>
      </c>
      <c r="W1280" s="39" t="str">
        <f>IF(AND(B1280&gt;='IN-NX'!$P$3,B1280&lt;='IN-NX'!$Q$3,'IN-NX'!$D$7=D1280,OR(LEFT(L1280,2)="15",AND(LEFT(M1280,2)&lt;&gt;"15",LEFT(M1280,2)&lt;&gt;"33"))),"x","")</f>
        <v/>
      </c>
      <c r="X1280" s="39" t="str">
        <f>IF(AND(OR(LEFT(TH!L1280,2)="15",LEFT(TH!M1280,2)="15"),'152-CT'!$J$8=TH!F1280),"x","")</f>
        <v/>
      </c>
      <c r="Y1280" s="39" t="str">
        <f>IF(AND(OR(LEFT(TH!L1280,2)="15",LEFT(TH!M1280,2)="15"),TK!$E$7=TH!F1280),"x","")</f>
        <v/>
      </c>
      <c r="Z1280" s="39" t="str">
        <f>IF(AND(B1280&lt;=NKC!$N$8,B1280&gt;=NKC!$M$8),"x","")</f>
        <v/>
      </c>
      <c r="AA1280" s="894"/>
    </row>
    <row r="1281" spans="1:27" ht="15.75" customHeight="1">
      <c r="A1281" s="199" t="str">
        <f>IF(B1281&lt;&gt;"",IF(AND(B1281&gt;=_TM1,B1281&lt;=_TM2,OR(TH!L1281="1111",TH!M1281="1111")),TH!D1281,""),"")</f>
        <v/>
      </c>
      <c r="B1281" s="36" t="str">
        <f t="shared" si="45"/>
        <v/>
      </c>
      <c r="C1281" s="37"/>
      <c r="D1281" s="37"/>
      <c r="E1281" s="37"/>
      <c r="F1281" s="191"/>
      <c r="G1281" s="40"/>
      <c r="H1281" s="7"/>
      <c r="I1281" s="253"/>
      <c r="J1281" s="253"/>
      <c r="K1281" s="606"/>
      <c r="L1281" s="39"/>
      <c r="M1281" s="39"/>
      <c r="N1281" s="39" t="str">
        <f>IF(AND('331-CT'!$E$7=TH!H1281,OR(L1281="331",M1281="331")),"331",IF(AND(OR(L1281="131",M1281="131"),H1281='131-CT'!$E$7),"131",""))</f>
        <v/>
      </c>
      <c r="O1281" s="39" t="str">
        <f>IF(AND($B1281&gt;='111'!$N$11,$B1281&lt;='111'!$O$11,OR($L1281=$O$7,$M1281=$O$7)),"x","")</f>
        <v/>
      </c>
      <c r="P1281" s="39" t="str">
        <f>IF(AND($L1281=$O$7,$B1281&lt;'111'!$N$11),"x","")</f>
        <v/>
      </c>
      <c r="Q1281" s="39" t="str">
        <f>IF(AND($M1281=$O$7,$B1281&lt;'111'!$N$11),"x","")</f>
        <v/>
      </c>
      <c r="R1281" s="39" t="str">
        <f>IF(ISERROR(FIND('112'!$M$9,G1281,1)),"",IF((AND(FIND('112'!$M$9,G1281,1)&gt;=1,$B1281&gt;='112'!$N$8,$B1281&lt;='112'!$O$8,OR($L1281='112'!$I$6,$M1281='112'!$I$6))),"x",""))</f>
        <v/>
      </c>
      <c r="S1281" s="39" t="str">
        <f>IF(ISERROR(FIND('112'!$M$9,G1281,1)),"",IF((AND(LEFT(G1281,2)=LEFT('112'!$M$9,2),B1281&lt;'112'!$N$8,$L1281='112'!$I$6)),"x",""))</f>
        <v/>
      </c>
      <c r="T1281" s="39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39" t="str">
        <f>IF(OR(TH!L1281=TH!$V$7,M1281=TH!$V$7),"x","")</f>
        <v/>
      </c>
      <c r="W1281" s="39" t="str">
        <f>IF(AND(B1281&gt;='IN-NX'!$P$3,B1281&lt;='IN-NX'!$Q$3,'IN-NX'!$D$7=D1281,OR(LEFT(L1281,2)="15",AND(LEFT(M1281,2)&lt;&gt;"15",LEFT(M1281,2)&lt;&gt;"33"))),"x","")</f>
        <v/>
      </c>
      <c r="X1281" s="39" t="str">
        <f>IF(AND(OR(LEFT(TH!L1281,2)="15",LEFT(TH!M1281,2)="15"),'152-CT'!$J$8=TH!F1281),"x","")</f>
        <v/>
      </c>
      <c r="Y1281" s="39" t="str">
        <f>IF(AND(OR(LEFT(TH!L1281,2)="15",LEFT(TH!M1281,2)="15"),TK!$E$7=TH!F1281),"x","")</f>
        <v/>
      </c>
      <c r="Z1281" s="39" t="str">
        <f>IF(AND(B1281&lt;=NKC!$N$8,B1281&gt;=NKC!$M$8),"x","")</f>
        <v/>
      </c>
      <c r="AA1281" s="894"/>
    </row>
    <row r="1282" spans="1:27" ht="15.75" customHeight="1">
      <c r="A1282" s="199" t="str">
        <f>IF(B1282&lt;&gt;"",IF(AND(B1282&gt;=_TM1,B1282&lt;=_TM2,OR(TH!L1282="1111",TH!M1282="1111")),TH!D1282,""),"")</f>
        <v/>
      </c>
      <c r="B1282" s="36" t="str">
        <f t="shared" si="45"/>
        <v/>
      </c>
      <c r="C1282" s="37"/>
      <c r="D1282" s="37"/>
      <c r="E1282" s="37"/>
      <c r="F1282" s="40"/>
      <c r="G1282" s="40"/>
      <c r="H1282" s="7"/>
      <c r="I1282" s="253"/>
      <c r="J1282" s="253"/>
      <c r="K1282" s="606"/>
      <c r="L1282" s="39"/>
      <c r="M1282" s="39"/>
      <c r="N1282" s="39" t="str">
        <f>IF(AND('331-CT'!$E$7=TH!H1282,OR(L1282="331",M1282="331")),"331",IF(AND(OR(L1282="131",M1282="131"),H1282='131-CT'!$E$7),"131",""))</f>
        <v/>
      </c>
      <c r="O1282" s="39" t="str">
        <f>IF(AND($B1282&gt;='111'!$N$11,$B1282&lt;='111'!$O$11,OR($L1282=$O$7,$M1282=$O$7)),"x","")</f>
        <v/>
      </c>
      <c r="P1282" s="39" t="str">
        <f>IF(AND($L1282=$O$7,$B1282&lt;'111'!$N$11),"x","")</f>
        <v/>
      </c>
      <c r="Q1282" s="39" t="str">
        <f>IF(AND($M1282=$O$7,$B1282&lt;'111'!$N$11),"x","")</f>
        <v/>
      </c>
      <c r="R1282" s="39" t="str">
        <f>IF(ISERROR(FIND('112'!$M$9,G1282,1)),"",IF((AND(FIND('112'!$M$9,G1282,1)&gt;=1,$B1282&gt;='112'!$N$8,$B1282&lt;='112'!$O$8,OR($L1282='112'!$I$6,$M1282='112'!$I$6))),"x",""))</f>
        <v/>
      </c>
      <c r="S1282" s="39" t="str">
        <f>IF(ISERROR(FIND('112'!$M$9,G1282,1)),"",IF((AND(LEFT(G1282,2)=LEFT('112'!$M$9,2),B1282&lt;'112'!$N$8,$L1282='112'!$I$6)),"x",""))</f>
        <v/>
      </c>
      <c r="T1282" s="39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39" t="str">
        <f>IF(OR(TH!L1282=TH!$V$7,M1282=TH!$V$7),"x","")</f>
        <v/>
      </c>
      <c r="W1282" s="39" t="str">
        <f>IF(AND(B1282&gt;='IN-NX'!$P$3,B1282&lt;='IN-NX'!$Q$3,'IN-NX'!$D$7=D1282,OR(LEFT(L1282,2)="15",AND(LEFT(M1282,2)&lt;&gt;"15",LEFT(M1282,2)&lt;&gt;"33"))),"x","")</f>
        <v/>
      </c>
      <c r="X1282" s="39" t="str">
        <f>IF(AND(OR(LEFT(TH!L1282,2)="15",LEFT(TH!M1282,2)="15"),'152-CT'!$J$8=TH!F1282),"x","")</f>
        <v/>
      </c>
      <c r="Y1282" s="39" t="str">
        <f>IF(AND(OR(LEFT(TH!L1282,2)="15",LEFT(TH!M1282,2)="15"),TK!$E$7=TH!F1282),"x","")</f>
        <v/>
      </c>
      <c r="Z1282" s="39" t="str">
        <f>IF(AND(B1282&lt;=NKC!$N$8,B1282&gt;=NKC!$M$8),"x","")</f>
        <v/>
      </c>
      <c r="AA1282" s="894"/>
    </row>
    <row r="1283" spans="1:27" ht="15.75" customHeight="1">
      <c r="A1283" s="199" t="str">
        <f>IF(B1283&lt;&gt;"",IF(AND(B1283&gt;=_TM1,B1283&lt;=_TM2,OR(TH!L1283="1111",TH!M1283="1111")),TH!D1283,""),"")</f>
        <v/>
      </c>
      <c r="B1283" s="36" t="str">
        <f t="shared" si="45"/>
        <v/>
      </c>
      <c r="C1283" s="183"/>
      <c r="D1283" s="183"/>
      <c r="E1283" s="183"/>
      <c r="F1283" s="188"/>
      <c r="G1283" s="608"/>
      <c r="H1283" s="192"/>
      <c r="I1283" s="253"/>
      <c r="J1283" s="253"/>
      <c r="K1283" s="606"/>
      <c r="L1283" s="607"/>
      <c r="M1283" s="607"/>
      <c r="N1283" s="39" t="str">
        <f>IF(AND('331-CT'!$E$7=TH!H1283,OR(L1283="331",M1283="331")),"331",IF(AND(OR(L1283="131",M1283="131"),H1283='131-CT'!$E$7),"131",""))</f>
        <v/>
      </c>
      <c r="O1283" s="39" t="str">
        <f>IF(AND($B1283&gt;='111'!$N$11,$B1283&lt;='111'!$O$11,OR($L1283=$O$7,$M1283=$O$7)),"x","")</f>
        <v/>
      </c>
      <c r="P1283" s="39" t="str">
        <f>IF(AND($L1283=$O$7,$B1283&lt;'111'!$N$11),"x","")</f>
        <v/>
      </c>
      <c r="Q1283" s="39" t="str">
        <f>IF(AND($M1283=$O$7,$B1283&lt;'111'!$N$11),"x","")</f>
        <v/>
      </c>
      <c r="R1283" s="39" t="str">
        <f>IF(ISERROR(FIND('112'!$M$9,G1283,1)),"",IF((AND(FIND('112'!$M$9,G1283,1)&gt;=1,$B1283&gt;='112'!$N$8,$B1283&lt;='112'!$O$8,OR($L1283='112'!$I$6,$M1283='112'!$I$6))),"x",""))</f>
        <v/>
      </c>
      <c r="S1283" s="39" t="str">
        <f>IF(ISERROR(FIND('112'!$M$9,G1283,1)),"",IF((AND(LEFT(G1283,2)=LEFT('112'!$M$9,2),B1283&lt;'112'!$N$8,$L1283='112'!$I$6)),"x",""))</f>
        <v/>
      </c>
      <c r="T1283" s="39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39" t="str">
        <f>IF(OR(TH!L1283=TH!$V$7,M1283=TH!$V$7),"x","")</f>
        <v/>
      </c>
      <c r="W1283" s="39" t="str">
        <f>IF(AND(B1283&gt;='IN-NX'!$P$3,B1283&lt;='IN-NX'!$Q$3,'IN-NX'!$D$7=D1283,OR(LEFT(L1283,2)="15",AND(LEFT(M1283,2)&lt;&gt;"15",LEFT(M1283,2)&lt;&gt;"33"))),"x","")</f>
        <v/>
      </c>
      <c r="X1283" s="39" t="str">
        <f>IF(AND(OR(LEFT(TH!L1283,2)="15",LEFT(TH!M1283,2)="15"),'152-CT'!$J$8=TH!F1283),"x","")</f>
        <v/>
      </c>
      <c r="Y1283" s="39" t="str">
        <f>IF(AND(OR(LEFT(TH!L1283,2)="15",LEFT(TH!M1283,2)="15"),TK!$E$7=TH!F1283),"x","")</f>
        <v/>
      </c>
      <c r="Z1283" s="39" t="str">
        <f>IF(AND(B1283&lt;=NKC!$N$8,B1283&gt;=NKC!$M$8),"x","")</f>
        <v/>
      </c>
      <c r="AA1283" s="894"/>
    </row>
    <row r="1284" spans="1:27" ht="15.75" customHeight="1">
      <c r="A1284" s="199" t="str">
        <f>IF(B1284&lt;&gt;"",IF(AND(B1284&gt;=_TM1,B1284&lt;=_TM2,OR(TH!L1284="1111",TH!M1284="1111")),TH!D1284,""),"")</f>
        <v/>
      </c>
      <c r="B1284" s="36" t="str">
        <f t="shared" si="45"/>
        <v/>
      </c>
      <c r="C1284" s="190"/>
      <c r="D1284" s="190"/>
      <c r="E1284" s="190"/>
      <c r="F1284" s="191"/>
      <c r="G1284" s="491"/>
      <c r="H1284" s="192"/>
      <c r="I1284" s="253"/>
      <c r="J1284" s="253"/>
      <c r="K1284" s="606"/>
      <c r="L1284" s="193"/>
      <c r="M1284" s="193"/>
      <c r="N1284" s="39" t="str">
        <f>IF(AND('331-CT'!$E$7=TH!H1284,OR(L1284="331",M1284="331")),"331",IF(AND(OR(L1284="131",M1284="131"),H1284='131-CT'!$E$7),"131",""))</f>
        <v/>
      </c>
      <c r="O1284" s="39" t="str">
        <f>IF(AND($B1284&gt;='111'!$N$11,$B1284&lt;='111'!$O$11,OR($L1284=$O$7,$M1284=$O$7)),"x","")</f>
        <v/>
      </c>
      <c r="P1284" s="39" t="str">
        <f>IF(AND($L1284=$O$7,$B1284&lt;'111'!$N$11),"x","")</f>
        <v/>
      </c>
      <c r="Q1284" s="39" t="str">
        <f>IF(AND($M1284=$O$7,$B1284&lt;'111'!$N$11),"x","")</f>
        <v/>
      </c>
      <c r="R1284" s="39" t="str">
        <f>IF(ISERROR(FIND('112'!$M$9,G1284,1)),"",IF((AND(FIND('112'!$M$9,G1284,1)&gt;=1,$B1284&gt;='112'!$N$8,$B1284&lt;='112'!$O$8,OR($L1284='112'!$I$6,$M1284='112'!$I$6))),"x",""))</f>
        <v/>
      </c>
      <c r="S1284" s="39" t="str">
        <f>IF(ISERROR(FIND('112'!$M$9,G1284,1)),"",IF((AND(LEFT(G1284,2)=LEFT('112'!$M$9,2),B1284&lt;'112'!$N$8,$L1284='112'!$I$6)),"x",""))</f>
        <v/>
      </c>
      <c r="T1284" s="39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39" t="str">
        <f>IF(OR(TH!L1284=TH!$V$7,M1284=TH!$V$7),"x","")</f>
        <v/>
      </c>
      <c r="W1284" s="39" t="str">
        <f>IF(AND(B1284&gt;='IN-NX'!$P$3,B1284&lt;='IN-NX'!$Q$3,'IN-NX'!$D$7=D1284,OR(LEFT(L1284,2)="15",AND(LEFT(M1284,2)&lt;&gt;"15",LEFT(M1284,2)&lt;&gt;"33"))),"x","")</f>
        <v/>
      </c>
      <c r="X1284" s="39" t="str">
        <f>IF(AND(OR(LEFT(TH!L1284,2)="15",LEFT(TH!M1284,2)="15"),'152-CT'!$J$8=TH!F1284),"x","")</f>
        <v/>
      </c>
      <c r="Y1284" s="39" t="str">
        <f>IF(AND(OR(LEFT(TH!L1284,2)="15",LEFT(TH!M1284,2)="15"),TK!$E$7=TH!F1284),"x","")</f>
        <v/>
      </c>
      <c r="Z1284" s="39" t="str">
        <f>IF(AND(B1284&lt;=NKC!$N$8,B1284&gt;=NKC!$M$8),"x","")</f>
        <v/>
      </c>
      <c r="AA1284" s="894"/>
    </row>
    <row r="1285" spans="1:27" ht="15.75" customHeight="1">
      <c r="A1285" s="199" t="str">
        <f>IF(B1285&lt;&gt;"",IF(AND(B1285&gt;=_TM1,B1285&lt;=_TM2,OR(TH!L1285="1111",TH!M1285="1111")),TH!D1285,""),"")</f>
        <v/>
      </c>
      <c r="B1285" s="36" t="str">
        <f t="shared" si="45"/>
        <v/>
      </c>
      <c r="C1285" s="190"/>
      <c r="D1285" s="190"/>
      <c r="E1285" s="190"/>
      <c r="F1285" s="191"/>
      <c r="G1285" s="491"/>
      <c r="H1285" s="192"/>
      <c r="I1285" s="253"/>
      <c r="J1285" s="253"/>
      <c r="K1285" s="606"/>
      <c r="L1285" s="193"/>
      <c r="M1285" s="193"/>
      <c r="N1285" s="39" t="str">
        <f>IF(AND('331-CT'!$E$7=TH!H1285,OR(L1285="331",M1285="331")),"331",IF(AND(OR(L1285="131",M1285="131"),H1285='131-CT'!$E$7),"131",""))</f>
        <v/>
      </c>
      <c r="O1285" s="39" t="str">
        <f>IF(AND($B1285&gt;='111'!$N$11,$B1285&lt;='111'!$O$11,OR($L1285=$O$7,$M1285=$O$7)),"x","")</f>
        <v/>
      </c>
      <c r="P1285" s="39" t="str">
        <f>IF(AND($L1285=$O$7,$B1285&lt;'111'!$N$11),"x","")</f>
        <v/>
      </c>
      <c r="Q1285" s="39" t="str">
        <f>IF(AND($M1285=$O$7,$B1285&lt;'111'!$N$11),"x","")</f>
        <v/>
      </c>
      <c r="R1285" s="39" t="str">
        <f>IF(ISERROR(FIND('112'!$M$9,G1285,1)),"",IF((AND(FIND('112'!$M$9,G1285,1)&gt;=1,$B1285&gt;='112'!$N$8,$B1285&lt;='112'!$O$8,OR($L1285='112'!$I$6,$M1285='112'!$I$6))),"x",""))</f>
        <v/>
      </c>
      <c r="S1285" s="39" t="str">
        <f>IF(ISERROR(FIND('112'!$M$9,G1285,1)),"",IF((AND(LEFT(G1285,2)=LEFT('112'!$M$9,2),B1285&lt;'112'!$N$8,$L1285='112'!$I$6)),"x",""))</f>
        <v/>
      </c>
      <c r="T1285" s="39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39" t="str">
        <f>IF(OR(TH!L1285=TH!$V$7,M1285=TH!$V$7),"x","")</f>
        <v/>
      </c>
      <c r="W1285" s="39" t="str">
        <f>IF(AND(B1285&gt;='IN-NX'!$P$3,B1285&lt;='IN-NX'!$Q$3,'IN-NX'!$D$7=D1285,OR(LEFT(L1285,2)="15",AND(LEFT(M1285,2)&lt;&gt;"15",LEFT(M1285,2)&lt;&gt;"33"))),"x","")</f>
        <v/>
      </c>
      <c r="X1285" s="39" t="str">
        <f>IF(AND(OR(LEFT(TH!L1285,2)="15",LEFT(TH!M1285,2)="15"),'152-CT'!$J$8=TH!F1285),"x","")</f>
        <v/>
      </c>
      <c r="Y1285" s="39" t="str">
        <f>IF(AND(OR(LEFT(TH!L1285,2)="15",LEFT(TH!M1285,2)="15"),TK!$E$7=TH!F1285),"x","")</f>
        <v/>
      </c>
      <c r="Z1285" s="39" t="str">
        <f>IF(AND(B1285&lt;=NKC!$N$8,B1285&gt;=NKC!$M$8),"x","")</f>
        <v/>
      </c>
      <c r="AA1285" s="894"/>
    </row>
    <row r="1286" spans="1:27" ht="15.75" customHeight="1">
      <c r="A1286" s="199" t="str">
        <f>IF(B1286&lt;&gt;"",IF(AND(B1286&gt;=_TM1,B1286&lt;=_TM2,OR(TH!L1286="1111",TH!M1286="1111")),TH!D1286,""),"")</f>
        <v/>
      </c>
      <c r="B1286" s="36" t="str">
        <f t="shared" si="45"/>
        <v/>
      </c>
      <c r="C1286" s="190"/>
      <c r="D1286" s="190"/>
      <c r="E1286" s="190"/>
      <c r="F1286" s="191"/>
      <c r="G1286" s="491"/>
      <c r="H1286" s="192"/>
      <c r="I1286" s="253"/>
      <c r="J1286" s="253"/>
      <c r="K1286" s="606"/>
      <c r="L1286" s="193"/>
      <c r="M1286" s="193"/>
      <c r="N1286" s="39" t="str">
        <f>IF(AND('331-CT'!$E$7=TH!H1286,OR(L1286="331",M1286="331")),"331",IF(AND(OR(L1286="131",M1286="131"),H1286='131-CT'!$E$7),"131",""))</f>
        <v/>
      </c>
      <c r="O1286" s="39" t="str">
        <f>IF(AND($B1286&gt;='111'!$N$11,$B1286&lt;='111'!$O$11,OR($L1286=$O$7,$M1286=$O$7)),"x","")</f>
        <v/>
      </c>
      <c r="P1286" s="39" t="str">
        <f>IF(AND($L1286=$O$7,$B1286&lt;'111'!$N$11),"x","")</f>
        <v/>
      </c>
      <c r="Q1286" s="39" t="str">
        <f>IF(AND($M1286=$O$7,$B1286&lt;'111'!$N$11),"x","")</f>
        <v/>
      </c>
      <c r="R1286" s="39" t="str">
        <f>IF(ISERROR(FIND('112'!$M$9,G1286,1)),"",IF((AND(FIND('112'!$M$9,G1286,1)&gt;=1,$B1286&gt;='112'!$N$8,$B1286&lt;='112'!$O$8,OR($L1286='112'!$I$6,$M1286='112'!$I$6))),"x",""))</f>
        <v/>
      </c>
      <c r="S1286" s="39" t="str">
        <f>IF(ISERROR(FIND('112'!$M$9,G1286,1)),"",IF((AND(LEFT(G1286,2)=LEFT('112'!$M$9,2),B1286&lt;'112'!$N$8,$L1286='112'!$I$6)),"x",""))</f>
        <v/>
      </c>
      <c r="T1286" s="39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39" t="str">
        <f>IF(OR(TH!L1286=TH!$V$7,M1286=TH!$V$7),"x","")</f>
        <v/>
      </c>
      <c r="W1286" s="39" t="str">
        <f>IF(AND(B1286&gt;='IN-NX'!$P$3,B1286&lt;='IN-NX'!$Q$3,'IN-NX'!$D$7=D1286,OR(LEFT(L1286,2)="15",AND(LEFT(M1286,2)&lt;&gt;"15",LEFT(M1286,2)&lt;&gt;"33"))),"x","")</f>
        <v/>
      </c>
      <c r="X1286" s="39" t="str">
        <f>IF(AND(OR(LEFT(TH!L1286,2)="15",LEFT(TH!M1286,2)="15"),'152-CT'!$J$8=TH!F1286),"x","")</f>
        <v/>
      </c>
      <c r="Y1286" s="39" t="str">
        <f>IF(AND(OR(LEFT(TH!L1286,2)="15",LEFT(TH!M1286,2)="15"),TK!$E$7=TH!F1286),"x","")</f>
        <v/>
      </c>
      <c r="Z1286" s="39" t="str">
        <f>IF(AND(B1286&lt;=NKC!$N$8,B1286&gt;=NKC!$M$8),"x","")</f>
        <v/>
      </c>
      <c r="AA1286" s="894"/>
    </row>
    <row r="1287" spans="1:27" ht="15.75" customHeight="1">
      <c r="A1287" s="199" t="str">
        <f>IF(B1287&lt;&gt;"",IF(AND(B1287&gt;=_TM1,B1287&lt;=_TM2,OR(TH!L1287="1111",TH!M1287="1111")),TH!D1287,""),"")</f>
        <v/>
      </c>
      <c r="B1287" s="36" t="str">
        <f t="shared" si="45"/>
        <v/>
      </c>
      <c r="C1287" s="190"/>
      <c r="D1287" s="190"/>
      <c r="E1287" s="190"/>
      <c r="F1287" s="191"/>
      <c r="G1287" s="491"/>
      <c r="H1287" s="192"/>
      <c r="I1287" s="253"/>
      <c r="J1287" s="253"/>
      <c r="K1287" s="606"/>
      <c r="L1287" s="193"/>
      <c r="M1287" s="193"/>
      <c r="N1287" s="39" t="str">
        <f>IF(AND('331-CT'!$E$7=TH!H1287,OR(L1287="331",M1287="331")),"331",IF(AND(OR(L1287="131",M1287="131"),H1287='131-CT'!$E$7),"131",""))</f>
        <v/>
      </c>
      <c r="O1287" s="39" t="str">
        <f>IF(AND($B1287&gt;='111'!$N$11,$B1287&lt;='111'!$O$11,OR($L1287=$O$7,$M1287=$O$7)),"x","")</f>
        <v/>
      </c>
      <c r="P1287" s="39" t="str">
        <f>IF(AND($L1287=$O$7,$B1287&lt;'111'!$N$11),"x","")</f>
        <v/>
      </c>
      <c r="Q1287" s="39" t="str">
        <f>IF(AND($M1287=$O$7,$B1287&lt;'111'!$N$11),"x","")</f>
        <v/>
      </c>
      <c r="R1287" s="39" t="str">
        <f>IF(ISERROR(FIND('112'!$M$9,G1287,1)),"",IF((AND(FIND('112'!$M$9,G1287,1)&gt;=1,$B1287&gt;='112'!$N$8,$B1287&lt;='112'!$O$8,OR($L1287='112'!$I$6,$M1287='112'!$I$6))),"x",""))</f>
        <v/>
      </c>
      <c r="S1287" s="39" t="str">
        <f>IF(ISERROR(FIND('112'!$M$9,G1287,1)),"",IF((AND(LEFT(G1287,2)=LEFT('112'!$M$9,2),B1287&lt;'112'!$N$8,$L1287='112'!$I$6)),"x",""))</f>
        <v/>
      </c>
      <c r="T1287" s="39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39" t="str">
        <f>IF(OR(TH!L1287=TH!$V$7,M1287=TH!$V$7),"x","")</f>
        <v/>
      </c>
      <c r="W1287" s="39" t="str">
        <f>IF(AND(B1287&gt;='IN-NX'!$P$3,B1287&lt;='IN-NX'!$Q$3,'IN-NX'!$D$7=D1287,OR(LEFT(L1287,2)="15",AND(LEFT(M1287,2)&lt;&gt;"15",LEFT(M1287,2)&lt;&gt;"33"))),"x","")</f>
        <v/>
      </c>
      <c r="X1287" s="39" t="str">
        <f>IF(AND(OR(LEFT(TH!L1287,2)="15",LEFT(TH!M1287,2)="15"),'152-CT'!$J$8=TH!F1287),"x","")</f>
        <v/>
      </c>
      <c r="Y1287" s="39" t="str">
        <f>IF(AND(OR(LEFT(TH!L1287,2)="15",LEFT(TH!M1287,2)="15"),TK!$E$7=TH!F1287),"x","")</f>
        <v/>
      </c>
      <c r="Z1287" s="39" t="str">
        <f>IF(AND(B1287&lt;=NKC!$N$8,B1287&gt;=NKC!$M$8),"x","")</f>
        <v/>
      </c>
      <c r="AA1287" s="894"/>
    </row>
    <row r="1288" spans="1:27" ht="15.75" customHeight="1">
      <c r="A1288" s="199" t="str">
        <f>IF(B1288&lt;&gt;"",IF(AND(B1288&gt;=_TM1,B1288&lt;=_TM2,OR(TH!L1288="1111",TH!M1288="1111")),TH!D1288,""),"")</f>
        <v/>
      </c>
      <c r="B1288" s="36" t="str">
        <f t="shared" si="45"/>
        <v/>
      </c>
      <c r="C1288" s="37"/>
      <c r="D1288" s="37"/>
      <c r="E1288" s="37"/>
      <c r="F1288" s="40"/>
      <c r="G1288" s="40"/>
      <c r="H1288" s="7"/>
      <c r="I1288" s="253"/>
      <c r="J1288" s="253"/>
      <c r="K1288" s="606"/>
      <c r="L1288" s="39"/>
      <c r="M1288" s="39"/>
      <c r="N1288" s="39" t="str">
        <f>IF(AND('331-CT'!$E$7=TH!H1288,OR(L1288="331",M1288="331")),"331",IF(AND(OR(L1288="131",M1288="131"),H1288='131-CT'!$E$7),"131",""))</f>
        <v/>
      </c>
      <c r="O1288" s="39" t="str">
        <f>IF(AND($B1288&gt;='111'!$N$11,$B1288&lt;='111'!$O$11,OR($L1288=$O$7,$M1288=$O$7)),"x","")</f>
        <v/>
      </c>
      <c r="P1288" s="39" t="str">
        <f>IF(AND($L1288=$O$7,$B1288&lt;'111'!$N$11),"x","")</f>
        <v/>
      </c>
      <c r="Q1288" s="39" t="str">
        <f>IF(AND($M1288=$O$7,$B1288&lt;'111'!$N$11),"x","")</f>
        <v/>
      </c>
      <c r="R1288" s="39" t="str">
        <f>IF(ISERROR(FIND('112'!$M$9,G1288,1)),"",IF((AND(FIND('112'!$M$9,G1288,1)&gt;=1,$B1288&gt;='112'!$N$8,$B1288&lt;='112'!$O$8,OR($L1288='112'!$I$6,$M1288='112'!$I$6))),"x",""))</f>
        <v/>
      </c>
      <c r="S1288" s="39" t="str">
        <f>IF(ISERROR(FIND('112'!$M$9,G1288,1)),"",IF((AND(LEFT(G1288,2)=LEFT('112'!$M$9,2),B1288&lt;'112'!$N$8,$L1288='112'!$I$6)),"x",""))</f>
        <v/>
      </c>
      <c r="T1288" s="39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39" t="str">
        <f>IF(OR(TH!L1288=TH!$V$7,M1288=TH!$V$7),"x","")</f>
        <v/>
      </c>
      <c r="W1288" s="39" t="str">
        <f>IF(AND(B1288&gt;='IN-NX'!$P$3,B1288&lt;='IN-NX'!$Q$3,'IN-NX'!$D$7=D1288,OR(LEFT(L1288,2)="15",AND(LEFT(M1288,2)&lt;&gt;"15",LEFT(M1288,2)&lt;&gt;"33"))),"x","")</f>
        <v/>
      </c>
      <c r="X1288" s="39" t="str">
        <f>IF(AND(OR(LEFT(TH!L1288,2)="15",LEFT(TH!M1288,2)="15"),'152-CT'!$J$8=TH!F1288),"x","")</f>
        <v/>
      </c>
      <c r="Y1288" s="39" t="str">
        <f>IF(AND(OR(LEFT(TH!L1288,2)="15",LEFT(TH!M1288,2)="15"),TK!$E$7=TH!F1288),"x","")</f>
        <v/>
      </c>
      <c r="Z1288" s="39" t="str">
        <f>IF(AND(B1288&lt;=NKC!$N$8,B1288&gt;=NKC!$M$8),"x","")</f>
        <v/>
      </c>
      <c r="AA1288" s="894"/>
    </row>
    <row r="1289" spans="1:27" ht="15.75" customHeight="1">
      <c r="A1289" s="199" t="str">
        <f>IF(B1289&lt;&gt;"",IF(AND(B1289&gt;=_TM1,B1289&lt;=_TM2,OR(TH!L1289="1111",TH!M1289="1111")),TH!D1289,""),"")</f>
        <v/>
      </c>
      <c r="B1289" s="36" t="str">
        <f t="shared" si="45"/>
        <v/>
      </c>
      <c r="C1289" s="37"/>
      <c r="D1289" s="37"/>
      <c r="E1289" s="37"/>
      <c r="F1289" s="40"/>
      <c r="G1289" s="40"/>
      <c r="H1289" s="7"/>
      <c r="I1289" s="253"/>
      <c r="J1289" s="253"/>
      <c r="K1289" s="606"/>
      <c r="L1289" s="39"/>
      <c r="M1289" s="39"/>
      <c r="N1289" s="39" t="str">
        <f>IF(AND('331-CT'!$E$7=TH!H1289,OR(L1289="331",M1289="331")),"331",IF(AND(OR(L1289="131",M1289="131"),H1289='131-CT'!$E$7),"131",""))</f>
        <v/>
      </c>
      <c r="O1289" s="39" t="str">
        <f>IF(AND($B1289&gt;='111'!$N$11,$B1289&lt;='111'!$O$11,OR($L1289=$O$7,$M1289=$O$7)),"x","")</f>
        <v/>
      </c>
      <c r="P1289" s="39" t="str">
        <f>IF(AND($L1289=$O$7,$B1289&lt;'111'!$N$11),"x","")</f>
        <v/>
      </c>
      <c r="Q1289" s="39" t="str">
        <f>IF(AND($M1289=$O$7,$B1289&lt;'111'!$N$11),"x","")</f>
        <v/>
      </c>
      <c r="R1289" s="39" t="str">
        <f>IF(ISERROR(FIND('112'!$M$9,G1289,1)),"",IF((AND(FIND('112'!$M$9,G1289,1)&gt;=1,$B1289&gt;='112'!$N$8,$B1289&lt;='112'!$O$8,OR($L1289='112'!$I$6,$M1289='112'!$I$6))),"x",""))</f>
        <v/>
      </c>
      <c r="S1289" s="39" t="str">
        <f>IF(ISERROR(FIND('112'!$M$9,G1289,1)),"",IF((AND(LEFT(G1289,2)=LEFT('112'!$M$9,2),B1289&lt;'112'!$N$8,$L1289='112'!$I$6)),"x",""))</f>
        <v/>
      </c>
      <c r="T1289" s="39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39" t="str">
        <f>IF(OR(TH!L1289=TH!$V$7,M1289=TH!$V$7),"x","")</f>
        <v/>
      </c>
      <c r="W1289" s="39" t="str">
        <f>IF(AND(B1289&gt;='IN-NX'!$P$3,B1289&lt;='IN-NX'!$Q$3,'IN-NX'!$D$7=D1289,OR(LEFT(L1289,2)="15",AND(LEFT(M1289,2)&lt;&gt;"15",LEFT(M1289,2)&lt;&gt;"33"))),"x","")</f>
        <v/>
      </c>
      <c r="X1289" s="39" t="str">
        <f>IF(AND(OR(LEFT(TH!L1289,2)="15",LEFT(TH!M1289,2)="15"),'152-CT'!$J$8=TH!F1289),"x","")</f>
        <v/>
      </c>
      <c r="Y1289" s="39" t="str">
        <f>IF(AND(OR(LEFT(TH!L1289,2)="15",LEFT(TH!M1289,2)="15"),TK!$E$7=TH!F1289),"x","")</f>
        <v/>
      </c>
      <c r="Z1289" s="39" t="str">
        <f>IF(AND(B1289&lt;=NKC!$N$8,B1289&gt;=NKC!$M$8),"x","")</f>
        <v/>
      </c>
      <c r="AA1289" s="894"/>
    </row>
    <row r="1290" spans="1:27" ht="15.75" customHeight="1">
      <c r="A1290" s="199" t="str">
        <f>IF(B1290&lt;&gt;"",IF(AND(B1290&gt;=_TM1,B1290&lt;=_TM2,OR(TH!L1290="1111",TH!M1290="1111")),TH!D1290,""),"")</f>
        <v/>
      </c>
      <c r="B1290" s="36" t="str">
        <f t="shared" si="45"/>
        <v/>
      </c>
      <c r="C1290" s="37"/>
      <c r="D1290" s="37"/>
      <c r="E1290" s="37"/>
      <c r="F1290" s="40"/>
      <c r="G1290" s="40"/>
      <c r="H1290" s="7"/>
      <c r="I1290" s="253"/>
      <c r="J1290" s="253"/>
      <c r="K1290" s="606"/>
      <c r="L1290" s="39"/>
      <c r="M1290" s="39"/>
      <c r="N1290" s="39" t="str">
        <f>IF(AND('331-CT'!$E$7=TH!H1290,OR(L1290="331",M1290="331")),"331",IF(AND(OR(L1290="131",M1290="131"),H1290='131-CT'!$E$7),"131",""))</f>
        <v/>
      </c>
      <c r="O1290" s="39" t="str">
        <f>IF(AND($B1290&gt;='111'!$N$11,$B1290&lt;='111'!$O$11,OR($L1290=$O$7,$M1290=$O$7)),"x","")</f>
        <v/>
      </c>
      <c r="P1290" s="39" t="str">
        <f>IF(AND($L1290=$O$7,$B1290&lt;'111'!$N$11),"x","")</f>
        <v/>
      </c>
      <c r="Q1290" s="39" t="str">
        <f>IF(AND($M1290=$O$7,$B1290&lt;'111'!$N$11),"x","")</f>
        <v/>
      </c>
      <c r="R1290" s="39" t="str">
        <f>IF(ISERROR(FIND('112'!$M$9,G1290,1)),"",IF((AND(FIND('112'!$M$9,G1290,1)&gt;=1,$B1290&gt;='112'!$N$8,$B1290&lt;='112'!$O$8,OR($L1290='112'!$I$6,$M1290='112'!$I$6))),"x",""))</f>
        <v/>
      </c>
      <c r="S1290" s="39" t="str">
        <f>IF(ISERROR(FIND('112'!$M$9,G1290,1)),"",IF((AND(LEFT(G1290,2)=LEFT('112'!$M$9,2),B1290&lt;'112'!$N$8,$L1290='112'!$I$6)),"x",""))</f>
        <v/>
      </c>
      <c r="T1290" s="39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39" t="str">
        <f>IF(OR(TH!L1290=TH!$V$7,M1290=TH!$V$7),"x","")</f>
        <v/>
      </c>
      <c r="W1290" s="39" t="str">
        <f>IF(AND(B1290&gt;='IN-NX'!$P$3,B1290&lt;='IN-NX'!$Q$3,'IN-NX'!$D$7=D1290,OR(LEFT(L1290,2)="15",AND(LEFT(M1290,2)&lt;&gt;"15",LEFT(M1290,2)&lt;&gt;"33"))),"x","")</f>
        <v/>
      </c>
      <c r="X1290" s="39" t="str">
        <f>IF(AND(OR(LEFT(TH!L1290,2)="15",LEFT(TH!M1290,2)="15"),'152-CT'!$J$8=TH!F1290),"x","")</f>
        <v/>
      </c>
      <c r="Y1290" s="39" t="str">
        <f>IF(AND(OR(LEFT(TH!L1290,2)="15",LEFT(TH!M1290,2)="15"),TK!$E$7=TH!F1290),"x","")</f>
        <v/>
      </c>
      <c r="Z1290" s="39" t="str">
        <f>IF(AND(B1290&lt;=NKC!$N$8,B1290&gt;=NKC!$M$8),"x","")</f>
        <v/>
      </c>
      <c r="AA1290" s="894"/>
    </row>
    <row r="1291" spans="1:27" ht="15.75" customHeight="1">
      <c r="A1291" s="199" t="str">
        <f>IF(B1291&lt;&gt;"",IF(AND(B1291&gt;=_TM1,B1291&lt;=_TM2,OR(TH!L1291="1111",TH!M1291="1111")),TH!D1291,""),"")</f>
        <v/>
      </c>
      <c r="B1291" s="36" t="str">
        <f t="shared" si="45"/>
        <v/>
      </c>
      <c r="C1291" s="37"/>
      <c r="D1291" s="37"/>
      <c r="E1291" s="37"/>
      <c r="F1291" s="40"/>
      <c r="G1291" s="40"/>
      <c r="H1291" s="7"/>
      <c r="I1291" s="253"/>
      <c r="J1291" s="253"/>
      <c r="K1291" s="606"/>
      <c r="L1291" s="39"/>
      <c r="M1291" s="39"/>
      <c r="N1291" s="39" t="str">
        <f>IF(AND('331-CT'!$E$7=TH!H1291,OR(L1291="331",M1291="331")),"331",IF(AND(OR(L1291="131",M1291="131"),H1291='131-CT'!$E$7),"131",""))</f>
        <v/>
      </c>
      <c r="O1291" s="39" t="str">
        <f>IF(AND($B1291&gt;='111'!$N$11,$B1291&lt;='111'!$O$11,OR($L1291=$O$7,$M1291=$O$7)),"x","")</f>
        <v/>
      </c>
      <c r="P1291" s="39" t="str">
        <f>IF(AND($L1291=$O$7,$B1291&lt;'111'!$N$11),"x","")</f>
        <v/>
      </c>
      <c r="Q1291" s="39" t="str">
        <f>IF(AND($M1291=$O$7,$B1291&lt;'111'!$N$11),"x","")</f>
        <v/>
      </c>
      <c r="R1291" s="39" t="str">
        <f>IF(ISERROR(FIND('112'!$M$9,G1291,1)),"",IF((AND(FIND('112'!$M$9,G1291,1)&gt;=1,$B1291&gt;='112'!$N$8,$B1291&lt;='112'!$O$8,OR($L1291='112'!$I$6,$M1291='112'!$I$6))),"x",""))</f>
        <v/>
      </c>
      <c r="S1291" s="39" t="str">
        <f>IF(ISERROR(FIND('112'!$M$9,G1291,1)),"",IF((AND(LEFT(G1291,2)=LEFT('112'!$M$9,2),B1291&lt;'112'!$N$8,$L1291='112'!$I$6)),"x",""))</f>
        <v/>
      </c>
      <c r="T1291" s="39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39" t="str">
        <f>IF(OR(TH!L1291=TH!$V$7,M1291=TH!$V$7),"x","")</f>
        <v/>
      </c>
      <c r="W1291" s="39" t="str">
        <f>IF(AND(B1291&gt;='IN-NX'!$P$3,B1291&lt;='IN-NX'!$Q$3,'IN-NX'!$D$7=D1291,OR(LEFT(L1291,2)="15",AND(LEFT(M1291,2)&lt;&gt;"15",LEFT(M1291,2)&lt;&gt;"33"))),"x","")</f>
        <v/>
      </c>
      <c r="X1291" s="39" t="str">
        <f>IF(AND(OR(LEFT(TH!L1291,2)="15",LEFT(TH!M1291,2)="15"),'152-CT'!$J$8=TH!F1291),"x","")</f>
        <v/>
      </c>
      <c r="Y1291" s="39" t="str">
        <f>IF(AND(OR(LEFT(TH!L1291,2)="15",LEFT(TH!M1291,2)="15"),TK!$E$7=TH!F1291),"x","")</f>
        <v/>
      </c>
      <c r="Z1291" s="39" t="str">
        <f>IF(AND(B1291&lt;=NKC!$N$8,B1291&gt;=NKC!$M$8),"x","")</f>
        <v/>
      </c>
      <c r="AA1291" s="894"/>
    </row>
    <row r="1292" spans="1:27" ht="15.75" customHeight="1">
      <c r="A1292" s="199" t="str">
        <f>IF(B1292&lt;&gt;"",IF(AND(B1292&gt;=_TM1,B1292&lt;=_TM2,OR(TH!L1292="1111",TH!M1292="1111")),TH!D1292,""),"")</f>
        <v/>
      </c>
      <c r="B1292" s="36" t="str">
        <f t="shared" si="45"/>
        <v/>
      </c>
      <c r="C1292" s="37"/>
      <c r="D1292" s="37"/>
      <c r="E1292" s="37"/>
      <c r="F1292" s="40"/>
      <c r="G1292" s="40"/>
      <c r="H1292" s="7"/>
      <c r="I1292" s="253"/>
      <c r="J1292" s="253"/>
      <c r="K1292" s="606"/>
      <c r="L1292" s="39"/>
      <c r="M1292" s="39"/>
      <c r="N1292" s="39" t="str">
        <f>IF(AND('331-CT'!$E$7=TH!H1292,OR(L1292="331",M1292="331")),"331",IF(AND(OR(L1292="131",M1292="131"),H1292='131-CT'!$E$7),"131",""))</f>
        <v/>
      </c>
      <c r="O1292" s="39" t="str">
        <f>IF(AND($B1292&gt;='111'!$N$11,$B1292&lt;='111'!$O$11,OR($L1292=$O$7,$M1292=$O$7)),"x","")</f>
        <v/>
      </c>
      <c r="P1292" s="39" t="str">
        <f>IF(AND($L1292=$O$7,$B1292&lt;'111'!$N$11),"x","")</f>
        <v/>
      </c>
      <c r="Q1292" s="39" t="str">
        <f>IF(AND($M1292=$O$7,$B1292&lt;'111'!$N$11),"x","")</f>
        <v/>
      </c>
      <c r="R1292" s="39" t="str">
        <f>IF(ISERROR(FIND('112'!$M$9,G1292,1)),"",IF((AND(FIND('112'!$M$9,G1292,1)&gt;=1,$B1292&gt;='112'!$N$8,$B1292&lt;='112'!$O$8,OR($L1292='112'!$I$6,$M1292='112'!$I$6))),"x",""))</f>
        <v/>
      </c>
      <c r="S1292" s="39" t="str">
        <f>IF(ISERROR(FIND('112'!$M$9,G1292,1)),"",IF((AND(LEFT(G1292,2)=LEFT('112'!$M$9,2),B1292&lt;'112'!$N$8,$L1292='112'!$I$6)),"x",""))</f>
        <v/>
      </c>
      <c r="T1292" s="39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39" t="str">
        <f>IF(OR(TH!L1292=TH!$V$7,M1292=TH!$V$7),"x","")</f>
        <v/>
      </c>
      <c r="W1292" s="39" t="str">
        <f>IF(AND(B1292&gt;='IN-NX'!$P$3,B1292&lt;='IN-NX'!$Q$3,'IN-NX'!$D$7=D1292,OR(LEFT(L1292,2)="15",AND(LEFT(M1292,2)&lt;&gt;"15",LEFT(M1292,2)&lt;&gt;"33"))),"x","")</f>
        <v/>
      </c>
      <c r="X1292" s="39" t="str">
        <f>IF(AND(OR(LEFT(TH!L1292,2)="15",LEFT(TH!M1292,2)="15"),'152-CT'!$J$8=TH!F1292),"x","")</f>
        <v/>
      </c>
      <c r="Y1292" s="39" t="str">
        <f>IF(AND(OR(LEFT(TH!L1292,2)="15",LEFT(TH!M1292,2)="15"),TK!$E$7=TH!F1292),"x","")</f>
        <v/>
      </c>
      <c r="Z1292" s="39" t="str">
        <f>IF(AND(B1292&lt;=NKC!$N$8,B1292&gt;=NKC!$M$8),"x","")</f>
        <v/>
      </c>
      <c r="AA1292" s="894"/>
    </row>
    <row r="1293" spans="1:27" ht="15.75" customHeight="1">
      <c r="A1293" s="199" t="str">
        <f>IF(B1293&lt;&gt;"",IF(AND(B1293&gt;=_TM1,B1293&lt;=_TM2,OR(TH!L1293="1111",TH!M1293="1111")),TH!D1293,""),"")</f>
        <v/>
      </c>
      <c r="B1293" s="36" t="str">
        <f t="shared" si="45"/>
        <v/>
      </c>
      <c r="C1293" s="37"/>
      <c r="D1293" s="37"/>
      <c r="E1293" s="37"/>
      <c r="F1293" s="40"/>
      <c r="G1293" s="40"/>
      <c r="H1293" s="7"/>
      <c r="I1293" s="253"/>
      <c r="J1293" s="253"/>
      <c r="K1293" s="606"/>
      <c r="L1293" s="39"/>
      <c r="M1293" s="39"/>
      <c r="N1293" s="39" t="str">
        <f>IF(AND('331-CT'!$E$7=TH!H1293,OR(L1293="331",M1293="331")),"331",IF(AND(OR(L1293="131",M1293="131"),H1293='131-CT'!$E$7),"131",""))</f>
        <v/>
      </c>
      <c r="O1293" s="39" t="str">
        <f>IF(AND($B1293&gt;='111'!$N$11,$B1293&lt;='111'!$O$11,OR($L1293=$O$7,$M1293=$O$7)),"x","")</f>
        <v/>
      </c>
      <c r="P1293" s="39" t="str">
        <f>IF(AND($L1293=$O$7,$B1293&lt;'111'!$N$11),"x","")</f>
        <v/>
      </c>
      <c r="Q1293" s="39" t="str">
        <f>IF(AND($M1293=$O$7,$B1293&lt;'111'!$N$11),"x","")</f>
        <v/>
      </c>
      <c r="R1293" s="39" t="str">
        <f>IF(ISERROR(FIND('112'!$M$9,G1293,1)),"",IF((AND(FIND('112'!$M$9,G1293,1)&gt;=1,$B1293&gt;='112'!$N$8,$B1293&lt;='112'!$O$8,OR($L1293='112'!$I$6,$M1293='112'!$I$6))),"x",""))</f>
        <v/>
      </c>
      <c r="S1293" s="39" t="str">
        <f>IF(ISERROR(FIND('112'!$M$9,G1293,1)),"",IF((AND(LEFT(G1293,2)=LEFT('112'!$M$9,2),B1293&lt;'112'!$N$8,$L1293='112'!$I$6)),"x",""))</f>
        <v/>
      </c>
      <c r="T1293" s="39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39" t="str">
        <f>IF(OR(TH!L1293=TH!$V$7,M1293=TH!$V$7),"x","")</f>
        <v/>
      </c>
      <c r="W1293" s="39" t="str">
        <f>IF(AND(B1293&gt;='IN-NX'!$P$3,B1293&lt;='IN-NX'!$Q$3,'IN-NX'!$D$7=D1293,OR(LEFT(L1293,2)="15",AND(LEFT(M1293,2)&lt;&gt;"15",LEFT(M1293,2)&lt;&gt;"33"))),"x","")</f>
        <v/>
      </c>
      <c r="X1293" s="39" t="str">
        <f>IF(AND(OR(LEFT(TH!L1293,2)="15",LEFT(TH!M1293,2)="15"),'152-CT'!$J$8=TH!F1293),"x","")</f>
        <v/>
      </c>
      <c r="Y1293" s="39" t="str">
        <f>IF(AND(OR(LEFT(TH!L1293,2)="15",LEFT(TH!M1293,2)="15"),TK!$E$7=TH!F1293),"x","")</f>
        <v/>
      </c>
      <c r="Z1293" s="39" t="str">
        <f>IF(AND(B1293&lt;=NKC!$N$8,B1293&gt;=NKC!$M$8),"x","")</f>
        <v/>
      </c>
      <c r="AA1293" s="894"/>
    </row>
    <row r="1294" spans="1:27" ht="15.75" customHeight="1">
      <c r="A1294" s="199" t="str">
        <f>IF(B1294&lt;&gt;"",IF(AND(B1294&gt;=_TM1,B1294&lt;=_TM2,OR(TH!L1294="1111",TH!M1294="1111")),TH!D1294,""),"")</f>
        <v/>
      </c>
      <c r="B1294" s="36" t="str">
        <f t="shared" si="45"/>
        <v/>
      </c>
      <c r="C1294" s="190"/>
      <c r="D1294" s="190"/>
      <c r="E1294" s="190"/>
      <c r="F1294" s="191"/>
      <c r="G1294" s="491"/>
      <c r="H1294" s="192"/>
      <c r="I1294" s="253"/>
      <c r="J1294" s="253"/>
      <c r="K1294" s="606"/>
      <c r="L1294" s="193"/>
      <c r="M1294" s="193"/>
      <c r="N1294" s="39" t="str">
        <f>IF(AND('331-CT'!$E$7=TH!H1294,OR(L1294="331",M1294="331")),"331",IF(AND(OR(L1294="131",M1294="131"),H1294='131-CT'!$E$7),"131",""))</f>
        <v/>
      </c>
      <c r="O1294" s="39" t="str">
        <f>IF(AND($B1294&gt;='111'!$N$11,$B1294&lt;='111'!$O$11,OR($L1294=$O$7,$M1294=$O$7)),"x","")</f>
        <v/>
      </c>
      <c r="P1294" s="39" t="str">
        <f>IF(AND($L1294=$O$7,$B1294&lt;'111'!$N$11),"x","")</f>
        <v/>
      </c>
      <c r="Q1294" s="39" t="str">
        <f>IF(AND($M1294=$O$7,$B1294&lt;'111'!$N$11),"x","")</f>
        <v/>
      </c>
      <c r="R1294" s="39" t="str">
        <f>IF(ISERROR(FIND('112'!$M$9,G1294,1)),"",IF((AND(FIND('112'!$M$9,G1294,1)&gt;=1,$B1294&gt;='112'!$N$8,$B1294&lt;='112'!$O$8,OR($L1294='112'!$I$6,$M1294='112'!$I$6))),"x",""))</f>
        <v/>
      </c>
      <c r="S1294" s="39" t="str">
        <f>IF(ISERROR(FIND('112'!$M$9,G1294,1)),"",IF((AND(LEFT(G1294,2)=LEFT('112'!$M$9,2),B1294&lt;'112'!$N$8,$L1294='112'!$I$6)),"x",""))</f>
        <v/>
      </c>
      <c r="T1294" s="39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39" t="str">
        <f>IF(OR(TH!L1294=TH!$V$7,M1294=TH!$V$7),"x","")</f>
        <v/>
      </c>
      <c r="W1294" s="39" t="str">
        <f>IF(AND(B1294&gt;='IN-NX'!$P$3,B1294&lt;='IN-NX'!$Q$3,'IN-NX'!$D$7=D1294,OR(LEFT(L1294,2)="15",AND(LEFT(M1294,2)&lt;&gt;"15",LEFT(M1294,2)&lt;&gt;"33"))),"x","")</f>
        <v/>
      </c>
      <c r="X1294" s="39" t="str">
        <f>IF(AND(OR(LEFT(TH!L1294,2)="15",LEFT(TH!M1294,2)="15"),'152-CT'!$J$8=TH!F1294),"x","")</f>
        <v/>
      </c>
      <c r="Y1294" s="39" t="str">
        <f>IF(AND(OR(LEFT(TH!L1294,2)="15",LEFT(TH!M1294,2)="15"),TK!$E$7=TH!F1294),"x","")</f>
        <v/>
      </c>
      <c r="Z1294" s="39" t="str">
        <f>IF(AND(B1294&lt;=NKC!$N$8,B1294&gt;=NKC!$M$8),"x","")</f>
        <v/>
      </c>
      <c r="AA1294" s="894"/>
    </row>
    <row r="1295" spans="1:27" ht="15.75" customHeight="1">
      <c r="A1295" s="199" t="str">
        <f>IF(B1295&lt;&gt;"",IF(AND(B1295&gt;=_TM1,B1295&lt;=_TM2,OR(TH!L1295="1111",TH!M1295="1111")),TH!D1295,""),"")</f>
        <v/>
      </c>
      <c r="B1295" s="36" t="str">
        <f t="shared" si="45"/>
        <v/>
      </c>
      <c r="C1295" s="190"/>
      <c r="D1295" s="190"/>
      <c r="E1295" s="190"/>
      <c r="F1295" s="191"/>
      <c r="G1295" s="491"/>
      <c r="H1295" s="192"/>
      <c r="I1295" s="254"/>
      <c r="J1295" s="254"/>
      <c r="K1295" s="606"/>
      <c r="L1295" s="193"/>
      <c r="M1295" s="193"/>
      <c r="N1295" s="39" t="str">
        <f>IF(AND('331-CT'!$E$7=TH!H1295,OR(L1295="331",M1295="331")),"331",IF(AND(OR(L1295="131",M1295="131"),H1295='131-CT'!$E$7),"131",""))</f>
        <v/>
      </c>
      <c r="O1295" s="39" t="str">
        <f>IF(AND($B1295&gt;='111'!$N$11,$B1295&lt;='111'!$O$11,OR($L1295=$O$7,$M1295=$O$7)),"x","")</f>
        <v/>
      </c>
      <c r="P1295" s="39" t="str">
        <f>IF(AND($L1295=$O$7,$B1295&lt;'111'!$N$11),"x","")</f>
        <v/>
      </c>
      <c r="Q1295" s="39" t="str">
        <f>IF(AND($M1295=$O$7,$B1295&lt;'111'!$N$11),"x","")</f>
        <v/>
      </c>
      <c r="R1295" s="39" t="str">
        <f>IF(ISERROR(FIND('112'!$M$9,G1295,1)),"",IF((AND(FIND('112'!$M$9,G1295,1)&gt;=1,$B1295&gt;='112'!$N$8,$B1295&lt;='112'!$O$8,OR($L1295='112'!$I$6,$M1295='112'!$I$6))),"x",""))</f>
        <v/>
      </c>
      <c r="S1295" s="39" t="str">
        <f>IF(ISERROR(FIND('112'!$M$9,G1295,1)),"",IF((AND(LEFT(G1295,2)=LEFT('112'!$M$9,2),B1295&lt;'112'!$N$8,$L1295='112'!$I$6)),"x",""))</f>
        <v/>
      </c>
      <c r="T1295" s="39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39" t="str">
        <f>IF(OR(TH!L1295=TH!$V$7,M1295=TH!$V$7),"x","")</f>
        <v/>
      </c>
      <c r="W1295" s="39" t="str">
        <f>IF(AND(B1295&gt;='IN-NX'!$P$3,B1295&lt;='IN-NX'!$Q$3,'IN-NX'!$D$7=D1295,OR(LEFT(L1295,2)="15",AND(LEFT(M1295,2)&lt;&gt;"15",LEFT(M1295,2)&lt;&gt;"33"))),"x","")</f>
        <v/>
      </c>
      <c r="X1295" s="39" t="str">
        <f>IF(AND(OR(LEFT(TH!L1295,2)="15",LEFT(TH!M1295,2)="15"),'152-CT'!$J$8=TH!F1295),"x","")</f>
        <v/>
      </c>
      <c r="Y1295" s="39" t="str">
        <f>IF(AND(OR(LEFT(TH!L1295,2)="15",LEFT(TH!M1295,2)="15"),TK!$E$7=TH!F1295),"x","")</f>
        <v/>
      </c>
      <c r="Z1295" s="39" t="str">
        <f>IF(AND(B1295&lt;=NKC!$N$8,B1295&gt;=NKC!$M$8),"x","")</f>
        <v/>
      </c>
      <c r="AA1295" s="894"/>
    </row>
    <row r="1296" spans="1:27" ht="15.75" customHeight="1">
      <c r="A1296" s="199" t="str">
        <f>IF(B1296&lt;&gt;"",IF(AND(B1296&gt;=_TM1,B1296&lt;=_TM2,OR(TH!L1296="1111",TH!M1296="1111")),TH!D1296,""),"")</f>
        <v/>
      </c>
      <c r="B1296" s="36" t="str">
        <f t="shared" si="45"/>
        <v/>
      </c>
      <c r="C1296" s="37"/>
      <c r="D1296" s="37"/>
      <c r="E1296" s="37"/>
      <c r="F1296" s="40"/>
      <c r="G1296" s="40"/>
      <c r="H1296" s="7"/>
      <c r="I1296" s="253"/>
      <c r="J1296" s="253"/>
      <c r="K1296" s="606"/>
      <c r="L1296" s="39"/>
      <c r="M1296" s="39"/>
      <c r="N1296" s="39" t="str">
        <f>IF(AND('331-CT'!$E$7=TH!H1296,OR(L1296="331",M1296="331")),"331",IF(AND(OR(L1296="131",M1296="131"),H1296='131-CT'!$E$7),"131",""))</f>
        <v/>
      </c>
      <c r="O1296" s="39" t="str">
        <f>IF(AND($B1296&gt;='111'!$N$11,$B1296&lt;='111'!$O$11,OR($L1296=$O$7,$M1296=$O$7)),"x","")</f>
        <v/>
      </c>
      <c r="P1296" s="39" t="str">
        <f>IF(AND($L1296=$O$7,$B1296&lt;'111'!$N$11),"x","")</f>
        <v/>
      </c>
      <c r="Q1296" s="39" t="str">
        <f>IF(AND($M1296=$O$7,$B1296&lt;'111'!$N$11),"x","")</f>
        <v/>
      </c>
      <c r="R1296" s="39" t="str">
        <f>IF(ISERROR(FIND('112'!$M$9,G1296,1)),"",IF((AND(FIND('112'!$M$9,G1296,1)&gt;=1,$B1296&gt;='112'!$N$8,$B1296&lt;='112'!$O$8,OR($L1296='112'!$I$6,$M1296='112'!$I$6))),"x",""))</f>
        <v/>
      </c>
      <c r="S1296" s="39" t="str">
        <f>IF(ISERROR(FIND('112'!$M$9,G1296,1)),"",IF((AND(LEFT(G1296,2)=LEFT('112'!$M$9,2),B1296&lt;'112'!$N$8,$L1296='112'!$I$6)),"x",""))</f>
        <v/>
      </c>
      <c r="T1296" s="39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39" t="str">
        <f>IF(OR(TH!L1296=TH!$V$7,M1296=TH!$V$7),"x","")</f>
        <v/>
      </c>
      <c r="W1296" s="39" t="str">
        <f>IF(AND(B1296&gt;='IN-NX'!$P$3,B1296&lt;='IN-NX'!$Q$3,'IN-NX'!$D$7=D1296,OR(LEFT(L1296,2)="15",AND(LEFT(M1296,2)&lt;&gt;"15",LEFT(M1296,2)&lt;&gt;"33"))),"x","")</f>
        <v/>
      </c>
      <c r="X1296" s="39" t="str">
        <f>IF(AND(OR(LEFT(TH!L1296,2)="15",LEFT(TH!M1296,2)="15"),'152-CT'!$J$8=TH!F1296),"x","")</f>
        <v/>
      </c>
      <c r="Y1296" s="39" t="str">
        <f>IF(AND(OR(LEFT(TH!L1296,2)="15",LEFT(TH!M1296,2)="15"),TK!$E$7=TH!F1296),"x","")</f>
        <v/>
      </c>
      <c r="Z1296" s="39" t="str">
        <f>IF(AND(B1296&lt;=NKC!$N$8,B1296&gt;=NKC!$M$8),"x","")</f>
        <v/>
      </c>
      <c r="AA1296" s="894"/>
    </row>
    <row r="1297" spans="1:27" ht="15.75" customHeight="1">
      <c r="A1297" s="199" t="str">
        <f>IF(B1297&lt;&gt;"",IF(AND(B1297&gt;=_TM1,B1297&lt;=_TM2,OR(TH!L1297="1111",TH!M1297="1111")),TH!D1297,""),"")</f>
        <v/>
      </c>
      <c r="B1297" s="36" t="str">
        <f t="shared" si="45"/>
        <v/>
      </c>
      <c r="C1297" s="37"/>
      <c r="D1297" s="37"/>
      <c r="E1297" s="37"/>
      <c r="F1297" s="40"/>
      <c r="G1297" s="40"/>
      <c r="H1297" s="7"/>
      <c r="I1297" s="253"/>
      <c r="J1297" s="253"/>
      <c r="K1297" s="606"/>
      <c r="L1297" s="39"/>
      <c r="M1297" s="39"/>
      <c r="N1297" s="39" t="str">
        <f>IF(AND('331-CT'!$E$7=TH!H1297,OR(L1297="331",M1297="331")),"331",IF(AND(OR(L1297="131",M1297="131"),H1297='131-CT'!$E$7),"131",""))</f>
        <v/>
      </c>
      <c r="O1297" s="39" t="str">
        <f>IF(AND($B1297&gt;='111'!$N$11,$B1297&lt;='111'!$O$11,OR($L1297=$O$7,$M1297=$O$7)),"x","")</f>
        <v/>
      </c>
      <c r="P1297" s="39" t="str">
        <f>IF(AND($L1297=$O$7,$B1297&lt;'111'!$N$11),"x","")</f>
        <v/>
      </c>
      <c r="Q1297" s="39" t="str">
        <f>IF(AND($M1297=$O$7,$B1297&lt;'111'!$N$11),"x","")</f>
        <v/>
      </c>
      <c r="R1297" s="39" t="str">
        <f>IF(ISERROR(FIND('112'!$M$9,G1297,1)),"",IF((AND(FIND('112'!$M$9,G1297,1)&gt;=1,$B1297&gt;='112'!$N$8,$B1297&lt;='112'!$O$8,OR($L1297='112'!$I$6,$M1297='112'!$I$6))),"x",""))</f>
        <v/>
      </c>
      <c r="S1297" s="39" t="str">
        <f>IF(ISERROR(FIND('112'!$M$9,G1297,1)),"",IF((AND(LEFT(G1297,2)=LEFT('112'!$M$9,2),B1297&lt;'112'!$N$8,$L1297='112'!$I$6)),"x",""))</f>
        <v/>
      </c>
      <c r="T1297" s="39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39" t="str">
        <f>IF(OR(TH!L1297=TH!$V$7,M1297=TH!$V$7),"x","")</f>
        <v/>
      </c>
      <c r="W1297" s="39" t="str">
        <f>IF(AND(B1297&gt;='IN-NX'!$P$3,B1297&lt;='IN-NX'!$Q$3,'IN-NX'!$D$7=D1297,OR(LEFT(L1297,2)="15",AND(LEFT(M1297,2)&lt;&gt;"15",LEFT(M1297,2)&lt;&gt;"33"))),"x","")</f>
        <v/>
      </c>
      <c r="X1297" s="39" t="str">
        <f>IF(AND(OR(LEFT(TH!L1297,2)="15",LEFT(TH!M1297,2)="15"),'152-CT'!$J$8=TH!F1297),"x","")</f>
        <v/>
      </c>
      <c r="Y1297" s="39" t="str">
        <f>IF(AND(OR(LEFT(TH!L1297,2)="15",LEFT(TH!M1297,2)="15"),TK!$E$7=TH!F1297),"x","")</f>
        <v/>
      </c>
      <c r="Z1297" s="39" t="str">
        <f>IF(AND(B1297&lt;=NKC!$N$8,B1297&gt;=NKC!$M$8),"x","")</f>
        <v/>
      </c>
      <c r="AA1297" s="894"/>
    </row>
    <row r="1298" spans="1:27" ht="15.75" customHeight="1">
      <c r="A1298" s="199" t="str">
        <f>IF(B1298&lt;&gt;"",IF(AND(B1298&gt;=_TM1,B1298&lt;=_TM2,OR(TH!L1298="1111",TH!M1298="1111")),TH!D1298,""),"")</f>
        <v/>
      </c>
      <c r="B1298" s="36" t="str">
        <f t="shared" si="45"/>
        <v/>
      </c>
      <c r="C1298" s="183"/>
      <c r="D1298" s="183"/>
      <c r="E1298" s="190"/>
      <c r="F1298" s="188"/>
      <c r="G1298" s="608"/>
      <c r="H1298" s="7"/>
      <c r="I1298" s="253"/>
      <c r="J1298" s="253"/>
      <c r="K1298" s="606"/>
      <c r="L1298" s="607"/>
      <c r="M1298" s="607"/>
      <c r="N1298" s="39" t="str">
        <f>IF(AND('331-CT'!$E$7=TH!H1298,OR(L1298="331",M1298="331")),"331",IF(AND(OR(L1298="131",M1298="131"),H1298='131-CT'!$E$7),"131",""))</f>
        <v/>
      </c>
      <c r="O1298" s="39" t="str">
        <f>IF(AND($B1298&gt;='111'!$N$11,$B1298&lt;='111'!$O$11,OR($L1298=$O$7,$M1298=$O$7)),"x","")</f>
        <v/>
      </c>
      <c r="P1298" s="39" t="str">
        <f>IF(AND($L1298=$O$7,$B1298&lt;'111'!$N$11),"x","")</f>
        <v/>
      </c>
      <c r="Q1298" s="39" t="str">
        <f>IF(AND($M1298=$O$7,$B1298&lt;'111'!$N$11),"x","")</f>
        <v/>
      </c>
      <c r="R1298" s="39" t="str">
        <f>IF(ISERROR(FIND('112'!$M$9,G1298,1)),"",IF((AND(FIND('112'!$M$9,G1298,1)&gt;=1,$B1298&gt;='112'!$N$8,$B1298&lt;='112'!$O$8,OR($L1298='112'!$I$6,$M1298='112'!$I$6))),"x",""))</f>
        <v/>
      </c>
      <c r="S1298" s="39" t="str">
        <f>IF(ISERROR(FIND('112'!$M$9,G1298,1)),"",IF((AND(LEFT(G1298,2)=LEFT('112'!$M$9,2),B1298&lt;'112'!$N$8,$L1298='112'!$I$6)),"x",""))</f>
        <v/>
      </c>
      <c r="T1298" s="39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39" t="str">
        <f>IF(OR(TH!L1298=TH!$V$7,M1298=TH!$V$7),"x","")</f>
        <v/>
      </c>
      <c r="W1298" s="39" t="str">
        <f>IF(AND(B1298&gt;='IN-NX'!$P$3,B1298&lt;='IN-NX'!$Q$3,'IN-NX'!$D$7=D1298,OR(LEFT(L1298,2)="15",AND(LEFT(M1298,2)&lt;&gt;"15",LEFT(M1298,2)&lt;&gt;"33"))),"x","")</f>
        <v/>
      </c>
      <c r="X1298" s="39" t="str">
        <f>IF(AND(OR(LEFT(TH!L1298,2)="15",LEFT(TH!M1298,2)="15"),'152-CT'!$J$8=TH!F1298),"x","")</f>
        <v/>
      </c>
      <c r="Y1298" s="39" t="str">
        <f>IF(AND(OR(LEFT(TH!L1298,2)="15",LEFT(TH!M1298,2)="15"),TK!$E$7=TH!F1298),"x","")</f>
        <v/>
      </c>
      <c r="Z1298" s="39" t="str">
        <f>IF(AND(B1298&lt;=NKC!$N$8,B1298&gt;=NKC!$M$8),"x","")</f>
        <v/>
      </c>
      <c r="AA1298" s="894"/>
    </row>
    <row r="1299" spans="1:27" ht="15.75" customHeight="1">
      <c r="A1299" s="199" t="str">
        <f>IF(B1299&lt;&gt;"",IF(AND(B1299&gt;=_TM1,B1299&lt;=_TM2,OR(TH!L1299="1111",TH!M1299="1111")),TH!D1299,""),"")</f>
        <v/>
      </c>
      <c r="B1299" s="36" t="str">
        <f t="shared" si="45"/>
        <v/>
      </c>
      <c r="C1299" s="190"/>
      <c r="D1299" s="183"/>
      <c r="E1299" s="190"/>
      <c r="F1299" s="191"/>
      <c r="G1299" s="491"/>
      <c r="H1299" s="192"/>
      <c r="I1299" s="253"/>
      <c r="J1299" s="253"/>
      <c r="K1299" s="38"/>
      <c r="L1299" s="193"/>
      <c r="M1299" s="193"/>
      <c r="N1299" s="39" t="str">
        <f>IF(AND('331-CT'!$E$7=TH!H1299,OR(L1299="331",M1299="331")),"331",IF(AND(OR(L1299="131",M1299="131"),H1299='131-CT'!$E$7),"131",""))</f>
        <v/>
      </c>
      <c r="O1299" s="39" t="str">
        <f>IF(AND($B1299&gt;='111'!$N$11,$B1299&lt;='111'!$O$11,OR($L1299=$O$7,$M1299=$O$7)),"x","")</f>
        <v/>
      </c>
      <c r="P1299" s="39" t="str">
        <f>IF(AND($L1299=$O$7,$B1299&lt;'111'!$N$11),"x","")</f>
        <v/>
      </c>
      <c r="Q1299" s="39" t="str">
        <f>IF(AND($M1299=$O$7,$B1299&lt;'111'!$N$11),"x","")</f>
        <v/>
      </c>
      <c r="R1299" s="39" t="str">
        <f>IF(ISERROR(FIND('112'!$M$9,G1299,1)),"",IF((AND(FIND('112'!$M$9,G1299,1)&gt;=1,$B1299&gt;='112'!$N$8,$B1299&lt;='112'!$O$8,OR($L1299='112'!$I$6,$M1299='112'!$I$6))),"x",""))</f>
        <v/>
      </c>
      <c r="S1299" s="39" t="str">
        <f>IF(ISERROR(FIND('112'!$M$9,G1299,1)),"",IF((AND(LEFT(G1299,2)=LEFT('112'!$M$9,2),B1299&lt;'112'!$N$8,$L1299='112'!$I$6)),"x",""))</f>
        <v/>
      </c>
      <c r="T1299" s="39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39" t="str">
        <f>IF(OR(TH!L1299=TH!$V$7,M1299=TH!$V$7),"x","")</f>
        <v/>
      </c>
      <c r="W1299" s="39" t="str">
        <f>IF(AND(B1299&gt;='IN-NX'!$P$3,B1299&lt;='IN-NX'!$Q$3,'IN-NX'!$D$7=D1299,OR(LEFT(L1299,2)="15",AND(LEFT(M1299,2)&lt;&gt;"15",LEFT(M1299,2)&lt;&gt;"33"))),"x","")</f>
        <v/>
      </c>
      <c r="X1299" s="39" t="str">
        <f>IF(AND(OR(LEFT(TH!L1299,2)="15",LEFT(TH!M1299,2)="15"),'152-CT'!$J$8=TH!F1299),"x","")</f>
        <v/>
      </c>
      <c r="Y1299" s="39" t="str">
        <f>IF(AND(OR(LEFT(TH!L1299,2)="15",LEFT(TH!M1299,2)="15"),TK!$E$7=TH!F1299),"x","")</f>
        <v/>
      </c>
      <c r="Z1299" s="39" t="str">
        <f>IF(AND(B1299&lt;=NKC!$N$8,B1299&gt;=NKC!$M$8),"x","")</f>
        <v/>
      </c>
      <c r="AA1299" s="894"/>
    </row>
    <row r="1300" spans="1:27" ht="15.75" customHeight="1">
      <c r="A1300" s="199" t="str">
        <f>IF(B1300&lt;&gt;"",IF(AND(B1300&gt;=_TM1,B1300&lt;=_TM2,OR(TH!L1300="1111",TH!M1300="1111")),TH!D1300,""),"")</f>
        <v/>
      </c>
      <c r="B1300" s="36" t="str">
        <f t="shared" si="45"/>
        <v/>
      </c>
      <c r="C1300" s="190"/>
      <c r="D1300" s="183"/>
      <c r="E1300" s="190"/>
      <c r="F1300" s="191"/>
      <c r="G1300" s="491"/>
      <c r="H1300" s="192"/>
      <c r="I1300" s="253"/>
      <c r="J1300" s="253"/>
      <c r="K1300" s="38"/>
      <c r="L1300" s="193"/>
      <c r="M1300" s="193"/>
      <c r="N1300" s="39" t="str">
        <f>IF(AND('331-CT'!$E$7=TH!H1300,OR(L1300="331",M1300="331")),"331",IF(AND(OR(L1300="131",M1300="131"),H1300='131-CT'!$E$7),"131",""))</f>
        <v/>
      </c>
      <c r="O1300" s="39" t="str">
        <f>IF(AND($B1300&gt;='111'!$N$11,$B1300&lt;='111'!$O$11,OR($L1300=$O$7,$M1300=$O$7)),"x","")</f>
        <v/>
      </c>
      <c r="P1300" s="39" t="str">
        <f>IF(AND($L1300=$O$7,$B1300&lt;'111'!$N$11),"x","")</f>
        <v/>
      </c>
      <c r="Q1300" s="39" t="str">
        <f>IF(AND($M1300=$O$7,$B1300&lt;'111'!$N$11),"x","")</f>
        <v/>
      </c>
      <c r="R1300" s="39" t="str">
        <f>IF(ISERROR(FIND('112'!$M$9,G1300,1)),"",IF((AND(FIND('112'!$M$9,G1300,1)&gt;=1,$B1300&gt;='112'!$N$8,$B1300&lt;='112'!$O$8,OR($L1300='112'!$I$6,$M1300='112'!$I$6))),"x",""))</f>
        <v/>
      </c>
      <c r="S1300" s="39" t="str">
        <f>IF(ISERROR(FIND('112'!$M$9,G1300,1)),"",IF((AND(LEFT(G1300,2)=LEFT('112'!$M$9,2),B1300&lt;'112'!$N$8,$L1300='112'!$I$6)),"x",""))</f>
        <v/>
      </c>
      <c r="T1300" s="39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39" t="str">
        <f>IF(OR(TH!L1300=TH!$V$7,M1300=TH!$V$7),"x","")</f>
        <v/>
      </c>
      <c r="W1300" s="39" t="str">
        <f>IF(AND(B1300&gt;='IN-NX'!$P$3,B1300&lt;='IN-NX'!$Q$3,'IN-NX'!$D$7=D1300,OR(LEFT(L1300,2)="15",AND(LEFT(M1300,2)&lt;&gt;"15",LEFT(M1300,2)&lt;&gt;"33"))),"x","")</f>
        <v/>
      </c>
      <c r="X1300" s="39" t="str">
        <f>IF(AND(OR(LEFT(TH!L1300,2)="15",LEFT(TH!M1300,2)="15"),'152-CT'!$J$8=TH!F1300),"x","")</f>
        <v/>
      </c>
      <c r="Y1300" s="39" t="str">
        <f>IF(AND(OR(LEFT(TH!L1300,2)="15",LEFT(TH!M1300,2)="15"),TK!$E$7=TH!F1300),"x","")</f>
        <v/>
      </c>
      <c r="Z1300" s="39" t="str">
        <f>IF(AND(B1300&lt;=NKC!$N$8,B1300&gt;=NKC!$M$8),"x","")</f>
        <v/>
      </c>
      <c r="AA1300" s="894"/>
    </row>
    <row r="1301" spans="1:27" ht="15.75" customHeight="1">
      <c r="A1301" s="199" t="str">
        <f>IF(B1301&lt;&gt;"",IF(AND(B1301&gt;=_TM1,B1301&lt;=_TM2,OR(TH!L1301="1111",TH!M1301="1111")),TH!D1301,""),"")</f>
        <v/>
      </c>
      <c r="B1301" s="36" t="str">
        <f t="shared" si="45"/>
        <v/>
      </c>
      <c r="C1301" s="183"/>
      <c r="D1301" s="183"/>
      <c r="E1301" s="190"/>
      <c r="F1301" s="188"/>
      <c r="G1301" s="608"/>
      <c r="H1301" s="7"/>
      <c r="I1301" s="253"/>
      <c r="J1301" s="253"/>
      <c r="K1301" s="606"/>
      <c r="L1301" s="607"/>
      <c r="M1301" s="607"/>
      <c r="N1301" s="39" t="str">
        <f>IF(AND('331-CT'!$E$7=TH!H1301,OR(L1301="331",M1301="331")),"331",IF(AND(OR(L1301="131",M1301="131"),H1301='131-CT'!$E$7),"131",""))</f>
        <v/>
      </c>
      <c r="O1301" s="39" t="str">
        <f>IF(AND($B1301&gt;='111'!$N$11,$B1301&lt;='111'!$O$11,OR($L1301=$O$7,$M1301=$O$7)),"x","")</f>
        <v/>
      </c>
      <c r="P1301" s="39" t="str">
        <f>IF(AND($L1301=$O$7,$B1301&lt;'111'!$N$11),"x","")</f>
        <v/>
      </c>
      <c r="Q1301" s="39" t="str">
        <f>IF(AND($M1301=$O$7,$B1301&lt;'111'!$N$11),"x","")</f>
        <v/>
      </c>
      <c r="R1301" s="39" t="str">
        <f>IF(ISERROR(FIND('112'!$M$9,G1301,1)),"",IF((AND(FIND('112'!$M$9,G1301,1)&gt;=1,$B1301&gt;='112'!$N$8,$B1301&lt;='112'!$O$8,OR($L1301='112'!$I$6,$M1301='112'!$I$6))),"x",""))</f>
        <v/>
      </c>
      <c r="S1301" s="39" t="str">
        <f>IF(ISERROR(FIND('112'!$M$9,G1301,1)),"",IF((AND(LEFT(G1301,2)=LEFT('112'!$M$9,2),B1301&lt;'112'!$N$8,$L1301='112'!$I$6)),"x",""))</f>
        <v/>
      </c>
      <c r="T1301" s="39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39" t="str">
        <f>IF(OR(TH!L1301=TH!$V$7,M1301=TH!$V$7),"x","")</f>
        <v/>
      </c>
      <c r="W1301" s="39" t="str">
        <f>IF(AND(B1301&gt;='IN-NX'!$P$3,B1301&lt;='IN-NX'!$Q$3,'IN-NX'!$D$7=D1301,OR(LEFT(L1301,2)="15",AND(LEFT(M1301,2)&lt;&gt;"15",LEFT(M1301,2)&lt;&gt;"33"))),"x","")</f>
        <v/>
      </c>
      <c r="X1301" s="39" t="str">
        <f>IF(AND(OR(LEFT(TH!L1301,2)="15",LEFT(TH!M1301,2)="15"),'152-CT'!$J$8=TH!F1301),"x","")</f>
        <v/>
      </c>
      <c r="Y1301" s="39" t="str">
        <f>IF(AND(OR(LEFT(TH!L1301,2)="15",LEFT(TH!M1301,2)="15"),TK!$E$7=TH!F1301),"x","")</f>
        <v/>
      </c>
      <c r="Z1301" s="39" t="str">
        <f>IF(AND(B1301&lt;=NKC!$N$8,B1301&gt;=NKC!$M$8),"x","")</f>
        <v/>
      </c>
      <c r="AA1301" s="894"/>
    </row>
    <row r="1302" spans="1:27" ht="15.75" customHeight="1">
      <c r="A1302" s="199" t="str">
        <f>IF(B1302&lt;&gt;"",IF(AND(B1302&gt;=_TM1,B1302&lt;=_TM2,OR(TH!L1302="1111",TH!M1302="1111")),TH!D1302,""),"")</f>
        <v/>
      </c>
      <c r="B1302" s="36" t="str">
        <f t="shared" si="45"/>
        <v/>
      </c>
      <c r="C1302" s="183"/>
      <c r="D1302" s="183"/>
      <c r="E1302" s="190"/>
      <c r="F1302" s="188"/>
      <c r="G1302" s="608"/>
      <c r="H1302" s="7"/>
      <c r="I1302" s="253"/>
      <c r="J1302" s="253"/>
      <c r="K1302" s="606"/>
      <c r="L1302" s="607"/>
      <c r="M1302" s="607"/>
      <c r="N1302" s="39" t="str">
        <f>IF(AND('331-CT'!$E$7=TH!H1302,OR(L1302="331",M1302="331")),"331",IF(AND(OR(L1302="131",M1302="131"),H1302='131-CT'!$E$7),"131",""))</f>
        <v/>
      </c>
      <c r="O1302" s="39" t="str">
        <f>IF(AND($B1302&gt;='111'!$N$11,$B1302&lt;='111'!$O$11,OR($L1302=$O$7,$M1302=$O$7)),"x","")</f>
        <v/>
      </c>
      <c r="P1302" s="39" t="str">
        <f>IF(AND($L1302=$O$7,$B1302&lt;'111'!$N$11),"x","")</f>
        <v/>
      </c>
      <c r="Q1302" s="39" t="str">
        <f>IF(AND($M1302=$O$7,$B1302&lt;'111'!$N$11),"x","")</f>
        <v/>
      </c>
      <c r="R1302" s="39" t="str">
        <f>IF(ISERROR(FIND('112'!$M$9,G1302,1)),"",IF((AND(FIND('112'!$M$9,G1302,1)&gt;=1,$B1302&gt;='112'!$N$8,$B1302&lt;='112'!$O$8,OR($L1302='112'!$I$6,$M1302='112'!$I$6))),"x",""))</f>
        <v/>
      </c>
      <c r="S1302" s="39" t="str">
        <f>IF(ISERROR(FIND('112'!$M$9,G1302,1)),"",IF((AND(LEFT(G1302,2)=LEFT('112'!$M$9,2),B1302&lt;'112'!$N$8,$L1302='112'!$I$6)),"x",""))</f>
        <v/>
      </c>
      <c r="T1302" s="39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39" t="str">
        <f>IF(OR(TH!L1302=TH!$V$7,M1302=TH!$V$7),"x","")</f>
        <v/>
      </c>
      <c r="W1302" s="39" t="str">
        <f>IF(AND(B1302&gt;='IN-NX'!$P$3,B1302&lt;='IN-NX'!$Q$3,'IN-NX'!$D$7=D1302,OR(LEFT(L1302,2)="15",AND(LEFT(M1302,2)&lt;&gt;"15",LEFT(M1302,2)&lt;&gt;"33"))),"x","")</f>
        <v/>
      </c>
      <c r="X1302" s="39" t="str">
        <f>IF(AND(OR(LEFT(TH!L1302,2)="15",LEFT(TH!M1302,2)="15"),'152-CT'!$J$8=TH!F1302),"x","")</f>
        <v/>
      </c>
      <c r="Y1302" s="39" t="str">
        <f>IF(AND(OR(LEFT(TH!L1302,2)="15",LEFT(TH!M1302,2)="15"),TK!$E$7=TH!F1302),"x","")</f>
        <v/>
      </c>
      <c r="Z1302" s="39" t="str">
        <f>IF(AND(B1302&lt;=NKC!$N$8,B1302&gt;=NKC!$M$8),"x","")</f>
        <v/>
      </c>
      <c r="AA1302" s="894"/>
    </row>
    <row r="1303" spans="1:27" ht="15.75" customHeight="1">
      <c r="A1303" s="199" t="str">
        <f>IF(B1303&lt;&gt;"",IF(AND(B1303&gt;=_TM1,B1303&lt;=_TM2,OR(TH!L1303="1111",TH!M1303="1111")),TH!D1303,""),"")</f>
        <v/>
      </c>
      <c r="B1303" s="36" t="str">
        <f t="shared" si="45"/>
        <v/>
      </c>
      <c r="C1303" s="37"/>
      <c r="D1303" s="37"/>
      <c r="E1303" s="776"/>
      <c r="F1303" s="40"/>
      <c r="G1303" s="40"/>
      <c r="H1303" s="7"/>
      <c r="I1303" s="253"/>
      <c r="J1303" s="253"/>
      <c r="K1303" s="606"/>
      <c r="L1303" s="39"/>
      <c r="M1303" s="39"/>
      <c r="N1303" s="39" t="str">
        <f>IF(AND('331-CT'!$E$7=TH!H1303,OR(L1303="331",M1303="331")),"331",IF(AND(OR(L1303="131",M1303="131"),H1303='131-CT'!$E$7),"131",""))</f>
        <v/>
      </c>
      <c r="O1303" s="39" t="str">
        <f>IF(AND($B1303&gt;='111'!$N$11,$B1303&lt;='111'!$O$11,OR($L1303=$O$7,$M1303=$O$7)),"x","")</f>
        <v/>
      </c>
      <c r="P1303" s="39" t="str">
        <f>IF(AND($L1303=$O$7,$B1303&lt;'111'!$N$11),"x","")</f>
        <v/>
      </c>
      <c r="Q1303" s="39" t="str">
        <f>IF(AND($M1303=$O$7,$B1303&lt;'111'!$N$11),"x","")</f>
        <v/>
      </c>
      <c r="R1303" s="39" t="str">
        <f>IF(ISERROR(FIND('112'!$M$9,G1303,1)),"",IF((AND(FIND('112'!$M$9,G1303,1)&gt;=1,$B1303&gt;='112'!$N$8,$B1303&lt;='112'!$O$8,OR($L1303='112'!$I$6,$M1303='112'!$I$6))),"x",""))</f>
        <v/>
      </c>
      <c r="S1303" s="39" t="str">
        <f>IF(ISERROR(FIND('112'!$M$9,G1303,1)),"",IF((AND(LEFT(G1303,2)=LEFT('112'!$M$9,2),B1303&lt;'112'!$N$8,$L1303='112'!$I$6)),"x",""))</f>
        <v/>
      </c>
      <c r="T1303" s="39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39" t="str">
        <f>IF(OR(TH!L1303=TH!$V$7,M1303=TH!$V$7),"x","")</f>
        <v/>
      </c>
      <c r="W1303" s="39" t="str">
        <f>IF(AND(B1303&gt;='IN-NX'!$P$3,B1303&lt;='IN-NX'!$Q$3,'IN-NX'!$D$7=D1303,OR(LEFT(L1303,2)="15",AND(LEFT(M1303,2)&lt;&gt;"15",LEFT(M1303,2)&lt;&gt;"33"))),"x","")</f>
        <v/>
      </c>
      <c r="X1303" s="39" t="str">
        <f>IF(AND(OR(LEFT(TH!L1303,2)="15",LEFT(TH!M1303,2)="15"),'152-CT'!$J$8=TH!F1303),"x","")</f>
        <v/>
      </c>
      <c r="Y1303" s="39" t="str">
        <f>IF(AND(OR(LEFT(TH!L1303,2)="15",LEFT(TH!M1303,2)="15"),TK!$E$7=TH!F1303),"x","")</f>
        <v/>
      </c>
      <c r="Z1303" s="39" t="str">
        <f>IF(AND(B1303&lt;=NKC!$N$8,B1303&gt;=NKC!$M$8),"x","")</f>
        <v/>
      </c>
      <c r="AA1303" s="894"/>
    </row>
    <row r="1304" spans="1:27" ht="15.75" customHeight="1">
      <c r="A1304" s="199" t="str">
        <f>IF(B1304&lt;&gt;"",IF(AND(B1304&gt;=_TM1,B1304&lt;=_TM2,OR(TH!L1304="1111",TH!M1304="1111")),TH!D1304,""),"")</f>
        <v/>
      </c>
      <c r="B1304" s="36" t="str">
        <f t="shared" si="45"/>
        <v/>
      </c>
      <c r="C1304" s="190"/>
      <c r="D1304" s="183"/>
      <c r="E1304" s="798"/>
      <c r="F1304" s="191"/>
      <c r="G1304" s="491"/>
      <c r="H1304" s="192"/>
      <c r="I1304" s="253"/>
      <c r="J1304" s="253"/>
      <c r="K1304" s="38"/>
      <c r="L1304" s="193"/>
      <c r="M1304" s="193"/>
      <c r="N1304" s="39" t="str">
        <f>IF(AND('331-CT'!$E$7=TH!H1304,OR(L1304="331",M1304="331")),"331",IF(AND(OR(L1304="131",M1304="131"),H1304='131-CT'!$E$7),"131",""))</f>
        <v/>
      </c>
      <c r="O1304" s="39" t="str">
        <f>IF(AND($B1304&gt;='111'!$N$11,$B1304&lt;='111'!$O$11,OR($L1304=$O$7,$M1304=$O$7)),"x","")</f>
        <v/>
      </c>
      <c r="P1304" s="39" t="str">
        <f>IF(AND($L1304=$O$7,$B1304&lt;'111'!$N$11),"x","")</f>
        <v/>
      </c>
      <c r="Q1304" s="39" t="str">
        <f>IF(AND($M1304=$O$7,$B1304&lt;'111'!$N$11),"x","")</f>
        <v/>
      </c>
      <c r="R1304" s="39" t="str">
        <f>IF(ISERROR(FIND('112'!$M$9,G1304,1)),"",IF((AND(FIND('112'!$M$9,G1304,1)&gt;=1,$B1304&gt;='112'!$N$8,$B1304&lt;='112'!$O$8,OR($L1304='112'!$I$6,$M1304='112'!$I$6))),"x",""))</f>
        <v/>
      </c>
      <c r="S1304" s="39" t="str">
        <f>IF(ISERROR(FIND('112'!$M$9,G1304,1)),"",IF((AND(LEFT(G1304,2)=LEFT('112'!$M$9,2),B1304&lt;'112'!$N$8,$L1304='112'!$I$6)),"x",""))</f>
        <v/>
      </c>
      <c r="T1304" s="39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39" t="str">
        <f>IF(OR(TH!L1304=TH!$V$7,M1304=TH!$V$7),"x","")</f>
        <v/>
      </c>
      <c r="W1304" s="39" t="str">
        <f>IF(AND(B1304&gt;='IN-NX'!$P$3,B1304&lt;='IN-NX'!$Q$3,'IN-NX'!$D$7=D1304,OR(LEFT(L1304,2)="15",AND(LEFT(M1304,2)&lt;&gt;"15",LEFT(M1304,2)&lt;&gt;"33"))),"x","")</f>
        <v/>
      </c>
      <c r="X1304" s="39" t="str">
        <f>IF(AND(OR(LEFT(TH!L1304,2)="15",LEFT(TH!M1304,2)="15"),'152-CT'!$J$8=TH!F1304),"x","")</f>
        <v/>
      </c>
      <c r="Y1304" s="39" t="str">
        <f>IF(AND(OR(LEFT(TH!L1304,2)="15",LEFT(TH!M1304,2)="15"),TK!$E$7=TH!F1304),"x","")</f>
        <v/>
      </c>
      <c r="Z1304" s="39" t="str">
        <f>IF(AND(B1304&lt;=NKC!$N$8,B1304&gt;=NKC!$M$8),"x","")</f>
        <v/>
      </c>
      <c r="AA1304" s="894"/>
    </row>
    <row r="1305" spans="1:27" ht="15.75" customHeight="1">
      <c r="A1305" s="199" t="str">
        <f>IF(B1305&lt;&gt;"",IF(AND(B1305&gt;=_TM1,B1305&lt;=_TM2,OR(TH!L1305="1111",TH!M1305="1111")),TH!D1305,""),"")</f>
        <v/>
      </c>
      <c r="B1305" s="36" t="str">
        <f t="shared" ref="B1305:B1368" si="46">IF(C1305&lt;&gt;"",MONTH(C1305),"")</f>
        <v/>
      </c>
      <c r="C1305" s="190"/>
      <c r="D1305" s="183"/>
      <c r="E1305" s="798"/>
      <c r="F1305" s="191"/>
      <c r="G1305" s="491"/>
      <c r="H1305" s="192"/>
      <c r="I1305" s="253"/>
      <c r="J1305" s="253"/>
      <c r="K1305" s="38"/>
      <c r="L1305" s="193"/>
      <c r="M1305" s="193"/>
      <c r="N1305" s="39" t="str">
        <f>IF(AND('331-CT'!$E$7=TH!H1305,OR(L1305="331",M1305="331")),"331",IF(AND(OR(L1305="131",M1305="131"),H1305='131-CT'!$E$7),"131",""))</f>
        <v/>
      </c>
      <c r="O1305" s="39" t="str">
        <f>IF(AND($B1305&gt;='111'!$N$11,$B1305&lt;='111'!$O$11,OR($L1305=$O$7,$M1305=$O$7)),"x","")</f>
        <v/>
      </c>
      <c r="P1305" s="39" t="str">
        <f>IF(AND($L1305=$O$7,$B1305&lt;'111'!$N$11),"x","")</f>
        <v/>
      </c>
      <c r="Q1305" s="39" t="str">
        <f>IF(AND($M1305=$O$7,$B1305&lt;'111'!$N$11),"x","")</f>
        <v/>
      </c>
      <c r="R1305" s="39" t="str">
        <f>IF(ISERROR(FIND('112'!$M$9,G1305,1)),"",IF((AND(FIND('112'!$M$9,G1305,1)&gt;=1,$B1305&gt;='112'!$N$8,$B1305&lt;='112'!$O$8,OR($L1305='112'!$I$6,$M1305='112'!$I$6))),"x",""))</f>
        <v/>
      </c>
      <c r="S1305" s="39" t="str">
        <f>IF(ISERROR(FIND('112'!$M$9,G1305,1)),"",IF((AND(LEFT(G1305,2)=LEFT('112'!$M$9,2),B1305&lt;'112'!$N$8,$L1305='112'!$I$6)),"x",""))</f>
        <v/>
      </c>
      <c r="T1305" s="39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39" t="str">
        <f>IF(OR(TH!L1305=TH!$V$7,M1305=TH!$V$7),"x","")</f>
        <v/>
      </c>
      <c r="W1305" s="39" t="str">
        <f>IF(AND(B1305&gt;='IN-NX'!$P$3,B1305&lt;='IN-NX'!$Q$3,'IN-NX'!$D$7=D1305,OR(LEFT(L1305,2)="15",AND(LEFT(M1305,2)&lt;&gt;"15",LEFT(M1305,2)&lt;&gt;"33"))),"x","")</f>
        <v/>
      </c>
      <c r="X1305" s="39" t="str">
        <f>IF(AND(OR(LEFT(TH!L1305,2)="15",LEFT(TH!M1305,2)="15"),'152-CT'!$J$8=TH!F1305),"x","")</f>
        <v/>
      </c>
      <c r="Y1305" s="39" t="str">
        <f>IF(AND(OR(LEFT(TH!L1305,2)="15",LEFT(TH!M1305,2)="15"),TK!$E$7=TH!F1305),"x","")</f>
        <v/>
      </c>
      <c r="Z1305" s="39" t="str">
        <f>IF(AND(B1305&lt;=NKC!$N$8,B1305&gt;=NKC!$M$8),"x","")</f>
        <v/>
      </c>
      <c r="AA1305" s="894"/>
    </row>
    <row r="1306" spans="1:27" ht="15.75" customHeight="1">
      <c r="A1306" s="199" t="str">
        <f>IF(B1306&lt;&gt;"",IF(AND(B1306&gt;=_TM1,B1306&lt;=_TM2,OR(TH!L1306="1111",TH!M1306="1111")),TH!D1306,""),"")</f>
        <v/>
      </c>
      <c r="B1306" s="36" t="str">
        <f t="shared" si="46"/>
        <v/>
      </c>
      <c r="C1306" s="190"/>
      <c r="D1306" s="183"/>
      <c r="E1306" s="190"/>
      <c r="F1306" s="293"/>
      <c r="G1306" s="491"/>
      <c r="H1306" s="7"/>
      <c r="I1306" s="253"/>
      <c r="J1306" s="253"/>
      <c r="K1306" s="606"/>
      <c r="L1306" s="193"/>
      <c r="M1306" s="193"/>
      <c r="N1306" s="39" t="str">
        <f>IF(AND('331-CT'!$E$7=TH!H1306,OR(L1306="331",M1306="331")),"331",IF(AND(OR(L1306="131",M1306="131"),H1306='131-CT'!$E$7),"131",""))</f>
        <v/>
      </c>
      <c r="O1306" s="39" t="str">
        <f>IF(AND($B1306&gt;='111'!$N$11,$B1306&lt;='111'!$O$11,OR($L1306=$O$7,$M1306=$O$7)),"x","")</f>
        <v/>
      </c>
      <c r="P1306" s="39" t="str">
        <f>IF(AND($L1306=$O$7,$B1306&lt;'111'!$N$11),"x","")</f>
        <v/>
      </c>
      <c r="Q1306" s="39" t="str">
        <f>IF(AND($M1306=$O$7,$B1306&lt;'111'!$N$11),"x","")</f>
        <v/>
      </c>
      <c r="R1306" s="39" t="str">
        <f>IF(ISERROR(FIND('112'!$M$9,G1306,1)),"",IF((AND(FIND('112'!$M$9,G1306,1)&gt;=1,$B1306&gt;='112'!$N$8,$B1306&lt;='112'!$O$8,OR($L1306='112'!$I$6,$M1306='112'!$I$6))),"x",""))</f>
        <v/>
      </c>
      <c r="S1306" s="39" t="str">
        <f>IF(ISERROR(FIND('112'!$M$9,G1306,1)),"",IF((AND(LEFT(G1306,2)=LEFT('112'!$M$9,2),B1306&lt;'112'!$N$8,$L1306='112'!$I$6)),"x",""))</f>
        <v/>
      </c>
      <c r="T1306" s="39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39" t="str">
        <f>IF(OR(TH!L1306=TH!$V$7,M1306=TH!$V$7),"x","")</f>
        <v/>
      </c>
      <c r="W1306" s="39" t="str">
        <f>IF(AND(B1306&gt;='IN-NX'!$P$3,B1306&lt;='IN-NX'!$Q$3,'IN-NX'!$D$7=D1306,OR(LEFT(L1306,2)="15",AND(LEFT(M1306,2)&lt;&gt;"15",LEFT(M1306,2)&lt;&gt;"33"))),"x","")</f>
        <v/>
      </c>
      <c r="X1306" s="39" t="str">
        <f>IF(AND(OR(LEFT(TH!L1306,2)="15",LEFT(TH!M1306,2)="15"),'152-CT'!$J$8=TH!F1306),"x","")</f>
        <v/>
      </c>
      <c r="Y1306" s="39" t="str">
        <f>IF(AND(OR(LEFT(TH!L1306,2)="15",LEFT(TH!M1306,2)="15"),TK!$E$7=TH!F1306),"x","")</f>
        <v/>
      </c>
      <c r="Z1306" s="39" t="str">
        <f>IF(AND(B1306&lt;=NKC!$N$8,B1306&gt;=NKC!$M$8),"x","")</f>
        <v/>
      </c>
      <c r="AA1306" s="894"/>
    </row>
    <row r="1307" spans="1:27" ht="15.75" customHeight="1">
      <c r="A1307" s="199" t="str">
        <f>IF(B1307&lt;&gt;"",IF(AND(B1307&gt;=_TM1,B1307&lt;=_TM2,OR(TH!L1307="1111",TH!M1307="1111")),TH!D1307,""),"")</f>
        <v/>
      </c>
      <c r="B1307" s="36" t="str">
        <f t="shared" si="46"/>
        <v/>
      </c>
      <c r="C1307" s="190"/>
      <c r="D1307" s="183"/>
      <c r="E1307" s="190"/>
      <c r="F1307" s="293"/>
      <c r="G1307" s="491"/>
      <c r="H1307" s="7"/>
      <c r="I1307" s="253"/>
      <c r="J1307" s="253"/>
      <c r="K1307" s="38"/>
      <c r="L1307" s="193"/>
      <c r="M1307" s="193"/>
      <c r="N1307" s="39" t="str">
        <f>IF(AND('331-CT'!$E$7=TH!H1307,OR(L1307="331",M1307="331")),"331",IF(AND(OR(L1307="131",M1307="131"),H1307='131-CT'!$E$7),"131",""))</f>
        <v/>
      </c>
      <c r="O1307" s="39" t="str">
        <f>IF(AND($B1307&gt;='111'!$N$11,$B1307&lt;='111'!$O$11,OR($L1307=$O$7,$M1307=$O$7)),"x","")</f>
        <v/>
      </c>
      <c r="P1307" s="39" t="str">
        <f>IF(AND($L1307=$O$7,$B1307&lt;'111'!$N$11),"x","")</f>
        <v/>
      </c>
      <c r="Q1307" s="39" t="str">
        <f>IF(AND($M1307=$O$7,$B1307&lt;'111'!$N$11),"x","")</f>
        <v/>
      </c>
      <c r="R1307" s="39" t="str">
        <f>IF(ISERROR(FIND('112'!$M$9,G1307,1)),"",IF((AND(FIND('112'!$M$9,G1307,1)&gt;=1,$B1307&gt;='112'!$N$8,$B1307&lt;='112'!$O$8,OR($L1307='112'!$I$6,$M1307='112'!$I$6))),"x",""))</f>
        <v/>
      </c>
      <c r="S1307" s="39" t="str">
        <f>IF(ISERROR(FIND('112'!$M$9,G1307,1)),"",IF((AND(LEFT(G1307,2)=LEFT('112'!$M$9,2),B1307&lt;'112'!$N$8,$L1307='112'!$I$6)),"x",""))</f>
        <v/>
      </c>
      <c r="T1307" s="39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39" t="str">
        <f>IF(OR(TH!L1307=TH!$V$7,M1307=TH!$V$7),"x","")</f>
        <v/>
      </c>
      <c r="W1307" s="39" t="str">
        <f>IF(AND(B1307&gt;='IN-NX'!$P$3,B1307&lt;='IN-NX'!$Q$3,'IN-NX'!$D$7=D1307,OR(LEFT(L1307,2)="15",AND(LEFT(M1307,2)&lt;&gt;"15",LEFT(M1307,2)&lt;&gt;"33"))),"x","")</f>
        <v/>
      </c>
      <c r="X1307" s="39" t="str">
        <f>IF(AND(OR(LEFT(TH!L1307,2)="15",LEFT(TH!M1307,2)="15"),'152-CT'!$J$8=TH!F1307),"x","")</f>
        <v/>
      </c>
      <c r="Y1307" s="39" t="str">
        <f>IF(AND(OR(LEFT(TH!L1307,2)="15",LEFT(TH!M1307,2)="15"),TK!$E$7=TH!F1307),"x","")</f>
        <v/>
      </c>
      <c r="Z1307" s="39" t="str">
        <f>IF(AND(B1307&lt;=NKC!$N$8,B1307&gt;=NKC!$M$8),"x","")</f>
        <v/>
      </c>
      <c r="AA1307" s="894"/>
    </row>
    <row r="1308" spans="1:27" ht="15.75" customHeight="1">
      <c r="A1308" s="199" t="str">
        <f>IF(B1308&lt;&gt;"",IF(AND(B1308&gt;=_TM1,B1308&lt;=_TM2,OR(TH!L1308="1111",TH!M1308="1111")),TH!D1308,""),"")</f>
        <v/>
      </c>
      <c r="B1308" s="36" t="str">
        <f t="shared" si="46"/>
        <v/>
      </c>
      <c r="C1308" s="183"/>
      <c r="D1308" s="183"/>
      <c r="E1308" s="183"/>
      <c r="F1308" s="188"/>
      <c r="G1308" s="608"/>
      <c r="H1308" s="192"/>
      <c r="I1308" s="253"/>
      <c r="J1308" s="253"/>
      <c r="K1308" s="606"/>
      <c r="L1308" s="607"/>
      <c r="M1308" s="607"/>
      <c r="N1308" s="39" t="str">
        <f>IF(AND('331-CT'!$E$7=TH!H1308,OR(L1308="331",M1308="331")),"331",IF(AND(OR(L1308="131",M1308="131"),H1308='131-CT'!$E$7),"131",""))</f>
        <v/>
      </c>
      <c r="O1308" s="39" t="str">
        <f>IF(AND($B1308&gt;='111'!$N$11,$B1308&lt;='111'!$O$11,OR($L1308=$O$7,$M1308=$O$7)),"x","")</f>
        <v/>
      </c>
      <c r="P1308" s="39" t="str">
        <f>IF(AND($L1308=$O$7,$B1308&lt;'111'!$N$11),"x","")</f>
        <v/>
      </c>
      <c r="Q1308" s="39" t="str">
        <f>IF(AND($M1308=$O$7,$B1308&lt;'111'!$N$11),"x","")</f>
        <v/>
      </c>
      <c r="R1308" s="39" t="str">
        <f>IF(ISERROR(FIND('112'!$M$9,G1308,1)),"",IF((AND(FIND('112'!$M$9,G1308,1)&gt;=1,$B1308&gt;='112'!$N$8,$B1308&lt;='112'!$O$8,OR($L1308='112'!$I$6,$M1308='112'!$I$6))),"x",""))</f>
        <v/>
      </c>
      <c r="S1308" s="39" t="str">
        <f>IF(ISERROR(FIND('112'!$M$9,G1308,1)),"",IF((AND(LEFT(G1308,2)=LEFT('112'!$M$9,2),B1308&lt;'112'!$N$8,$L1308='112'!$I$6)),"x",""))</f>
        <v/>
      </c>
      <c r="T1308" s="39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39" t="str">
        <f>IF(OR(TH!L1308=TH!$V$7,M1308=TH!$V$7),"x","")</f>
        <v/>
      </c>
      <c r="W1308" s="39" t="str">
        <f>IF(AND(B1308&gt;='IN-NX'!$P$3,B1308&lt;='IN-NX'!$Q$3,'IN-NX'!$D$7=D1308,OR(LEFT(L1308,2)="15",AND(LEFT(M1308,2)&lt;&gt;"15",LEFT(M1308,2)&lt;&gt;"33"))),"x","")</f>
        <v/>
      </c>
      <c r="X1308" s="39" t="str">
        <f>IF(AND(OR(LEFT(TH!L1308,2)="15",LEFT(TH!M1308,2)="15"),'152-CT'!$J$8=TH!F1308),"x","")</f>
        <v/>
      </c>
      <c r="Y1308" s="39" t="str">
        <f>IF(AND(OR(LEFT(TH!L1308,2)="15",LEFT(TH!M1308,2)="15"),TK!$E$7=TH!F1308),"x","")</f>
        <v/>
      </c>
      <c r="Z1308" s="39" t="str">
        <f>IF(AND(B1308&lt;=NKC!$N$8,B1308&gt;=NKC!$M$8),"x","")</f>
        <v/>
      </c>
      <c r="AA1308" s="894"/>
    </row>
    <row r="1309" spans="1:27" ht="15.75" customHeight="1">
      <c r="A1309" s="199" t="str">
        <f>IF(B1309&lt;&gt;"",IF(AND(B1309&gt;=_TM1,B1309&lt;=_TM2,OR(TH!L1309="1111",TH!M1309="1111")),TH!D1309,""),"")</f>
        <v/>
      </c>
      <c r="B1309" s="36" t="str">
        <f t="shared" si="46"/>
        <v/>
      </c>
      <c r="C1309" s="37"/>
      <c r="D1309" s="37"/>
      <c r="E1309" s="776"/>
      <c r="F1309" s="188"/>
      <c r="G1309" s="40"/>
      <c r="H1309" s="7"/>
      <c r="I1309" s="253"/>
      <c r="J1309" s="253"/>
      <c r="K1309" s="606"/>
      <c r="L1309" s="39"/>
      <c r="M1309" s="39"/>
      <c r="N1309" s="39" t="str">
        <f>IF(AND('331-CT'!$E$7=TH!H1309,OR(L1309="331",M1309="331")),"331",IF(AND(OR(L1309="131",M1309="131"),H1309='131-CT'!$E$7),"131",""))</f>
        <v/>
      </c>
      <c r="O1309" s="39" t="str">
        <f>IF(AND($B1309&gt;='111'!$N$11,$B1309&lt;='111'!$O$11,OR($L1309=$O$7,$M1309=$O$7)),"x","")</f>
        <v/>
      </c>
      <c r="P1309" s="39" t="str">
        <f>IF(AND($L1309=$O$7,$B1309&lt;'111'!$N$11),"x","")</f>
        <v/>
      </c>
      <c r="Q1309" s="39" t="str">
        <f>IF(AND($M1309=$O$7,$B1309&lt;'111'!$N$11),"x","")</f>
        <v/>
      </c>
      <c r="R1309" s="39" t="str">
        <f>IF(ISERROR(FIND('112'!$M$9,G1309,1)),"",IF((AND(FIND('112'!$M$9,G1309,1)&gt;=1,$B1309&gt;='112'!$N$8,$B1309&lt;='112'!$O$8,OR($L1309='112'!$I$6,$M1309='112'!$I$6))),"x",""))</f>
        <v/>
      </c>
      <c r="S1309" s="39" t="str">
        <f>IF(ISERROR(FIND('112'!$M$9,G1309,1)),"",IF((AND(LEFT(G1309,2)=LEFT('112'!$M$9,2),B1309&lt;'112'!$N$8,$L1309='112'!$I$6)),"x",""))</f>
        <v/>
      </c>
      <c r="T1309" s="39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39" t="str">
        <f>IF(OR(TH!L1309=TH!$V$7,M1309=TH!$V$7),"x","")</f>
        <v/>
      </c>
      <c r="W1309" s="39" t="str">
        <f>IF(AND(B1309&gt;='IN-NX'!$P$3,B1309&lt;='IN-NX'!$Q$3,'IN-NX'!$D$7=D1309,OR(LEFT(L1309,2)="15",AND(LEFT(M1309,2)&lt;&gt;"15",LEFT(M1309,2)&lt;&gt;"33"))),"x","")</f>
        <v/>
      </c>
      <c r="X1309" s="39" t="str">
        <f>IF(AND(OR(LEFT(TH!L1309,2)="15",LEFT(TH!M1309,2)="15"),'152-CT'!$J$8=TH!F1309),"x","")</f>
        <v/>
      </c>
      <c r="Y1309" s="39" t="str">
        <f>IF(AND(OR(LEFT(TH!L1309,2)="15",LEFT(TH!M1309,2)="15"),TK!$E$7=TH!F1309),"x","")</f>
        <v/>
      </c>
      <c r="Z1309" s="39" t="str">
        <f>IF(AND(B1309&lt;=NKC!$N$8,B1309&gt;=NKC!$M$8),"x","")</f>
        <v/>
      </c>
      <c r="AA1309" s="894"/>
    </row>
    <row r="1310" spans="1:27" ht="15.75" customHeight="1">
      <c r="A1310" s="199" t="str">
        <f>IF(B1310&lt;&gt;"",IF(AND(B1310&gt;=_TM1,B1310&lt;=_TM2,OR(TH!L1310="1111",TH!M1310="1111")),TH!D1310,""),"")</f>
        <v/>
      </c>
      <c r="B1310" s="36" t="str">
        <f t="shared" si="46"/>
        <v/>
      </c>
      <c r="C1310" s="37"/>
      <c r="D1310" s="37"/>
      <c r="E1310" s="776"/>
      <c r="F1310" s="40"/>
      <c r="G1310" s="40"/>
      <c r="H1310" s="7"/>
      <c r="I1310" s="253"/>
      <c r="J1310" s="253"/>
      <c r="K1310" s="606"/>
      <c r="L1310" s="39"/>
      <c r="M1310" s="39"/>
      <c r="N1310" s="39" t="str">
        <f>IF(AND('331-CT'!$E$7=TH!H1310,OR(L1310="331",M1310="331")),"331",IF(AND(OR(L1310="131",M1310="131"),H1310='131-CT'!$E$7),"131",""))</f>
        <v/>
      </c>
      <c r="O1310" s="39" t="str">
        <f>IF(AND($B1310&gt;='111'!$N$11,$B1310&lt;='111'!$O$11,OR($L1310=$O$7,$M1310=$O$7)),"x","")</f>
        <v/>
      </c>
      <c r="P1310" s="39" t="str">
        <f>IF(AND($L1310=$O$7,$B1310&lt;'111'!$N$11),"x","")</f>
        <v/>
      </c>
      <c r="Q1310" s="39" t="str">
        <f>IF(AND($M1310=$O$7,$B1310&lt;'111'!$N$11),"x","")</f>
        <v/>
      </c>
      <c r="R1310" s="39" t="str">
        <f>IF(ISERROR(FIND('112'!$M$9,G1310,1)),"",IF((AND(FIND('112'!$M$9,G1310,1)&gt;=1,$B1310&gt;='112'!$N$8,$B1310&lt;='112'!$O$8,OR($L1310='112'!$I$6,$M1310='112'!$I$6))),"x",""))</f>
        <v/>
      </c>
      <c r="S1310" s="39" t="str">
        <f>IF(ISERROR(FIND('112'!$M$9,G1310,1)),"",IF((AND(LEFT(G1310,2)=LEFT('112'!$M$9,2),B1310&lt;'112'!$N$8,$L1310='112'!$I$6)),"x",""))</f>
        <v/>
      </c>
      <c r="T1310" s="39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39" t="str">
        <f>IF(OR(TH!L1310=TH!$V$7,M1310=TH!$V$7),"x","")</f>
        <v/>
      </c>
      <c r="W1310" s="39" t="str">
        <f>IF(AND(B1310&gt;='IN-NX'!$P$3,B1310&lt;='IN-NX'!$Q$3,'IN-NX'!$D$7=D1310,OR(LEFT(L1310,2)="15",AND(LEFT(M1310,2)&lt;&gt;"15",LEFT(M1310,2)&lt;&gt;"33"))),"x","")</f>
        <v/>
      </c>
      <c r="X1310" s="39" t="str">
        <f>IF(AND(OR(LEFT(TH!L1310,2)="15",LEFT(TH!M1310,2)="15"),'152-CT'!$J$8=TH!F1310),"x","")</f>
        <v/>
      </c>
      <c r="Y1310" s="39" t="str">
        <f>IF(AND(OR(LEFT(TH!L1310,2)="15",LEFT(TH!M1310,2)="15"),TK!$E$7=TH!F1310),"x","")</f>
        <v/>
      </c>
      <c r="Z1310" s="39" t="str">
        <f>IF(AND(B1310&lt;=NKC!$N$8,B1310&gt;=NKC!$M$8),"x","")</f>
        <v/>
      </c>
      <c r="AA1310" s="894"/>
    </row>
    <row r="1311" spans="1:27" ht="15.75" customHeight="1">
      <c r="A1311" s="199" t="str">
        <f>IF(B1311&lt;&gt;"",IF(AND(B1311&gt;=_TM1,B1311&lt;=_TM2,OR(TH!L1311="1111",TH!M1311="1111")),TH!D1311,""),"")</f>
        <v/>
      </c>
      <c r="B1311" s="36" t="str">
        <f t="shared" si="46"/>
        <v/>
      </c>
      <c r="C1311" s="37"/>
      <c r="D1311" s="37"/>
      <c r="E1311" s="776"/>
      <c r="F1311" s="188"/>
      <c r="G1311" s="40"/>
      <c r="H1311" s="7"/>
      <c r="I1311" s="821"/>
      <c r="J1311" s="253"/>
      <c r="K1311" s="606"/>
      <c r="L1311" s="39"/>
      <c r="M1311" s="39"/>
      <c r="N1311" s="39" t="str">
        <f>IF(AND('331-CT'!$E$7=TH!H1311,OR(L1311="331",M1311="331")),"331",IF(AND(OR(L1311="131",M1311="131"),H1311='131-CT'!$E$7),"131",""))</f>
        <v/>
      </c>
      <c r="O1311" s="39" t="str">
        <f>IF(AND($B1311&gt;='111'!$N$11,$B1311&lt;='111'!$O$11,OR($L1311=$O$7,$M1311=$O$7)),"x","")</f>
        <v/>
      </c>
      <c r="P1311" s="39" t="str">
        <f>IF(AND($L1311=$O$7,$B1311&lt;'111'!$N$11),"x","")</f>
        <v/>
      </c>
      <c r="Q1311" s="39" t="str">
        <f>IF(AND($M1311=$O$7,$B1311&lt;'111'!$N$11),"x","")</f>
        <v/>
      </c>
      <c r="R1311" s="39" t="str">
        <f>IF(ISERROR(FIND('112'!$M$9,G1311,1)),"",IF((AND(FIND('112'!$M$9,G1311,1)&gt;=1,$B1311&gt;='112'!$N$8,$B1311&lt;='112'!$O$8,OR($L1311='112'!$I$6,$M1311='112'!$I$6))),"x",""))</f>
        <v/>
      </c>
      <c r="S1311" s="39" t="str">
        <f>IF(ISERROR(FIND('112'!$M$9,G1311,1)),"",IF((AND(LEFT(G1311,2)=LEFT('112'!$M$9,2),B1311&lt;'112'!$N$8,$L1311='112'!$I$6)),"x",""))</f>
        <v/>
      </c>
      <c r="T1311" s="39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39" t="str">
        <f>IF(OR(TH!L1311=TH!$V$7,M1311=TH!$V$7),"x","")</f>
        <v/>
      </c>
      <c r="W1311" s="39" t="str">
        <f>IF(AND(B1311&gt;='IN-NX'!$P$3,B1311&lt;='IN-NX'!$Q$3,'IN-NX'!$D$7=D1311,OR(LEFT(L1311,2)="15",AND(LEFT(M1311,2)&lt;&gt;"15",LEFT(M1311,2)&lt;&gt;"33"))),"x","")</f>
        <v/>
      </c>
      <c r="X1311" s="39" t="str">
        <f>IF(AND(OR(LEFT(TH!L1311,2)="15",LEFT(TH!M1311,2)="15"),'152-CT'!$J$8=TH!F1311),"x","")</f>
        <v/>
      </c>
      <c r="Y1311" s="39" t="str">
        <f>IF(AND(OR(LEFT(TH!L1311,2)="15",LEFT(TH!M1311,2)="15"),TK!$E$7=TH!F1311),"x","")</f>
        <v/>
      </c>
      <c r="Z1311" s="39" t="str">
        <f>IF(AND(B1311&lt;=NKC!$N$8,B1311&gt;=NKC!$M$8),"x","")</f>
        <v/>
      </c>
      <c r="AA1311" s="894"/>
    </row>
    <row r="1312" spans="1:27" ht="15.75" customHeight="1">
      <c r="A1312" s="199" t="str">
        <f>IF(B1312&lt;&gt;"",IF(AND(B1312&gt;=_TM1,B1312&lt;=_TM2,OR(TH!L1312="1111",TH!M1312="1111")),TH!D1312,""),"")</f>
        <v/>
      </c>
      <c r="B1312" s="36" t="str">
        <f t="shared" si="46"/>
        <v/>
      </c>
      <c r="C1312" s="37"/>
      <c r="D1312" s="37"/>
      <c r="E1312" s="776"/>
      <c r="F1312" s="40"/>
      <c r="G1312" s="40"/>
      <c r="H1312" s="7"/>
      <c r="I1312" s="253"/>
      <c r="J1312" s="253"/>
      <c r="K1312" s="606"/>
      <c r="L1312" s="39"/>
      <c r="M1312" s="39"/>
      <c r="N1312" s="39" t="str">
        <f>IF(AND('331-CT'!$E$7=TH!H1312,OR(L1312="331",M1312="331")),"331",IF(AND(OR(L1312="131",M1312="131"),H1312='131-CT'!$E$7),"131",""))</f>
        <v/>
      </c>
      <c r="O1312" s="39" t="str">
        <f>IF(AND($B1312&gt;='111'!$N$11,$B1312&lt;='111'!$O$11,OR($L1312=$O$7,$M1312=$O$7)),"x","")</f>
        <v/>
      </c>
      <c r="P1312" s="39" t="str">
        <f>IF(AND($L1312=$O$7,$B1312&lt;'111'!$N$11),"x","")</f>
        <v/>
      </c>
      <c r="Q1312" s="39" t="str">
        <f>IF(AND($M1312=$O$7,$B1312&lt;'111'!$N$11),"x","")</f>
        <v/>
      </c>
      <c r="R1312" s="39" t="str">
        <f>IF(ISERROR(FIND('112'!$M$9,G1312,1)),"",IF((AND(FIND('112'!$M$9,G1312,1)&gt;=1,$B1312&gt;='112'!$N$8,$B1312&lt;='112'!$O$8,OR($L1312='112'!$I$6,$M1312='112'!$I$6))),"x",""))</f>
        <v/>
      </c>
      <c r="S1312" s="39" t="str">
        <f>IF(ISERROR(FIND('112'!$M$9,G1312,1)),"",IF((AND(LEFT(G1312,2)=LEFT('112'!$M$9,2),B1312&lt;'112'!$N$8,$L1312='112'!$I$6)),"x",""))</f>
        <v/>
      </c>
      <c r="T1312" s="39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39" t="str">
        <f>IF(OR(TH!L1312=TH!$V$7,M1312=TH!$V$7),"x","")</f>
        <v/>
      </c>
      <c r="W1312" s="39" t="str">
        <f>IF(AND(B1312&gt;='IN-NX'!$P$3,B1312&lt;='IN-NX'!$Q$3,'IN-NX'!$D$7=D1312,OR(LEFT(L1312,2)="15",AND(LEFT(M1312,2)&lt;&gt;"15",LEFT(M1312,2)&lt;&gt;"33"))),"x","")</f>
        <v/>
      </c>
      <c r="X1312" s="39" t="str">
        <f>IF(AND(OR(LEFT(TH!L1312,2)="15",LEFT(TH!M1312,2)="15"),'152-CT'!$J$8=TH!F1312),"x","")</f>
        <v/>
      </c>
      <c r="Y1312" s="39" t="str">
        <f>IF(AND(OR(LEFT(TH!L1312,2)="15",LEFT(TH!M1312,2)="15"),TK!$E$7=TH!F1312),"x","")</f>
        <v/>
      </c>
      <c r="Z1312" s="39" t="str">
        <f>IF(AND(B1312&lt;=NKC!$N$8,B1312&gt;=NKC!$M$8),"x","")</f>
        <v/>
      </c>
      <c r="AA1312" s="894"/>
    </row>
    <row r="1313" spans="1:27" ht="15.75" customHeight="1">
      <c r="A1313" s="199" t="str">
        <f>IF(B1313&lt;&gt;"",IF(AND(B1313&gt;=_TM1,B1313&lt;=_TM2,OR(TH!L1313="1111",TH!M1313="1111")),TH!D1313,""),"")</f>
        <v/>
      </c>
      <c r="B1313" s="36" t="str">
        <f t="shared" si="46"/>
        <v/>
      </c>
      <c r="C1313" s="37"/>
      <c r="D1313" s="37"/>
      <c r="E1313" s="776"/>
      <c r="F1313" s="188"/>
      <c r="G1313" s="40"/>
      <c r="H1313" s="7"/>
      <c r="I1313" s="253"/>
      <c r="J1313" s="253"/>
      <c r="K1313" s="606"/>
      <c r="L1313" s="39"/>
      <c r="M1313" s="39"/>
      <c r="N1313" s="39" t="str">
        <f>IF(AND('331-CT'!$E$7=TH!H1313,OR(L1313="331",M1313="331")),"331",IF(AND(OR(L1313="131",M1313="131"),H1313='131-CT'!$E$7),"131",""))</f>
        <v/>
      </c>
      <c r="O1313" s="39" t="str">
        <f>IF(AND($B1313&gt;='111'!$N$11,$B1313&lt;='111'!$O$11,OR($L1313=$O$7,$M1313=$O$7)),"x","")</f>
        <v/>
      </c>
      <c r="P1313" s="39" t="str">
        <f>IF(AND($L1313=$O$7,$B1313&lt;'111'!$N$11),"x","")</f>
        <v/>
      </c>
      <c r="Q1313" s="39" t="str">
        <f>IF(AND($M1313=$O$7,$B1313&lt;'111'!$N$11),"x","")</f>
        <v/>
      </c>
      <c r="R1313" s="39" t="str">
        <f>IF(ISERROR(FIND('112'!$M$9,G1313,1)),"",IF((AND(FIND('112'!$M$9,G1313,1)&gt;=1,$B1313&gt;='112'!$N$8,$B1313&lt;='112'!$O$8,OR($L1313='112'!$I$6,$M1313='112'!$I$6))),"x",""))</f>
        <v/>
      </c>
      <c r="S1313" s="39" t="str">
        <f>IF(ISERROR(FIND('112'!$M$9,G1313,1)),"",IF((AND(LEFT(G1313,2)=LEFT('112'!$M$9,2),B1313&lt;'112'!$N$8,$L1313='112'!$I$6)),"x",""))</f>
        <v/>
      </c>
      <c r="T1313" s="39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39" t="str">
        <f>IF(OR(TH!L1313=TH!$V$7,M1313=TH!$V$7),"x","")</f>
        <v/>
      </c>
      <c r="W1313" s="39" t="str">
        <f>IF(AND(B1313&gt;='IN-NX'!$P$3,B1313&lt;='IN-NX'!$Q$3,'IN-NX'!$D$7=D1313,OR(LEFT(L1313,2)="15",AND(LEFT(M1313,2)&lt;&gt;"15",LEFT(M1313,2)&lt;&gt;"33"))),"x","")</f>
        <v/>
      </c>
      <c r="X1313" s="39" t="str">
        <f>IF(AND(OR(LEFT(TH!L1313,2)="15",LEFT(TH!M1313,2)="15"),'152-CT'!$J$8=TH!F1313),"x","")</f>
        <v/>
      </c>
      <c r="Y1313" s="39" t="str">
        <f>IF(AND(OR(LEFT(TH!L1313,2)="15",LEFT(TH!M1313,2)="15"),TK!$E$7=TH!F1313),"x","")</f>
        <v/>
      </c>
      <c r="Z1313" s="39" t="str">
        <f>IF(AND(B1313&lt;=NKC!$N$8,B1313&gt;=NKC!$M$8),"x","")</f>
        <v/>
      </c>
      <c r="AA1313" s="894"/>
    </row>
    <row r="1314" spans="1:27" ht="15.75" customHeight="1">
      <c r="A1314" s="199" t="str">
        <f>IF(B1314&lt;&gt;"",IF(AND(B1314&gt;=_TM1,B1314&lt;=_TM2,OR(TH!L1314="1111",TH!M1314="1111")),TH!D1314,""),"")</f>
        <v/>
      </c>
      <c r="B1314" s="36" t="str">
        <f t="shared" si="46"/>
        <v/>
      </c>
      <c r="C1314" s="37"/>
      <c r="D1314" s="37"/>
      <c r="E1314" s="776"/>
      <c r="F1314" s="188"/>
      <c r="G1314" s="40"/>
      <c r="H1314" s="7"/>
      <c r="I1314" s="253"/>
      <c r="J1314" s="253"/>
      <c r="K1314" s="606"/>
      <c r="L1314" s="39"/>
      <c r="M1314" s="39"/>
      <c r="N1314" s="39" t="str">
        <f>IF(AND('331-CT'!$E$7=TH!H1314,OR(L1314="331",M1314="331")),"331",IF(AND(OR(L1314="131",M1314="131"),H1314='131-CT'!$E$7),"131",""))</f>
        <v/>
      </c>
      <c r="O1314" s="39" t="str">
        <f>IF(AND($B1314&gt;='111'!$N$11,$B1314&lt;='111'!$O$11,OR($L1314=$O$7,$M1314=$O$7)),"x","")</f>
        <v/>
      </c>
      <c r="P1314" s="39" t="str">
        <f>IF(AND($L1314=$O$7,$B1314&lt;'111'!$N$11),"x","")</f>
        <v/>
      </c>
      <c r="Q1314" s="39" t="str">
        <f>IF(AND($M1314=$O$7,$B1314&lt;'111'!$N$11),"x","")</f>
        <v/>
      </c>
      <c r="R1314" s="39" t="str">
        <f>IF(ISERROR(FIND('112'!$M$9,G1314,1)),"",IF((AND(FIND('112'!$M$9,G1314,1)&gt;=1,$B1314&gt;='112'!$N$8,$B1314&lt;='112'!$O$8,OR($L1314='112'!$I$6,$M1314='112'!$I$6))),"x",""))</f>
        <v/>
      </c>
      <c r="S1314" s="39" t="str">
        <f>IF(ISERROR(FIND('112'!$M$9,G1314,1)),"",IF((AND(LEFT(G1314,2)=LEFT('112'!$M$9,2),B1314&lt;'112'!$N$8,$L1314='112'!$I$6)),"x",""))</f>
        <v/>
      </c>
      <c r="T1314" s="39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39" t="str">
        <f>IF(OR(TH!L1314=TH!$V$7,M1314=TH!$V$7),"x","")</f>
        <v/>
      </c>
      <c r="W1314" s="39" t="str">
        <f>IF(AND(B1314&gt;='IN-NX'!$P$3,B1314&lt;='IN-NX'!$Q$3,'IN-NX'!$D$7=D1314,OR(LEFT(L1314,2)="15",AND(LEFT(M1314,2)&lt;&gt;"15",LEFT(M1314,2)&lt;&gt;"33"))),"x","")</f>
        <v/>
      </c>
      <c r="X1314" s="39" t="str">
        <f>IF(AND(OR(LEFT(TH!L1314,2)="15",LEFT(TH!M1314,2)="15"),'152-CT'!$J$8=TH!F1314),"x","")</f>
        <v/>
      </c>
      <c r="Y1314" s="39" t="str">
        <f>IF(AND(OR(LEFT(TH!L1314,2)="15",LEFT(TH!M1314,2)="15"),TK!$E$7=TH!F1314),"x","")</f>
        <v/>
      </c>
      <c r="Z1314" s="39" t="str">
        <f>IF(AND(B1314&lt;=NKC!$N$8,B1314&gt;=NKC!$M$8),"x","")</f>
        <v/>
      </c>
      <c r="AA1314" s="894"/>
    </row>
    <row r="1315" spans="1:27" ht="15.75" customHeight="1">
      <c r="A1315" s="199" t="str">
        <f>IF(B1315&lt;&gt;"",IF(AND(B1315&gt;=_TM1,B1315&lt;=_TM2,OR(TH!L1315="1111",TH!M1315="1111")),TH!D1315,""),"")</f>
        <v/>
      </c>
      <c r="B1315" s="36" t="str">
        <f t="shared" si="46"/>
        <v/>
      </c>
      <c r="C1315" s="37"/>
      <c r="D1315" s="37"/>
      <c r="E1315" s="776"/>
      <c r="F1315" s="188"/>
      <c r="G1315" s="40"/>
      <c r="H1315" s="7"/>
      <c r="I1315" s="253"/>
      <c r="J1315" s="253"/>
      <c r="K1315" s="606"/>
      <c r="L1315" s="39"/>
      <c r="M1315" s="39"/>
      <c r="N1315" s="39" t="str">
        <f>IF(AND('331-CT'!$E$7=TH!H1315,OR(L1315="331",M1315="331")),"331",IF(AND(OR(L1315="131",M1315="131"),H1315='131-CT'!$E$7),"131",""))</f>
        <v/>
      </c>
      <c r="O1315" s="39" t="str">
        <f>IF(AND($B1315&gt;='111'!$N$11,$B1315&lt;='111'!$O$11,OR($L1315=$O$7,$M1315=$O$7)),"x","")</f>
        <v/>
      </c>
      <c r="P1315" s="39" t="str">
        <f>IF(AND($L1315=$O$7,$B1315&lt;'111'!$N$11),"x","")</f>
        <v/>
      </c>
      <c r="Q1315" s="39" t="str">
        <f>IF(AND($M1315=$O$7,$B1315&lt;'111'!$N$11),"x","")</f>
        <v/>
      </c>
      <c r="R1315" s="39" t="str">
        <f>IF(ISERROR(FIND('112'!$M$9,G1315,1)),"",IF((AND(FIND('112'!$M$9,G1315,1)&gt;=1,$B1315&gt;='112'!$N$8,$B1315&lt;='112'!$O$8,OR($L1315='112'!$I$6,$M1315='112'!$I$6))),"x",""))</f>
        <v/>
      </c>
      <c r="S1315" s="39" t="str">
        <f>IF(ISERROR(FIND('112'!$M$9,G1315,1)),"",IF((AND(LEFT(G1315,2)=LEFT('112'!$M$9,2),B1315&lt;'112'!$N$8,$L1315='112'!$I$6)),"x",""))</f>
        <v/>
      </c>
      <c r="T1315" s="39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39" t="str">
        <f>IF(OR(TH!L1315=TH!$V$7,M1315=TH!$V$7),"x","")</f>
        <v/>
      </c>
      <c r="W1315" s="39" t="str">
        <f>IF(AND(B1315&gt;='IN-NX'!$P$3,B1315&lt;='IN-NX'!$Q$3,'IN-NX'!$D$7=D1315,OR(LEFT(L1315,2)="15",AND(LEFT(M1315,2)&lt;&gt;"15",LEFT(M1315,2)&lt;&gt;"33"))),"x","")</f>
        <v/>
      </c>
      <c r="X1315" s="39" t="str">
        <f>IF(AND(OR(LEFT(TH!L1315,2)="15",LEFT(TH!M1315,2)="15"),'152-CT'!$J$8=TH!F1315),"x","")</f>
        <v/>
      </c>
      <c r="Y1315" s="39" t="str">
        <f>IF(AND(OR(LEFT(TH!L1315,2)="15",LEFT(TH!M1315,2)="15"),TK!$E$7=TH!F1315),"x","")</f>
        <v/>
      </c>
      <c r="Z1315" s="39" t="str">
        <f>IF(AND(B1315&lt;=NKC!$N$8,B1315&gt;=NKC!$M$8),"x","")</f>
        <v/>
      </c>
      <c r="AA1315" s="894"/>
    </row>
    <row r="1316" spans="1:27" ht="15.75" customHeight="1">
      <c r="A1316" s="199" t="str">
        <f>IF(B1316&lt;&gt;"",IF(AND(B1316&gt;=_TM1,B1316&lt;=_TM2,OR(TH!L1316="1111",TH!M1316="1111")),TH!D1316,""),"")</f>
        <v/>
      </c>
      <c r="B1316" s="36" t="str">
        <f t="shared" si="46"/>
        <v/>
      </c>
      <c r="C1316" s="37"/>
      <c r="D1316" s="37"/>
      <c r="E1316" s="776"/>
      <c r="F1316" s="188"/>
      <c r="G1316" s="40"/>
      <c r="H1316" s="7"/>
      <c r="I1316" s="253"/>
      <c r="J1316" s="253"/>
      <c r="K1316" s="606"/>
      <c r="L1316" s="39"/>
      <c r="M1316" s="39"/>
      <c r="N1316" s="39" t="str">
        <f>IF(AND('331-CT'!$E$7=TH!H1316,OR(L1316="331",M1316="331")),"331",IF(AND(OR(L1316="131",M1316="131"),H1316='131-CT'!$E$7),"131",""))</f>
        <v/>
      </c>
      <c r="O1316" s="39" t="str">
        <f>IF(AND($B1316&gt;='111'!$N$11,$B1316&lt;='111'!$O$11,OR($L1316=$O$7,$M1316=$O$7)),"x","")</f>
        <v/>
      </c>
      <c r="P1316" s="39" t="str">
        <f>IF(AND($L1316=$O$7,$B1316&lt;'111'!$N$11),"x","")</f>
        <v/>
      </c>
      <c r="Q1316" s="39" t="str">
        <f>IF(AND($M1316=$O$7,$B1316&lt;'111'!$N$11),"x","")</f>
        <v/>
      </c>
      <c r="R1316" s="39" t="str">
        <f>IF(ISERROR(FIND('112'!$M$9,G1316,1)),"",IF((AND(FIND('112'!$M$9,G1316,1)&gt;=1,$B1316&gt;='112'!$N$8,$B1316&lt;='112'!$O$8,OR($L1316='112'!$I$6,$M1316='112'!$I$6))),"x",""))</f>
        <v/>
      </c>
      <c r="S1316" s="39" t="str">
        <f>IF(ISERROR(FIND('112'!$M$9,G1316,1)),"",IF((AND(LEFT(G1316,2)=LEFT('112'!$M$9,2),B1316&lt;'112'!$N$8,$L1316='112'!$I$6)),"x",""))</f>
        <v/>
      </c>
      <c r="T1316" s="39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39" t="str">
        <f>IF(OR(TH!L1316=TH!$V$7,M1316=TH!$V$7),"x","")</f>
        <v/>
      </c>
      <c r="W1316" s="39" t="str">
        <f>IF(AND(B1316&gt;='IN-NX'!$P$3,B1316&lt;='IN-NX'!$Q$3,'IN-NX'!$D$7=D1316,OR(LEFT(L1316,2)="15",AND(LEFT(M1316,2)&lt;&gt;"15",LEFT(M1316,2)&lt;&gt;"33"))),"x","")</f>
        <v/>
      </c>
      <c r="X1316" s="39" t="str">
        <f>IF(AND(OR(LEFT(TH!L1316,2)="15",LEFT(TH!M1316,2)="15"),'152-CT'!$J$8=TH!F1316),"x","")</f>
        <v/>
      </c>
      <c r="Y1316" s="39" t="str">
        <f>IF(AND(OR(LEFT(TH!L1316,2)="15",LEFT(TH!M1316,2)="15"),TK!$E$7=TH!F1316),"x","")</f>
        <v/>
      </c>
      <c r="Z1316" s="39" t="str">
        <f>IF(AND(B1316&lt;=NKC!$N$8,B1316&gt;=NKC!$M$8),"x","")</f>
        <v/>
      </c>
      <c r="AA1316" s="894"/>
    </row>
    <row r="1317" spans="1:27" ht="15.75" customHeight="1">
      <c r="A1317" s="199" t="str">
        <f>IF(B1317&lt;&gt;"",IF(AND(B1317&gt;=_TM1,B1317&lt;=_TM2,OR(TH!L1317="1111",TH!M1317="1111")),TH!D1317,""),"")</f>
        <v/>
      </c>
      <c r="B1317" s="36" t="str">
        <f t="shared" si="46"/>
        <v/>
      </c>
      <c r="C1317" s="37"/>
      <c r="D1317" s="37"/>
      <c r="E1317" s="776"/>
      <c r="F1317" s="188"/>
      <c r="G1317" s="40"/>
      <c r="H1317" s="7"/>
      <c r="I1317" s="253"/>
      <c r="J1317" s="253"/>
      <c r="K1317" s="606"/>
      <c r="L1317" s="39"/>
      <c r="M1317" s="39"/>
      <c r="N1317" s="39" t="str">
        <f>IF(AND('331-CT'!$E$7=TH!H1317,OR(L1317="331",M1317="331")),"331",IF(AND(OR(L1317="131",M1317="131"),H1317='131-CT'!$E$7),"131",""))</f>
        <v/>
      </c>
      <c r="O1317" s="39" t="str">
        <f>IF(AND($B1317&gt;='111'!$N$11,$B1317&lt;='111'!$O$11,OR($L1317=$O$7,$M1317=$O$7)),"x","")</f>
        <v/>
      </c>
      <c r="P1317" s="39" t="str">
        <f>IF(AND($L1317=$O$7,$B1317&lt;'111'!$N$11),"x","")</f>
        <v/>
      </c>
      <c r="Q1317" s="39" t="str">
        <f>IF(AND($M1317=$O$7,$B1317&lt;'111'!$N$11),"x","")</f>
        <v/>
      </c>
      <c r="R1317" s="39" t="str">
        <f>IF(ISERROR(FIND('112'!$M$9,G1317,1)),"",IF((AND(FIND('112'!$M$9,G1317,1)&gt;=1,$B1317&gt;='112'!$N$8,$B1317&lt;='112'!$O$8,OR($L1317='112'!$I$6,$M1317='112'!$I$6))),"x",""))</f>
        <v/>
      </c>
      <c r="S1317" s="39" t="str">
        <f>IF(ISERROR(FIND('112'!$M$9,G1317,1)),"",IF((AND(LEFT(G1317,2)=LEFT('112'!$M$9,2),B1317&lt;'112'!$N$8,$L1317='112'!$I$6)),"x",""))</f>
        <v/>
      </c>
      <c r="T1317" s="39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39" t="str">
        <f>IF(OR(TH!L1317=TH!$V$7,M1317=TH!$V$7),"x","")</f>
        <v/>
      </c>
      <c r="W1317" s="39" t="str">
        <f>IF(AND(B1317&gt;='IN-NX'!$P$3,B1317&lt;='IN-NX'!$Q$3,'IN-NX'!$D$7=D1317,OR(LEFT(L1317,2)="15",AND(LEFT(M1317,2)&lt;&gt;"15",LEFT(M1317,2)&lt;&gt;"33"))),"x","")</f>
        <v/>
      </c>
      <c r="X1317" s="39" t="str">
        <f>IF(AND(OR(LEFT(TH!L1317,2)="15",LEFT(TH!M1317,2)="15"),'152-CT'!$J$8=TH!F1317),"x","")</f>
        <v/>
      </c>
      <c r="Y1317" s="39" t="str">
        <f>IF(AND(OR(LEFT(TH!L1317,2)="15",LEFT(TH!M1317,2)="15"),TK!$E$7=TH!F1317),"x","")</f>
        <v/>
      </c>
      <c r="Z1317" s="39" t="str">
        <f>IF(AND(B1317&lt;=NKC!$N$8,B1317&gt;=NKC!$M$8),"x","")</f>
        <v/>
      </c>
      <c r="AA1317" s="894"/>
    </row>
    <row r="1318" spans="1:27" ht="15.75" customHeight="1">
      <c r="A1318" s="199" t="str">
        <f>IF(B1318&lt;&gt;"",IF(AND(B1318&gt;=_TM1,B1318&lt;=_TM2,OR(TH!L1318="1111",TH!M1318="1111")),TH!D1318,""),"")</f>
        <v/>
      </c>
      <c r="B1318" s="36" t="str">
        <f t="shared" si="46"/>
        <v/>
      </c>
      <c r="C1318" s="190"/>
      <c r="D1318" s="183"/>
      <c r="E1318" s="190"/>
      <c r="F1318" s="191"/>
      <c r="G1318" s="491"/>
      <c r="H1318" s="192"/>
      <c r="I1318" s="253"/>
      <c r="J1318" s="253"/>
      <c r="K1318" s="38"/>
      <c r="L1318" s="193"/>
      <c r="M1318" s="193"/>
      <c r="N1318" s="39" t="str">
        <f>IF(AND('331-CT'!$E$7=TH!H1318,OR(L1318="331",M1318="331")),"331",IF(AND(OR(L1318="131",M1318="131"),H1318='131-CT'!$E$7),"131",""))</f>
        <v/>
      </c>
      <c r="O1318" s="39" t="str">
        <f>IF(AND($B1318&gt;='111'!$N$11,$B1318&lt;='111'!$O$11,OR($L1318=$O$7,$M1318=$O$7)),"x","")</f>
        <v/>
      </c>
      <c r="P1318" s="39" t="str">
        <f>IF(AND($L1318=$O$7,$B1318&lt;'111'!$N$11),"x","")</f>
        <v/>
      </c>
      <c r="Q1318" s="39" t="str">
        <f>IF(AND($M1318=$O$7,$B1318&lt;'111'!$N$11),"x","")</f>
        <v/>
      </c>
      <c r="R1318" s="39" t="str">
        <f>IF(ISERROR(FIND('112'!$M$9,G1318,1)),"",IF((AND(FIND('112'!$M$9,G1318,1)&gt;=1,$B1318&gt;='112'!$N$8,$B1318&lt;='112'!$O$8,OR($L1318='112'!$I$6,$M1318='112'!$I$6))),"x",""))</f>
        <v/>
      </c>
      <c r="S1318" s="39" t="str">
        <f>IF(ISERROR(FIND('112'!$M$9,G1318,1)),"",IF((AND(LEFT(G1318,2)=LEFT('112'!$M$9,2),B1318&lt;'112'!$N$8,$L1318='112'!$I$6)),"x",""))</f>
        <v/>
      </c>
      <c r="T1318" s="39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39" t="str">
        <f>IF(OR(TH!L1318=TH!$V$7,M1318=TH!$V$7),"x","")</f>
        <v/>
      </c>
      <c r="W1318" s="39" t="str">
        <f>IF(AND(B1318&gt;='IN-NX'!$P$3,B1318&lt;='IN-NX'!$Q$3,'IN-NX'!$D$7=D1318,OR(LEFT(L1318,2)="15",AND(LEFT(M1318,2)&lt;&gt;"15",LEFT(M1318,2)&lt;&gt;"33"))),"x","")</f>
        <v/>
      </c>
      <c r="X1318" s="39" t="str">
        <f>IF(AND(OR(LEFT(TH!L1318,2)="15",LEFT(TH!M1318,2)="15"),'152-CT'!$J$8=TH!F1318),"x","")</f>
        <v/>
      </c>
      <c r="Y1318" s="39" t="str">
        <f>IF(AND(OR(LEFT(TH!L1318,2)="15",LEFT(TH!M1318,2)="15"),TK!$E$7=TH!F1318),"x","")</f>
        <v/>
      </c>
      <c r="Z1318" s="39" t="str">
        <f>IF(AND(B1318&lt;=NKC!$N$8,B1318&gt;=NKC!$M$8),"x","")</f>
        <v/>
      </c>
      <c r="AA1318" s="894"/>
    </row>
    <row r="1319" spans="1:27" ht="15.75" customHeight="1">
      <c r="A1319" s="199" t="str">
        <f>IF(B1319&lt;&gt;"",IF(AND(B1319&gt;=_TM1,B1319&lt;=_TM2,OR(TH!L1319="1111",TH!M1319="1111")),TH!D1319,""),"")</f>
        <v/>
      </c>
      <c r="B1319" s="36" t="str">
        <f t="shared" si="46"/>
        <v/>
      </c>
      <c r="C1319" s="190"/>
      <c r="D1319" s="183"/>
      <c r="E1319" s="190"/>
      <c r="F1319" s="191"/>
      <c r="G1319" s="491"/>
      <c r="H1319" s="192"/>
      <c r="I1319" s="253"/>
      <c r="J1319" s="253"/>
      <c r="K1319" s="38"/>
      <c r="L1319" s="193"/>
      <c r="M1319" s="193"/>
      <c r="N1319" s="39" t="str">
        <f>IF(AND('331-CT'!$E$7=TH!H1319,OR(L1319="331",M1319="331")),"331",IF(AND(OR(L1319="131",M1319="131"),H1319='131-CT'!$E$7),"131",""))</f>
        <v/>
      </c>
      <c r="O1319" s="39" t="str">
        <f>IF(AND($B1319&gt;='111'!$N$11,$B1319&lt;='111'!$O$11,OR($L1319=$O$7,$M1319=$O$7)),"x","")</f>
        <v/>
      </c>
      <c r="P1319" s="39" t="str">
        <f>IF(AND($L1319=$O$7,$B1319&lt;'111'!$N$11),"x","")</f>
        <v/>
      </c>
      <c r="Q1319" s="39" t="str">
        <f>IF(AND($M1319=$O$7,$B1319&lt;'111'!$N$11),"x","")</f>
        <v/>
      </c>
      <c r="R1319" s="39" t="str">
        <f>IF(ISERROR(FIND('112'!$M$9,G1319,1)),"",IF((AND(FIND('112'!$M$9,G1319,1)&gt;=1,$B1319&gt;='112'!$N$8,$B1319&lt;='112'!$O$8,OR($L1319='112'!$I$6,$M1319='112'!$I$6))),"x",""))</f>
        <v/>
      </c>
      <c r="S1319" s="39" t="str">
        <f>IF(ISERROR(FIND('112'!$M$9,G1319,1)),"",IF((AND(LEFT(G1319,2)=LEFT('112'!$M$9,2),B1319&lt;'112'!$N$8,$L1319='112'!$I$6)),"x",""))</f>
        <v/>
      </c>
      <c r="T1319" s="39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39" t="str">
        <f>IF(OR(TH!L1319=TH!$V$7,M1319=TH!$V$7),"x","")</f>
        <v/>
      </c>
      <c r="W1319" s="39" t="str">
        <f>IF(AND(B1319&gt;='IN-NX'!$P$3,B1319&lt;='IN-NX'!$Q$3,'IN-NX'!$D$7=D1319,OR(LEFT(L1319,2)="15",AND(LEFT(M1319,2)&lt;&gt;"15",LEFT(M1319,2)&lt;&gt;"33"))),"x","")</f>
        <v/>
      </c>
      <c r="X1319" s="39" t="str">
        <f>IF(AND(OR(LEFT(TH!L1319,2)="15",LEFT(TH!M1319,2)="15"),'152-CT'!$J$8=TH!F1319),"x","")</f>
        <v/>
      </c>
      <c r="Y1319" s="39" t="str">
        <f>IF(AND(OR(LEFT(TH!L1319,2)="15",LEFT(TH!M1319,2)="15"),TK!$E$7=TH!F1319),"x","")</f>
        <v/>
      </c>
      <c r="Z1319" s="39" t="str">
        <f>IF(AND(B1319&lt;=NKC!$N$8,B1319&gt;=NKC!$M$8),"x","")</f>
        <v/>
      </c>
      <c r="AA1319" s="894"/>
    </row>
    <row r="1320" spans="1:27" ht="15.75" customHeight="1">
      <c r="A1320" s="199" t="str">
        <f>IF(B1320&lt;&gt;"",IF(AND(B1320&gt;=_TM1,B1320&lt;=_TM2,OR(TH!L1320="1111",TH!M1320="1111")),TH!D1320,""),"")</f>
        <v/>
      </c>
      <c r="B1320" s="36" t="str">
        <f t="shared" si="46"/>
        <v/>
      </c>
      <c r="C1320" s="37"/>
      <c r="D1320" s="37"/>
      <c r="E1320" s="776"/>
      <c r="F1320" s="40"/>
      <c r="G1320" s="40"/>
      <c r="H1320" s="7"/>
      <c r="I1320" s="253"/>
      <c r="J1320" s="253"/>
      <c r="K1320" s="606"/>
      <c r="L1320" s="39"/>
      <c r="M1320" s="39"/>
      <c r="N1320" s="39" t="str">
        <f>IF(AND('331-CT'!$E$7=TH!H1320,OR(L1320="331",M1320="331")),"331",IF(AND(OR(L1320="131",M1320="131"),H1320='131-CT'!$E$7),"131",""))</f>
        <v/>
      </c>
      <c r="O1320" s="39" t="str">
        <f>IF(AND($B1320&gt;='111'!$N$11,$B1320&lt;='111'!$O$11,OR($L1320=$O$7,$M1320=$O$7)),"x","")</f>
        <v/>
      </c>
      <c r="P1320" s="39" t="str">
        <f>IF(AND($L1320=$O$7,$B1320&lt;'111'!$N$11),"x","")</f>
        <v/>
      </c>
      <c r="Q1320" s="39" t="str">
        <f>IF(AND($M1320=$O$7,$B1320&lt;'111'!$N$11),"x","")</f>
        <v/>
      </c>
      <c r="R1320" s="39" t="str">
        <f>IF(ISERROR(FIND('112'!$M$9,G1320,1)),"",IF((AND(FIND('112'!$M$9,G1320,1)&gt;=1,$B1320&gt;='112'!$N$8,$B1320&lt;='112'!$O$8,OR($L1320='112'!$I$6,$M1320='112'!$I$6))),"x",""))</f>
        <v/>
      </c>
      <c r="S1320" s="39" t="str">
        <f>IF(ISERROR(FIND('112'!$M$9,G1320,1)),"",IF((AND(LEFT(G1320,2)=LEFT('112'!$M$9,2),B1320&lt;'112'!$N$8,$L1320='112'!$I$6)),"x",""))</f>
        <v/>
      </c>
      <c r="T1320" s="39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39" t="str">
        <f>IF(OR(TH!L1320=TH!$V$7,M1320=TH!$V$7),"x","")</f>
        <v/>
      </c>
      <c r="W1320" s="39" t="str">
        <f>IF(AND(B1320&gt;='IN-NX'!$P$3,B1320&lt;='IN-NX'!$Q$3,'IN-NX'!$D$7=D1320,OR(LEFT(L1320,2)="15",AND(LEFT(M1320,2)&lt;&gt;"15",LEFT(M1320,2)&lt;&gt;"33"))),"x","")</f>
        <v/>
      </c>
      <c r="X1320" s="39" t="str">
        <f>IF(AND(OR(LEFT(TH!L1320,2)="15",LEFT(TH!M1320,2)="15"),'152-CT'!$J$8=TH!F1320),"x","")</f>
        <v/>
      </c>
      <c r="Y1320" s="39" t="str">
        <f>IF(AND(OR(LEFT(TH!L1320,2)="15",LEFT(TH!M1320,2)="15"),TK!$E$7=TH!F1320),"x","")</f>
        <v/>
      </c>
      <c r="Z1320" s="39" t="str">
        <f>IF(AND(B1320&lt;=NKC!$N$8,B1320&gt;=NKC!$M$8),"x","")</f>
        <v/>
      </c>
      <c r="AA1320" s="894"/>
    </row>
    <row r="1321" spans="1:27" ht="15.75" customHeight="1">
      <c r="A1321" s="199" t="str">
        <f>IF(B1321&lt;&gt;"",IF(AND(B1321&gt;=_TM1,B1321&lt;=_TM2,OR(TH!L1321="1111",TH!M1321="1111")),TH!D1321,""),"")</f>
        <v/>
      </c>
      <c r="B1321" s="36" t="str">
        <f t="shared" si="46"/>
        <v/>
      </c>
      <c r="C1321" s="37"/>
      <c r="D1321" s="37"/>
      <c r="E1321" s="776"/>
      <c r="F1321" s="188"/>
      <c r="G1321" s="40"/>
      <c r="H1321" s="7"/>
      <c r="I1321" s="253"/>
      <c r="J1321" s="253"/>
      <c r="K1321" s="606"/>
      <c r="L1321" s="39"/>
      <c r="M1321" s="39"/>
      <c r="N1321" s="39" t="str">
        <f>IF(AND('331-CT'!$E$7=TH!H1321,OR(L1321="331",M1321="331")),"331",IF(AND(OR(L1321="131",M1321="131"),H1321='131-CT'!$E$7),"131",""))</f>
        <v/>
      </c>
      <c r="O1321" s="39" t="str">
        <f>IF(AND($B1321&gt;='111'!$N$11,$B1321&lt;='111'!$O$11,OR($L1321=$O$7,$M1321=$O$7)),"x","")</f>
        <v/>
      </c>
      <c r="P1321" s="39" t="str">
        <f>IF(AND($L1321=$O$7,$B1321&lt;'111'!$N$11),"x","")</f>
        <v/>
      </c>
      <c r="Q1321" s="39" t="str">
        <f>IF(AND($M1321=$O$7,$B1321&lt;'111'!$N$11),"x","")</f>
        <v/>
      </c>
      <c r="R1321" s="39" t="str">
        <f>IF(ISERROR(FIND('112'!$M$9,G1321,1)),"",IF((AND(FIND('112'!$M$9,G1321,1)&gt;=1,$B1321&gt;='112'!$N$8,$B1321&lt;='112'!$O$8,OR($L1321='112'!$I$6,$M1321='112'!$I$6))),"x",""))</f>
        <v/>
      </c>
      <c r="S1321" s="39" t="str">
        <f>IF(ISERROR(FIND('112'!$M$9,G1321,1)),"",IF((AND(LEFT(G1321,2)=LEFT('112'!$M$9,2),B1321&lt;'112'!$N$8,$L1321='112'!$I$6)),"x",""))</f>
        <v/>
      </c>
      <c r="T1321" s="39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39" t="str">
        <f>IF(OR(TH!L1321=TH!$V$7,M1321=TH!$V$7),"x","")</f>
        <v/>
      </c>
      <c r="W1321" s="39" t="str">
        <f>IF(AND(B1321&gt;='IN-NX'!$P$3,B1321&lt;='IN-NX'!$Q$3,'IN-NX'!$D$7=D1321,OR(LEFT(L1321,2)="15",AND(LEFT(M1321,2)&lt;&gt;"15",LEFT(M1321,2)&lt;&gt;"33"))),"x","")</f>
        <v/>
      </c>
      <c r="X1321" s="39" t="str">
        <f>IF(AND(OR(LEFT(TH!L1321,2)="15",LEFT(TH!M1321,2)="15"),'152-CT'!$J$8=TH!F1321),"x","")</f>
        <v/>
      </c>
      <c r="Y1321" s="39" t="str">
        <f>IF(AND(OR(LEFT(TH!L1321,2)="15",LEFT(TH!M1321,2)="15"),TK!$E$7=TH!F1321),"x","")</f>
        <v/>
      </c>
      <c r="Z1321" s="39" t="str">
        <f>IF(AND(B1321&lt;=NKC!$N$8,B1321&gt;=NKC!$M$8),"x","")</f>
        <v/>
      </c>
      <c r="AA1321" s="894"/>
    </row>
    <row r="1322" spans="1:27" ht="15.75" customHeight="1">
      <c r="A1322" s="199" t="str">
        <f>IF(B1322&lt;&gt;"",IF(AND(B1322&gt;=_TM1,B1322&lt;=_TM2,OR(TH!L1322="1111",TH!M1322="1111")),TH!D1322,""),"")</f>
        <v/>
      </c>
      <c r="B1322" s="36" t="str">
        <f t="shared" si="46"/>
        <v/>
      </c>
      <c r="C1322" s="37"/>
      <c r="D1322" s="37"/>
      <c r="E1322" s="776"/>
      <c r="F1322" s="188"/>
      <c r="G1322" s="40"/>
      <c r="H1322" s="7"/>
      <c r="I1322" s="253"/>
      <c r="J1322" s="253"/>
      <c r="K1322" s="606"/>
      <c r="L1322" s="39"/>
      <c r="M1322" s="39"/>
      <c r="N1322" s="39" t="str">
        <f>IF(AND('331-CT'!$E$7=TH!H1322,OR(L1322="331",M1322="331")),"331",IF(AND(OR(L1322="131",M1322="131"),H1322='131-CT'!$E$7),"131",""))</f>
        <v/>
      </c>
      <c r="O1322" s="39" t="str">
        <f>IF(AND($B1322&gt;='111'!$N$11,$B1322&lt;='111'!$O$11,OR($L1322=$O$7,$M1322=$O$7)),"x","")</f>
        <v/>
      </c>
      <c r="P1322" s="39" t="str">
        <f>IF(AND($L1322=$O$7,$B1322&lt;'111'!$N$11),"x","")</f>
        <v/>
      </c>
      <c r="Q1322" s="39" t="str">
        <f>IF(AND($M1322=$O$7,$B1322&lt;'111'!$N$11),"x","")</f>
        <v/>
      </c>
      <c r="R1322" s="39" t="str">
        <f>IF(ISERROR(FIND('112'!$M$9,G1322,1)),"",IF((AND(FIND('112'!$M$9,G1322,1)&gt;=1,$B1322&gt;='112'!$N$8,$B1322&lt;='112'!$O$8,OR($L1322='112'!$I$6,$M1322='112'!$I$6))),"x",""))</f>
        <v/>
      </c>
      <c r="S1322" s="39" t="str">
        <f>IF(ISERROR(FIND('112'!$M$9,G1322,1)),"",IF((AND(LEFT(G1322,2)=LEFT('112'!$M$9,2),B1322&lt;'112'!$N$8,$L1322='112'!$I$6)),"x",""))</f>
        <v/>
      </c>
      <c r="T1322" s="39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39" t="str">
        <f>IF(OR(TH!L1322=TH!$V$7,M1322=TH!$V$7),"x","")</f>
        <v/>
      </c>
      <c r="W1322" s="39" t="str">
        <f>IF(AND(B1322&gt;='IN-NX'!$P$3,B1322&lt;='IN-NX'!$Q$3,'IN-NX'!$D$7=D1322,OR(LEFT(L1322,2)="15",AND(LEFT(M1322,2)&lt;&gt;"15",LEFT(M1322,2)&lt;&gt;"33"))),"x","")</f>
        <v/>
      </c>
      <c r="X1322" s="39" t="str">
        <f>IF(AND(OR(LEFT(TH!L1322,2)="15",LEFT(TH!M1322,2)="15"),'152-CT'!$J$8=TH!F1322),"x","")</f>
        <v/>
      </c>
      <c r="Y1322" s="39" t="str">
        <f>IF(AND(OR(LEFT(TH!L1322,2)="15",LEFT(TH!M1322,2)="15"),TK!$E$7=TH!F1322),"x","")</f>
        <v/>
      </c>
      <c r="Z1322" s="39" t="str">
        <f>IF(AND(B1322&lt;=NKC!$N$8,B1322&gt;=NKC!$M$8),"x","")</f>
        <v/>
      </c>
      <c r="AA1322" s="894"/>
    </row>
    <row r="1323" spans="1:27" ht="15.75" customHeight="1">
      <c r="A1323" s="199" t="str">
        <f>IF(B1323&lt;&gt;"",IF(AND(B1323&gt;=_TM1,B1323&lt;=_TM2,OR(TH!L1323="1111",TH!M1323="1111")),TH!D1323,""),"")</f>
        <v/>
      </c>
      <c r="B1323" s="36" t="str">
        <f t="shared" si="46"/>
        <v/>
      </c>
      <c r="C1323" s="37"/>
      <c r="D1323" s="37"/>
      <c r="E1323" s="776"/>
      <c r="F1323" s="188"/>
      <c r="G1323" s="40"/>
      <c r="H1323" s="7"/>
      <c r="I1323" s="253"/>
      <c r="J1323" s="253"/>
      <c r="K1323" s="606"/>
      <c r="L1323" s="39"/>
      <c r="M1323" s="39"/>
      <c r="N1323" s="39" t="str">
        <f>IF(AND('331-CT'!$E$7=TH!H1323,OR(L1323="331",M1323="331")),"331",IF(AND(OR(L1323="131",M1323="131"),H1323='131-CT'!$E$7),"131",""))</f>
        <v/>
      </c>
      <c r="O1323" s="39" t="str">
        <f>IF(AND($B1323&gt;='111'!$N$11,$B1323&lt;='111'!$O$11,OR($L1323=$O$7,$M1323=$O$7)),"x","")</f>
        <v/>
      </c>
      <c r="P1323" s="39" t="str">
        <f>IF(AND($L1323=$O$7,$B1323&lt;'111'!$N$11),"x","")</f>
        <v/>
      </c>
      <c r="Q1323" s="39" t="str">
        <f>IF(AND($M1323=$O$7,$B1323&lt;'111'!$N$11),"x","")</f>
        <v/>
      </c>
      <c r="R1323" s="39" t="str">
        <f>IF(ISERROR(FIND('112'!$M$9,G1323,1)),"",IF((AND(FIND('112'!$M$9,G1323,1)&gt;=1,$B1323&gt;='112'!$N$8,$B1323&lt;='112'!$O$8,OR($L1323='112'!$I$6,$M1323='112'!$I$6))),"x",""))</f>
        <v/>
      </c>
      <c r="S1323" s="39" t="str">
        <f>IF(ISERROR(FIND('112'!$M$9,G1323,1)),"",IF((AND(LEFT(G1323,2)=LEFT('112'!$M$9,2),B1323&lt;'112'!$N$8,$L1323='112'!$I$6)),"x",""))</f>
        <v/>
      </c>
      <c r="T1323" s="39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39" t="str">
        <f>IF(OR(TH!L1323=TH!$V$7,M1323=TH!$V$7),"x","")</f>
        <v/>
      </c>
      <c r="W1323" s="39" t="str">
        <f>IF(AND(B1323&gt;='IN-NX'!$P$3,B1323&lt;='IN-NX'!$Q$3,'IN-NX'!$D$7=D1323,OR(LEFT(L1323,2)="15",AND(LEFT(M1323,2)&lt;&gt;"15",LEFT(M1323,2)&lt;&gt;"33"))),"x","")</f>
        <v/>
      </c>
      <c r="X1323" s="39" t="str">
        <f>IF(AND(OR(LEFT(TH!L1323,2)="15",LEFT(TH!M1323,2)="15"),'152-CT'!$J$8=TH!F1323),"x","")</f>
        <v/>
      </c>
      <c r="Y1323" s="39" t="str">
        <f>IF(AND(OR(LEFT(TH!L1323,2)="15",LEFT(TH!M1323,2)="15"),TK!$E$7=TH!F1323),"x","")</f>
        <v/>
      </c>
      <c r="Z1323" s="39" t="str">
        <f>IF(AND(B1323&lt;=NKC!$N$8,B1323&gt;=NKC!$M$8),"x","")</f>
        <v/>
      </c>
      <c r="AA1323" s="894"/>
    </row>
    <row r="1324" spans="1:27" ht="15.75" customHeight="1">
      <c r="A1324" s="199" t="str">
        <f>IF(B1324&lt;&gt;"",IF(AND(B1324&gt;=_TM1,B1324&lt;=_TM2,OR(TH!L1324="1111",TH!M1324="1111")),TH!D1324,""),"")</f>
        <v/>
      </c>
      <c r="B1324" s="36" t="str">
        <f t="shared" si="46"/>
        <v/>
      </c>
      <c r="C1324" s="37"/>
      <c r="D1324" s="37"/>
      <c r="E1324" s="776"/>
      <c r="F1324" s="188"/>
      <c r="G1324" s="40"/>
      <c r="H1324" s="7"/>
      <c r="I1324" s="253"/>
      <c r="J1324" s="253"/>
      <c r="K1324" s="606"/>
      <c r="L1324" s="39"/>
      <c r="M1324" s="39"/>
      <c r="N1324" s="39" t="str">
        <f>IF(AND('331-CT'!$E$7=TH!H1324,OR(L1324="331",M1324="331")),"331",IF(AND(OR(L1324="131",M1324="131"),H1324='131-CT'!$E$7),"131",""))</f>
        <v/>
      </c>
      <c r="O1324" s="39" t="str">
        <f>IF(AND($B1324&gt;='111'!$N$11,$B1324&lt;='111'!$O$11,OR($L1324=$O$7,$M1324=$O$7)),"x","")</f>
        <v/>
      </c>
      <c r="P1324" s="39" t="str">
        <f>IF(AND($L1324=$O$7,$B1324&lt;'111'!$N$11),"x","")</f>
        <v/>
      </c>
      <c r="Q1324" s="39" t="str">
        <f>IF(AND($M1324=$O$7,$B1324&lt;'111'!$N$11),"x","")</f>
        <v/>
      </c>
      <c r="R1324" s="39" t="str">
        <f>IF(ISERROR(FIND('112'!$M$9,G1324,1)),"",IF((AND(FIND('112'!$M$9,G1324,1)&gt;=1,$B1324&gt;='112'!$N$8,$B1324&lt;='112'!$O$8,OR($L1324='112'!$I$6,$M1324='112'!$I$6))),"x",""))</f>
        <v/>
      </c>
      <c r="S1324" s="39" t="str">
        <f>IF(ISERROR(FIND('112'!$M$9,G1324,1)),"",IF((AND(LEFT(G1324,2)=LEFT('112'!$M$9,2),B1324&lt;'112'!$N$8,$L1324='112'!$I$6)),"x",""))</f>
        <v/>
      </c>
      <c r="T1324" s="39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39" t="str">
        <f>IF(OR(TH!L1324=TH!$V$7,M1324=TH!$V$7),"x","")</f>
        <v/>
      </c>
      <c r="W1324" s="39" t="str">
        <f>IF(AND(B1324&gt;='IN-NX'!$P$3,B1324&lt;='IN-NX'!$Q$3,'IN-NX'!$D$7=D1324,OR(LEFT(L1324,2)="15",AND(LEFT(M1324,2)&lt;&gt;"15",LEFT(M1324,2)&lt;&gt;"33"))),"x","")</f>
        <v/>
      </c>
      <c r="X1324" s="39" t="str">
        <f>IF(AND(OR(LEFT(TH!L1324,2)="15",LEFT(TH!M1324,2)="15"),'152-CT'!$J$8=TH!F1324),"x","")</f>
        <v/>
      </c>
      <c r="Y1324" s="39" t="str">
        <f>IF(AND(OR(LEFT(TH!L1324,2)="15",LEFT(TH!M1324,2)="15"),TK!$E$7=TH!F1324),"x","")</f>
        <v/>
      </c>
      <c r="Z1324" s="39" t="str">
        <f>IF(AND(B1324&lt;=NKC!$N$8,B1324&gt;=NKC!$M$8),"x","")</f>
        <v/>
      </c>
      <c r="AA1324" s="894"/>
    </row>
    <row r="1325" spans="1:27" ht="15.75" customHeight="1">
      <c r="A1325" s="199" t="str">
        <f>IF(B1325&lt;&gt;"",IF(AND(B1325&gt;=_TM1,B1325&lt;=_TM2,OR(TH!L1325="1111",TH!M1325="1111")),TH!D1325,""),"")</f>
        <v/>
      </c>
      <c r="B1325" s="36" t="str">
        <f t="shared" si="46"/>
        <v/>
      </c>
      <c r="C1325" s="37"/>
      <c r="D1325" s="37"/>
      <c r="E1325" s="776"/>
      <c r="F1325" s="188"/>
      <c r="G1325" s="40"/>
      <c r="H1325" s="7"/>
      <c r="I1325" s="253"/>
      <c r="J1325" s="253"/>
      <c r="K1325" s="606"/>
      <c r="L1325" s="39"/>
      <c r="M1325" s="39"/>
      <c r="N1325" s="39" t="str">
        <f>IF(AND('331-CT'!$E$7=TH!H1325,OR(L1325="331",M1325="331")),"331",IF(AND(OR(L1325="131",M1325="131"),H1325='131-CT'!$E$7),"131",""))</f>
        <v/>
      </c>
      <c r="O1325" s="39" t="str">
        <f>IF(AND($B1325&gt;='111'!$N$11,$B1325&lt;='111'!$O$11,OR($L1325=$O$7,$M1325=$O$7)),"x","")</f>
        <v/>
      </c>
      <c r="P1325" s="39" t="str">
        <f>IF(AND($L1325=$O$7,$B1325&lt;'111'!$N$11),"x","")</f>
        <v/>
      </c>
      <c r="Q1325" s="39" t="str">
        <f>IF(AND($M1325=$O$7,$B1325&lt;'111'!$N$11),"x","")</f>
        <v/>
      </c>
      <c r="R1325" s="39" t="str">
        <f>IF(ISERROR(FIND('112'!$M$9,G1325,1)),"",IF((AND(FIND('112'!$M$9,G1325,1)&gt;=1,$B1325&gt;='112'!$N$8,$B1325&lt;='112'!$O$8,OR($L1325='112'!$I$6,$M1325='112'!$I$6))),"x",""))</f>
        <v/>
      </c>
      <c r="S1325" s="39" t="str">
        <f>IF(ISERROR(FIND('112'!$M$9,G1325,1)),"",IF((AND(LEFT(G1325,2)=LEFT('112'!$M$9,2),B1325&lt;'112'!$N$8,$L1325='112'!$I$6)),"x",""))</f>
        <v/>
      </c>
      <c r="T1325" s="39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39" t="str">
        <f>IF(OR(TH!L1325=TH!$V$7,M1325=TH!$V$7),"x","")</f>
        <v/>
      </c>
      <c r="W1325" s="39" t="str">
        <f>IF(AND(B1325&gt;='IN-NX'!$P$3,B1325&lt;='IN-NX'!$Q$3,'IN-NX'!$D$7=D1325,OR(LEFT(L1325,2)="15",AND(LEFT(M1325,2)&lt;&gt;"15",LEFT(M1325,2)&lt;&gt;"33"))),"x","")</f>
        <v/>
      </c>
      <c r="X1325" s="39" t="str">
        <f>IF(AND(OR(LEFT(TH!L1325,2)="15",LEFT(TH!M1325,2)="15"),'152-CT'!$J$8=TH!F1325),"x","")</f>
        <v/>
      </c>
      <c r="Y1325" s="39" t="str">
        <f>IF(AND(OR(LEFT(TH!L1325,2)="15",LEFT(TH!M1325,2)="15"),TK!$E$7=TH!F1325),"x","")</f>
        <v/>
      </c>
      <c r="Z1325" s="39" t="str">
        <f>IF(AND(B1325&lt;=NKC!$N$8,B1325&gt;=NKC!$M$8),"x","")</f>
        <v/>
      </c>
      <c r="AA1325" s="894"/>
    </row>
    <row r="1326" spans="1:27" ht="15.75" customHeight="1">
      <c r="A1326" s="199" t="str">
        <f>IF(B1326&lt;&gt;"",IF(AND(B1326&gt;=_TM1,B1326&lt;=_TM2,OR(TH!L1326="1111",TH!M1326="1111")),TH!D1326,""),"")</f>
        <v/>
      </c>
      <c r="B1326" s="36" t="str">
        <f t="shared" si="46"/>
        <v/>
      </c>
      <c r="C1326" s="37"/>
      <c r="D1326" s="37"/>
      <c r="E1326" s="776"/>
      <c r="F1326" s="188"/>
      <c r="G1326" s="40"/>
      <c r="H1326" s="7"/>
      <c r="I1326" s="253"/>
      <c r="J1326" s="253"/>
      <c r="K1326" s="606"/>
      <c r="L1326" s="39"/>
      <c r="M1326" s="39"/>
      <c r="N1326" s="39" t="str">
        <f>IF(AND('331-CT'!$E$7=TH!H1326,OR(L1326="331",M1326="331")),"331",IF(AND(OR(L1326="131",M1326="131"),H1326='131-CT'!$E$7),"131",""))</f>
        <v/>
      </c>
      <c r="O1326" s="39" t="str">
        <f>IF(AND($B1326&gt;='111'!$N$11,$B1326&lt;='111'!$O$11,OR($L1326=$O$7,$M1326=$O$7)),"x","")</f>
        <v/>
      </c>
      <c r="P1326" s="39" t="str">
        <f>IF(AND($L1326=$O$7,$B1326&lt;'111'!$N$11),"x","")</f>
        <v/>
      </c>
      <c r="Q1326" s="39" t="str">
        <f>IF(AND($M1326=$O$7,$B1326&lt;'111'!$N$11),"x","")</f>
        <v/>
      </c>
      <c r="R1326" s="39" t="str">
        <f>IF(ISERROR(FIND('112'!$M$9,G1326,1)),"",IF((AND(FIND('112'!$M$9,G1326,1)&gt;=1,$B1326&gt;='112'!$N$8,$B1326&lt;='112'!$O$8,OR($L1326='112'!$I$6,$M1326='112'!$I$6))),"x",""))</f>
        <v/>
      </c>
      <c r="S1326" s="39" t="str">
        <f>IF(ISERROR(FIND('112'!$M$9,G1326,1)),"",IF((AND(LEFT(G1326,2)=LEFT('112'!$M$9,2),B1326&lt;'112'!$N$8,$L1326='112'!$I$6)),"x",""))</f>
        <v/>
      </c>
      <c r="T1326" s="39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39" t="str">
        <f>IF(OR(TH!L1326=TH!$V$7,M1326=TH!$V$7),"x","")</f>
        <v/>
      </c>
      <c r="W1326" s="39" t="str">
        <f>IF(AND(B1326&gt;='IN-NX'!$P$3,B1326&lt;='IN-NX'!$Q$3,'IN-NX'!$D$7=D1326,OR(LEFT(L1326,2)="15",AND(LEFT(M1326,2)&lt;&gt;"15",LEFT(M1326,2)&lt;&gt;"33"))),"x","")</f>
        <v/>
      </c>
      <c r="X1326" s="39" t="str">
        <f>IF(AND(OR(LEFT(TH!L1326,2)="15",LEFT(TH!M1326,2)="15"),'152-CT'!$J$8=TH!F1326),"x","")</f>
        <v/>
      </c>
      <c r="Y1326" s="39" t="str">
        <f>IF(AND(OR(LEFT(TH!L1326,2)="15",LEFT(TH!M1326,2)="15"),TK!$E$7=TH!F1326),"x","")</f>
        <v/>
      </c>
      <c r="Z1326" s="39" t="str">
        <f>IF(AND(B1326&lt;=NKC!$N$8,B1326&gt;=NKC!$M$8),"x","")</f>
        <v/>
      </c>
      <c r="AA1326" s="894"/>
    </row>
    <row r="1327" spans="1:27" ht="15.75" customHeight="1">
      <c r="A1327" s="199" t="str">
        <f>IF(B1327&lt;&gt;"",IF(AND(B1327&gt;=_TM1,B1327&lt;=_TM2,OR(TH!L1327="1111",TH!M1327="1111")),TH!D1327,""),"")</f>
        <v/>
      </c>
      <c r="B1327" s="36" t="str">
        <f t="shared" si="46"/>
        <v/>
      </c>
      <c r="C1327" s="37"/>
      <c r="D1327" s="37"/>
      <c r="E1327" s="776"/>
      <c r="F1327" s="188"/>
      <c r="G1327" s="40"/>
      <c r="H1327" s="7"/>
      <c r="I1327" s="821"/>
      <c r="J1327" s="253"/>
      <c r="K1327" s="606"/>
      <c r="L1327" s="39"/>
      <c r="M1327" s="39"/>
      <c r="N1327" s="39" t="str">
        <f>IF(AND('331-CT'!$E$7=TH!H1327,OR(L1327="331",M1327="331")),"331",IF(AND(OR(L1327="131",M1327="131"),H1327='131-CT'!$E$7),"131",""))</f>
        <v/>
      </c>
      <c r="O1327" s="39" t="str">
        <f>IF(AND($B1327&gt;='111'!$N$11,$B1327&lt;='111'!$O$11,OR($L1327=$O$7,$M1327=$O$7)),"x","")</f>
        <v/>
      </c>
      <c r="P1327" s="39" t="str">
        <f>IF(AND($L1327=$O$7,$B1327&lt;'111'!$N$11),"x","")</f>
        <v/>
      </c>
      <c r="Q1327" s="39" t="str">
        <f>IF(AND($M1327=$O$7,$B1327&lt;'111'!$N$11),"x","")</f>
        <v/>
      </c>
      <c r="R1327" s="39" t="str">
        <f>IF(ISERROR(FIND('112'!$M$9,G1327,1)),"",IF((AND(FIND('112'!$M$9,G1327,1)&gt;=1,$B1327&gt;='112'!$N$8,$B1327&lt;='112'!$O$8,OR($L1327='112'!$I$6,$M1327='112'!$I$6))),"x",""))</f>
        <v/>
      </c>
      <c r="S1327" s="39" t="str">
        <f>IF(ISERROR(FIND('112'!$M$9,G1327,1)),"",IF((AND(LEFT(G1327,2)=LEFT('112'!$M$9,2),B1327&lt;'112'!$N$8,$L1327='112'!$I$6)),"x",""))</f>
        <v/>
      </c>
      <c r="T1327" s="39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39" t="str">
        <f>IF(OR(TH!L1327=TH!$V$7,M1327=TH!$V$7),"x","")</f>
        <v/>
      </c>
      <c r="W1327" s="39" t="str">
        <f>IF(AND(B1327&gt;='IN-NX'!$P$3,B1327&lt;='IN-NX'!$Q$3,'IN-NX'!$D$7=D1327,OR(LEFT(L1327,2)="15",AND(LEFT(M1327,2)&lt;&gt;"15",LEFT(M1327,2)&lt;&gt;"33"))),"x","")</f>
        <v/>
      </c>
      <c r="X1327" s="39" t="str">
        <f>IF(AND(OR(LEFT(TH!L1327,2)="15",LEFT(TH!M1327,2)="15"),'152-CT'!$J$8=TH!F1327),"x","")</f>
        <v/>
      </c>
      <c r="Y1327" s="39" t="str">
        <f>IF(AND(OR(LEFT(TH!L1327,2)="15",LEFT(TH!M1327,2)="15"),TK!$E$7=TH!F1327),"x","")</f>
        <v/>
      </c>
      <c r="Z1327" s="39" t="str">
        <f>IF(AND(B1327&lt;=NKC!$N$8,B1327&gt;=NKC!$M$8),"x","")</f>
        <v/>
      </c>
      <c r="AA1327" s="894"/>
    </row>
    <row r="1328" spans="1:27" ht="15.75" customHeight="1">
      <c r="A1328" s="199" t="str">
        <f>IF(B1328&lt;&gt;"",IF(AND(B1328&gt;=_TM1,B1328&lt;=_TM2,OR(TH!L1328="1111",TH!M1328="1111")),TH!D1328,""),"")</f>
        <v/>
      </c>
      <c r="B1328" s="36" t="str">
        <f t="shared" si="46"/>
        <v/>
      </c>
      <c r="C1328" s="190"/>
      <c r="D1328" s="190"/>
      <c r="E1328" s="190"/>
      <c r="F1328" s="191"/>
      <c r="G1328" s="491"/>
      <c r="H1328" s="192"/>
      <c r="I1328" s="253"/>
      <c r="J1328" s="253"/>
      <c r="K1328" s="606"/>
      <c r="L1328" s="193"/>
      <c r="M1328" s="193"/>
      <c r="N1328" s="39" t="str">
        <f>IF(AND('331-CT'!$E$7=TH!H1328,OR(L1328="331",M1328="331")),"331",IF(AND(OR(L1328="131",M1328="131"),H1328='131-CT'!$E$7),"131",""))</f>
        <v/>
      </c>
      <c r="O1328" s="39" t="str">
        <f>IF(AND($B1328&gt;='111'!$N$11,$B1328&lt;='111'!$O$11,OR($L1328=$O$7,$M1328=$O$7)),"x","")</f>
        <v/>
      </c>
      <c r="P1328" s="39" t="str">
        <f>IF(AND($L1328=$O$7,$B1328&lt;'111'!$N$11),"x","")</f>
        <v/>
      </c>
      <c r="Q1328" s="39" t="str">
        <f>IF(AND($M1328=$O$7,$B1328&lt;'111'!$N$11),"x","")</f>
        <v/>
      </c>
      <c r="R1328" s="39" t="str">
        <f>IF(ISERROR(FIND('112'!$M$9,G1328,1)),"",IF((AND(FIND('112'!$M$9,G1328,1)&gt;=1,$B1328&gt;='112'!$N$8,$B1328&lt;='112'!$O$8,OR($L1328='112'!$I$6,$M1328='112'!$I$6))),"x",""))</f>
        <v/>
      </c>
      <c r="S1328" s="39" t="str">
        <f>IF(ISERROR(FIND('112'!$M$9,G1328,1)),"",IF((AND(LEFT(G1328,2)=LEFT('112'!$M$9,2),B1328&lt;'112'!$N$8,$L1328='112'!$I$6)),"x",""))</f>
        <v/>
      </c>
      <c r="T1328" s="39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39" t="str">
        <f>IF(OR(TH!L1328=TH!$V$7,M1328=TH!$V$7),"x","")</f>
        <v/>
      </c>
      <c r="W1328" s="39" t="str">
        <f>IF(AND(B1328&gt;='IN-NX'!$P$3,B1328&lt;='IN-NX'!$Q$3,'IN-NX'!$D$7=D1328,OR(LEFT(L1328,2)="15",AND(LEFT(M1328,2)&lt;&gt;"15",LEFT(M1328,2)&lt;&gt;"33"))),"x","")</f>
        <v/>
      </c>
      <c r="X1328" s="39" t="str">
        <f>IF(AND(OR(LEFT(TH!L1328,2)="15",LEFT(TH!M1328,2)="15"),'152-CT'!$J$8=TH!F1328),"x","")</f>
        <v/>
      </c>
      <c r="Y1328" s="39" t="str">
        <f>IF(AND(OR(LEFT(TH!L1328,2)="15",LEFT(TH!M1328,2)="15"),TK!$E$7=TH!F1328),"x","")</f>
        <v/>
      </c>
      <c r="Z1328" s="39" t="str">
        <f>IF(AND(B1328&lt;=NKC!$N$8,B1328&gt;=NKC!$M$8),"x","")</f>
        <v/>
      </c>
      <c r="AA1328" s="894"/>
    </row>
    <row r="1329" spans="1:27" ht="15.75" customHeight="1">
      <c r="A1329" s="199" t="str">
        <f>IF(B1329&lt;&gt;"",IF(AND(B1329&gt;=_TM1,B1329&lt;=_TM2,OR(TH!L1329="1111",TH!M1329="1111")),TH!D1329,""),"")</f>
        <v/>
      </c>
      <c r="B1329" s="36" t="str">
        <f t="shared" si="46"/>
        <v/>
      </c>
      <c r="C1329" s="190"/>
      <c r="D1329" s="190"/>
      <c r="E1329" s="190"/>
      <c r="F1329" s="191"/>
      <c r="G1329" s="491"/>
      <c r="H1329" s="192"/>
      <c r="I1329" s="253"/>
      <c r="J1329" s="253"/>
      <c r="K1329" s="606"/>
      <c r="L1329" s="193"/>
      <c r="M1329" s="193"/>
      <c r="N1329" s="39" t="str">
        <f>IF(AND('331-CT'!$E$7=TH!H1329,OR(L1329="331",M1329="331")),"331",IF(AND(OR(L1329="131",M1329="131"),H1329='131-CT'!$E$7),"131",""))</f>
        <v/>
      </c>
      <c r="O1329" s="39" t="str">
        <f>IF(AND($B1329&gt;='111'!$N$11,$B1329&lt;='111'!$O$11,OR($L1329=$O$7,$M1329=$O$7)),"x","")</f>
        <v/>
      </c>
      <c r="P1329" s="39" t="str">
        <f>IF(AND($L1329=$O$7,$B1329&lt;'111'!$N$11),"x","")</f>
        <v/>
      </c>
      <c r="Q1329" s="39" t="str">
        <f>IF(AND($M1329=$O$7,$B1329&lt;'111'!$N$11),"x","")</f>
        <v/>
      </c>
      <c r="R1329" s="39" t="str">
        <f>IF(ISERROR(FIND('112'!$M$9,G1329,1)),"",IF((AND(FIND('112'!$M$9,G1329,1)&gt;=1,$B1329&gt;='112'!$N$8,$B1329&lt;='112'!$O$8,OR($L1329='112'!$I$6,$M1329='112'!$I$6))),"x",""))</f>
        <v/>
      </c>
      <c r="S1329" s="39" t="str">
        <f>IF(ISERROR(FIND('112'!$M$9,G1329,1)),"",IF((AND(LEFT(G1329,2)=LEFT('112'!$M$9,2),B1329&lt;'112'!$N$8,$L1329='112'!$I$6)),"x",""))</f>
        <v/>
      </c>
      <c r="T1329" s="39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39" t="str">
        <f>IF(OR(TH!L1329=TH!$V$7,M1329=TH!$V$7),"x","")</f>
        <v/>
      </c>
      <c r="W1329" s="39" t="str">
        <f>IF(AND(B1329&gt;='IN-NX'!$P$3,B1329&lt;='IN-NX'!$Q$3,'IN-NX'!$D$7=D1329,OR(LEFT(L1329,2)="15",AND(LEFT(M1329,2)&lt;&gt;"15",LEFT(M1329,2)&lt;&gt;"33"))),"x","")</f>
        <v/>
      </c>
      <c r="X1329" s="39" t="str">
        <f>IF(AND(OR(LEFT(TH!L1329,2)="15",LEFT(TH!M1329,2)="15"),'152-CT'!$J$8=TH!F1329),"x","")</f>
        <v/>
      </c>
      <c r="Y1329" s="39" t="str">
        <f>IF(AND(OR(LEFT(TH!L1329,2)="15",LEFT(TH!M1329,2)="15"),TK!$E$7=TH!F1329),"x","")</f>
        <v/>
      </c>
      <c r="Z1329" s="39" t="str">
        <f>IF(AND(B1329&lt;=NKC!$N$8,B1329&gt;=NKC!$M$8),"x","")</f>
        <v/>
      </c>
      <c r="AA1329" s="894"/>
    </row>
    <row r="1330" spans="1:27" ht="15.75" customHeight="1">
      <c r="A1330" s="199" t="str">
        <f>IF(B1330&lt;&gt;"",IF(AND(B1330&gt;=_TM1,B1330&lt;=_TM2,OR(TH!L1330="1111",TH!M1330="1111")),TH!D1330,""),"")</f>
        <v/>
      </c>
      <c r="B1330" s="36" t="str">
        <f t="shared" si="46"/>
        <v/>
      </c>
      <c r="C1330" s="190"/>
      <c r="D1330" s="190"/>
      <c r="E1330" s="190"/>
      <c r="F1330" s="191"/>
      <c r="G1330" s="491"/>
      <c r="H1330" s="192"/>
      <c r="I1330" s="253"/>
      <c r="J1330" s="253"/>
      <c r="K1330" s="606"/>
      <c r="L1330" s="193"/>
      <c r="M1330" s="193"/>
      <c r="N1330" s="39" t="str">
        <f>IF(AND('331-CT'!$E$7=TH!H1330,OR(L1330="331",M1330="331")),"331",IF(AND(OR(L1330="131",M1330="131"),H1330='131-CT'!$E$7),"131",""))</f>
        <v/>
      </c>
      <c r="O1330" s="39" t="str">
        <f>IF(AND($B1330&gt;='111'!$N$11,$B1330&lt;='111'!$O$11,OR($L1330=$O$7,$M1330=$O$7)),"x","")</f>
        <v/>
      </c>
      <c r="P1330" s="39" t="str">
        <f>IF(AND($L1330=$O$7,$B1330&lt;'111'!$N$11),"x","")</f>
        <v/>
      </c>
      <c r="Q1330" s="39" t="str">
        <f>IF(AND($M1330=$O$7,$B1330&lt;'111'!$N$11),"x","")</f>
        <v/>
      </c>
      <c r="R1330" s="39" t="str">
        <f>IF(ISERROR(FIND('112'!$M$9,G1330,1)),"",IF((AND(FIND('112'!$M$9,G1330,1)&gt;=1,$B1330&gt;='112'!$N$8,$B1330&lt;='112'!$O$8,OR($L1330='112'!$I$6,$M1330='112'!$I$6))),"x",""))</f>
        <v/>
      </c>
      <c r="S1330" s="39" t="str">
        <f>IF(ISERROR(FIND('112'!$M$9,G1330,1)),"",IF((AND(LEFT(G1330,2)=LEFT('112'!$M$9,2),B1330&lt;'112'!$N$8,$L1330='112'!$I$6)),"x",""))</f>
        <v/>
      </c>
      <c r="T1330" s="39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39" t="str">
        <f>IF(OR(TH!L1330=TH!$V$7,M1330=TH!$V$7),"x","")</f>
        <v/>
      </c>
      <c r="W1330" s="39" t="str">
        <f>IF(AND(B1330&gt;='IN-NX'!$P$3,B1330&lt;='IN-NX'!$Q$3,'IN-NX'!$D$7=D1330,OR(LEFT(L1330,2)="15",AND(LEFT(M1330,2)&lt;&gt;"15",LEFT(M1330,2)&lt;&gt;"33"))),"x","")</f>
        <v/>
      </c>
      <c r="X1330" s="39" t="str">
        <f>IF(AND(OR(LEFT(TH!L1330,2)="15",LEFT(TH!M1330,2)="15"),'152-CT'!$J$8=TH!F1330),"x","")</f>
        <v/>
      </c>
      <c r="Y1330" s="39" t="str">
        <f>IF(AND(OR(LEFT(TH!L1330,2)="15",LEFT(TH!M1330,2)="15"),TK!$E$7=TH!F1330),"x","")</f>
        <v/>
      </c>
      <c r="Z1330" s="39" t="str">
        <f>IF(AND(B1330&lt;=NKC!$N$8,B1330&gt;=NKC!$M$8),"x","")</f>
        <v/>
      </c>
      <c r="AA1330" s="894"/>
    </row>
    <row r="1331" spans="1:27" ht="15.75" customHeight="1">
      <c r="A1331" s="199" t="str">
        <f>IF(B1331&lt;&gt;"",IF(AND(B1331&gt;=_TM1,B1331&lt;=_TM2,OR(TH!L1331="1111",TH!M1331="1111")),TH!D1331,""),"")</f>
        <v/>
      </c>
      <c r="B1331" s="36" t="str">
        <f t="shared" si="46"/>
        <v/>
      </c>
      <c r="C1331" s="37"/>
      <c r="D1331" s="37"/>
      <c r="E1331" s="37"/>
      <c r="F1331" s="40"/>
      <c r="G1331" s="40"/>
      <c r="H1331" s="7"/>
      <c r="I1331" s="253"/>
      <c r="J1331" s="253"/>
      <c r="K1331" s="606"/>
      <c r="L1331" s="39"/>
      <c r="M1331" s="39"/>
      <c r="N1331" s="39" t="str">
        <f>IF(AND('331-CT'!$E$7=TH!H1331,OR(L1331="331",M1331="331")),"331",IF(AND(OR(L1331="131",M1331="131"),H1331='131-CT'!$E$7),"131",""))</f>
        <v/>
      </c>
      <c r="O1331" s="39" t="str">
        <f>IF(AND($B1331&gt;='111'!$N$11,$B1331&lt;='111'!$O$11,OR($L1331=$O$7,$M1331=$O$7)),"x","")</f>
        <v/>
      </c>
      <c r="P1331" s="39" t="str">
        <f>IF(AND($L1331=$O$7,$B1331&lt;'111'!$N$11),"x","")</f>
        <v/>
      </c>
      <c r="Q1331" s="39" t="str">
        <f>IF(AND($M1331=$O$7,$B1331&lt;'111'!$N$11),"x","")</f>
        <v/>
      </c>
      <c r="R1331" s="39" t="str">
        <f>IF(ISERROR(FIND('112'!$M$9,G1331,1)),"",IF((AND(FIND('112'!$M$9,G1331,1)&gt;=1,$B1331&gt;='112'!$N$8,$B1331&lt;='112'!$O$8,OR($L1331='112'!$I$6,$M1331='112'!$I$6))),"x",""))</f>
        <v/>
      </c>
      <c r="S1331" s="39" t="str">
        <f>IF(ISERROR(FIND('112'!$M$9,G1331,1)),"",IF((AND(LEFT(G1331,2)=LEFT('112'!$M$9,2),B1331&lt;'112'!$N$8,$L1331='112'!$I$6)),"x",""))</f>
        <v/>
      </c>
      <c r="T1331" s="39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39" t="str">
        <f>IF(OR(TH!L1331=TH!$V$7,M1331=TH!$V$7),"x","")</f>
        <v/>
      </c>
      <c r="W1331" s="39" t="str">
        <f>IF(AND(B1331&gt;='IN-NX'!$P$3,B1331&lt;='IN-NX'!$Q$3,'IN-NX'!$D$7=D1331,OR(LEFT(L1331,2)="15",AND(LEFT(M1331,2)&lt;&gt;"15",LEFT(M1331,2)&lt;&gt;"33"))),"x","")</f>
        <v/>
      </c>
      <c r="X1331" s="39" t="str">
        <f>IF(AND(OR(LEFT(TH!L1331,2)="15",LEFT(TH!M1331,2)="15"),'152-CT'!$J$8=TH!F1331),"x","")</f>
        <v/>
      </c>
      <c r="Y1331" s="39" t="str">
        <f>IF(AND(OR(LEFT(TH!L1331,2)="15",LEFT(TH!M1331,2)="15"),TK!$E$7=TH!F1331),"x","")</f>
        <v/>
      </c>
      <c r="Z1331" s="39" t="str">
        <f>IF(AND(B1331&lt;=NKC!$N$8,B1331&gt;=NKC!$M$8),"x","")</f>
        <v/>
      </c>
      <c r="AA1331" s="894"/>
    </row>
    <row r="1332" spans="1:27" ht="15.75" customHeight="1">
      <c r="A1332" s="199" t="str">
        <f>IF(B1332&lt;&gt;"",IF(AND(B1332&gt;=_TM1,B1332&lt;=_TM2,OR(TH!L1332="1111",TH!M1332="1111")),TH!D1332,""),"")</f>
        <v/>
      </c>
      <c r="B1332" s="36" t="str">
        <f t="shared" si="46"/>
        <v/>
      </c>
      <c r="C1332" s="37"/>
      <c r="D1332" s="37"/>
      <c r="E1332" s="37"/>
      <c r="F1332" s="40"/>
      <c r="G1332" s="40"/>
      <c r="H1332" s="7"/>
      <c r="I1332" s="253"/>
      <c r="J1332" s="253"/>
      <c r="K1332" s="606"/>
      <c r="L1332" s="39"/>
      <c r="M1332" s="39"/>
      <c r="N1332" s="39" t="str">
        <f>IF(AND('331-CT'!$E$7=TH!H1332,OR(L1332="331",M1332="331")),"331",IF(AND(OR(L1332="131",M1332="131"),H1332='131-CT'!$E$7),"131",""))</f>
        <v/>
      </c>
      <c r="O1332" s="39" t="str">
        <f>IF(AND($B1332&gt;='111'!$N$11,$B1332&lt;='111'!$O$11,OR($L1332=$O$7,$M1332=$O$7)),"x","")</f>
        <v/>
      </c>
      <c r="P1332" s="39" t="str">
        <f>IF(AND($L1332=$O$7,$B1332&lt;'111'!$N$11),"x","")</f>
        <v/>
      </c>
      <c r="Q1332" s="39" t="str">
        <f>IF(AND($M1332=$O$7,$B1332&lt;'111'!$N$11),"x","")</f>
        <v/>
      </c>
      <c r="R1332" s="39" t="str">
        <f>IF(ISERROR(FIND('112'!$M$9,G1332,1)),"",IF((AND(FIND('112'!$M$9,G1332,1)&gt;=1,$B1332&gt;='112'!$N$8,$B1332&lt;='112'!$O$8,OR($L1332='112'!$I$6,$M1332='112'!$I$6))),"x",""))</f>
        <v/>
      </c>
      <c r="S1332" s="39" t="str">
        <f>IF(ISERROR(FIND('112'!$M$9,G1332,1)),"",IF((AND(LEFT(G1332,2)=LEFT('112'!$M$9,2),B1332&lt;'112'!$N$8,$L1332='112'!$I$6)),"x",""))</f>
        <v/>
      </c>
      <c r="T1332" s="39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39" t="str">
        <f>IF(OR(TH!L1332=TH!$V$7,M1332=TH!$V$7),"x","")</f>
        <v/>
      </c>
      <c r="W1332" s="39" t="str">
        <f>IF(AND(B1332&gt;='IN-NX'!$P$3,B1332&lt;='IN-NX'!$Q$3,'IN-NX'!$D$7=D1332,OR(LEFT(L1332,2)="15",AND(LEFT(M1332,2)&lt;&gt;"15",LEFT(M1332,2)&lt;&gt;"33"))),"x","")</f>
        <v/>
      </c>
      <c r="X1332" s="39" t="str">
        <f>IF(AND(OR(LEFT(TH!L1332,2)="15",LEFT(TH!M1332,2)="15"),'152-CT'!$J$8=TH!F1332),"x","")</f>
        <v/>
      </c>
      <c r="Y1332" s="39" t="str">
        <f>IF(AND(OR(LEFT(TH!L1332,2)="15",LEFT(TH!M1332,2)="15"),TK!$E$7=TH!F1332),"x","")</f>
        <v/>
      </c>
      <c r="Z1332" s="39" t="str">
        <f>IF(AND(B1332&lt;=NKC!$N$8,B1332&gt;=NKC!$M$8),"x","")</f>
        <v/>
      </c>
      <c r="AA1332" s="894"/>
    </row>
    <row r="1333" spans="1:27" ht="15.75" customHeight="1">
      <c r="A1333" s="199" t="str">
        <f>IF(B1333&lt;&gt;"",IF(AND(B1333&gt;=_TM1,B1333&lt;=_TM2,OR(TH!L1333="1111",TH!M1333="1111")),TH!D1333,""),"")</f>
        <v/>
      </c>
      <c r="B1333" s="36" t="str">
        <f t="shared" si="46"/>
        <v/>
      </c>
      <c r="C1333" s="183"/>
      <c r="D1333" s="183"/>
      <c r="E1333" s="183"/>
      <c r="F1333" s="188"/>
      <c r="G1333" s="608"/>
      <c r="H1333" s="7"/>
      <c r="I1333" s="253"/>
      <c r="J1333" s="253"/>
      <c r="K1333" s="606"/>
      <c r="L1333" s="607"/>
      <c r="M1333" s="607"/>
      <c r="N1333" s="39" t="str">
        <f>IF(AND('331-CT'!$E$7=TH!H1333,OR(L1333="331",M1333="331")),"331",IF(AND(OR(L1333="131",M1333="131"),H1333='131-CT'!$E$7),"131",""))</f>
        <v/>
      </c>
      <c r="O1333" s="39" t="str">
        <f>IF(AND($B1333&gt;='111'!$N$11,$B1333&lt;='111'!$O$11,OR($L1333=$O$7,$M1333=$O$7)),"x","")</f>
        <v/>
      </c>
      <c r="P1333" s="39" t="str">
        <f>IF(AND($L1333=$O$7,$B1333&lt;'111'!$N$11),"x","")</f>
        <v/>
      </c>
      <c r="Q1333" s="39" t="str">
        <f>IF(AND($M1333=$O$7,$B1333&lt;'111'!$N$11),"x","")</f>
        <v/>
      </c>
      <c r="R1333" s="39" t="str">
        <f>IF(ISERROR(FIND('112'!$M$9,G1333,1)),"",IF((AND(FIND('112'!$M$9,G1333,1)&gt;=1,$B1333&gt;='112'!$N$8,$B1333&lt;='112'!$O$8,OR($L1333='112'!$I$6,$M1333='112'!$I$6))),"x",""))</f>
        <v/>
      </c>
      <c r="S1333" s="39" t="str">
        <f>IF(ISERROR(FIND('112'!$M$9,G1333,1)),"",IF((AND(LEFT(G1333,2)=LEFT('112'!$M$9,2),B1333&lt;'112'!$N$8,$L1333='112'!$I$6)),"x",""))</f>
        <v/>
      </c>
      <c r="T1333" s="39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39" t="str">
        <f>IF(OR(TH!L1333=TH!$V$7,M1333=TH!$V$7),"x","")</f>
        <v/>
      </c>
      <c r="W1333" s="39" t="str">
        <f>IF(AND(B1333&gt;='IN-NX'!$P$3,B1333&lt;='IN-NX'!$Q$3,'IN-NX'!$D$7=D1333,OR(LEFT(L1333,2)="15",AND(LEFT(M1333,2)&lt;&gt;"15",LEFT(M1333,2)&lt;&gt;"33"))),"x","")</f>
        <v/>
      </c>
      <c r="X1333" s="39" t="str">
        <f>IF(AND(OR(LEFT(TH!L1333,2)="15",LEFT(TH!M1333,2)="15"),'152-CT'!$J$8=TH!F1333),"x","")</f>
        <v/>
      </c>
      <c r="Y1333" s="39" t="str">
        <f>IF(AND(OR(LEFT(TH!L1333,2)="15",LEFT(TH!M1333,2)="15"),TK!$E$7=TH!F1333),"x","")</f>
        <v/>
      </c>
      <c r="Z1333" s="39" t="str">
        <f>IF(AND(B1333&lt;=NKC!$N$8,B1333&gt;=NKC!$M$8),"x","")</f>
        <v/>
      </c>
      <c r="AA1333" s="894"/>
    </row>
    <row r="1334" spans="1:27" ht="15.75" customHeight="1">
      <c r="A1334" s="199" t="str">
        <f>IF(B1334&lt;&gt;"",IF(AND(B1334&gt;=_TM1,B1334&lt;=_TM2,OR(TH!L1334="1111",TH!M1334="1111")),TH!D1334,""),"")</f>
        <v/>
      </c>
      <c r="B1334" s="36" t="str">
        <f t="shared" si="46"/>
        <v/>
      </c>
      <c r="C1334" s="183"/>
      <c r="D1334" s="183"/>
      <c r="E1334" s="183"/>
      <c r="F1334" s="188"/>
      <c r="G1334" s="608"/>
      <c r="H1334" s="7"/>
      <c r="I1334" s="253"/>
      <c r="J1334" s="253"/>
      <c r="K1334" s="606"/>
      <c r="L1334" s="607"/>
      <c r="M1334" s="607"/>
      <c r="N1334" s="39" t="str">
        <f>IF(AND('331-CT'!$E$7=TH!H1334,OR(L1334="331",M1334="331")),"331",IF(AND(OR(L1334="131",M1334="131"),H1334='131-CT'!$E$7),"131",""))</f>
        <v/>
      </c>
      <c r="O1334" s="39" t="str">
        <f>IF(AND($B1334&gt;='111'!$N$11,$B1334&lt;='111'!$O$11,OR($L1334=$O$7,$M1334=$O$7)),"x","")</f>
        <v/>
      </c>
      <c r="P1334" s="39" t="str">
        <f>IF(AND($L1334=$O$7,$B1334&lt;'111'!$N$11),"x","")</f>
        <v/>
      </c>
      <c r="Q1334" s="39" t="str">
        <f>IF(AND($M1334=$O$7,$B1334&lt;'111'!$N$11),"x","")</f>
        <v/>
      </c>
      <c r="R1334" s="39" t="str">
        <f>IF(ISERROR(FIND('112'!$M$9,G1334,1)),"",IF((AND(FIND('112'!$M$9,G1334,1)&gt;=1,$B1334&gt;='112'!$N$8,$B1334&lt;='112'!$O$8,OR($L1334='112'!$I$6,$M1334='112'!$I$6))),"x",""))</f>
        <v/>
      </c>
      <c r="S1334" s="39" t="str">
        <f>IF(ISERROR(FIND('112'!$M$9,G1334,1)),"",IF((AND(LEFT(G1334,2)=LEFT('112'!$M$9,2),B1334&lt;'112'!$N$8,$L1334='112'!$I$6)),"x",""))</f>
        <v/>
      </c>
      <c r="T1334" s="39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39" t="str">
        <f>IF(OR(TH!L1334=TH!$V$7,M1334=TH!$V$7),"x","")</f>
        <v/>
      </c>
      <c r="W1334" s="39" t="str">
        <f>IF(AND(B1334&gt;='IN-NX'!$P$3,B1334&lt;='IN-NX'!$Q$3,'IN-NX'!$D$7=D1334,OR(LEFT(L1334,2)="15",AND(LEFT(M1334,2)&lt;&gt;"15",LEFT(M1334,2)&lt;&gt;"33"))),"x","")</f>
        <v/>
      </c>
      <c r="X1334" s="39" t="str">
        <f>IF(AND(OR(LEFT(TH!L1334,2)="15",LEFT(TH!M1334,2)="15"),'152-CT'!$J$8=TH!F1334),"x","")</f>
        <v/>
      </c>
      <c r="Y1334" s="39" t="str">
        <f>IF(AND(OR(LEFT(TH!L1334,2)="15",LEFT(TH!M1334,2)="15"),TK!$E$7=TH!F1334),"x","")</f>
        <v/>
      </c>
      <c r="Z1334" s="39" t="str">
        <f>IF(AND(B1334&lt;=NKC!$N$8,B1334&gt;=NKC!$M$8),"x","")</f>
        <v/>
      </c>
      <c r="AA1334" s="894"/>
    </row>
    <row r="1335" spans="1:27" ht="15.75" customHeight="1">
      <c r="A1335" s="199" t="str">
        <f>IF(B1335&lt;&gt;"",IF(AND(B1335&gt;=_TM1,B1335&lt;=_TM2,OR(TH!L1335="1111",TH!M1335="1111")),TH!D1335,""),"")</f>
        <v/>
      </c>
      <c r="B1335" s="36" t="str">
        <f t="shared" si="46"/>
        <v/>
      </c>
      <c r="C1335" s="183"/>
      <c r="D1335" s="183"/>
      <c r="E1335" s="183"/>
      <c r="F1335" s="188"/>
      <c r="G1335" s="608"/>
      <c r="H1335" s="7"/>
      <c r="I1335" s="253"/>
      <c r="J1335" s="253"/>
      <c r="K1335" s="606"/>
      <c r="L1335" s="607"/>
      <c r="M1335" s="607"/>
      <c r="N1335" s="39" t="str">
        <f>IF(AND('331-CT'!$E$7=TH!H1335,OR(L1335="331",M1335="331")),"331",IF(AND(OR(L1335="131",M1335="131"),H1335='131-CT'!$E$7),"131",""))</f>
        <v/>
      </c>
      <c r="O1335" s="39" t="str">
        <f>IF(AND($B1335&gt;='111'!$N$11,$B1335&lt;='111'!$O$11,OR($L1335=$O$7,$M1335=$O$7)),"x","")</f>
        <v/>
      </c>
      <c r="P1335" s="39" t="str">
        <f>IF(AND($L1335=$O$7,$B1335&lt;'111'!$N$11),"x","")</f>
        <v/>
      </c>
      <c r="Q1335" s="39" t="str">
        <f>IF(AND($M1335=$O$7,$B1335&lt;'111'!$N$11),"x","")</f>
        <v/>
      </c>
      <c r="R1335" s="39" t="str">
        <f>IF(ISERROR(FIND('112'!$M$9,G1335,1)),"",IF((AND(FIND('112'!$M$9,G1335,1)&gt;=1,$B1335&gt;='112'!$N$8,$B1335&lt;='112'!$O$8,OR($L1335='112'!$I$6,$M1335='112'!$I$6))),"x",""))</f>
        <v/>
      </c>
      <c r="S1335" s="39" t="str">
        <f>IF(ISERROR(FIND('112'!$M$9,G1335,1)),"",IF((AND(LEFT(G1335,2)=LEFT('112'!$M$9,2),B1335&lt;'112'!$N$8,$L1335='112'!$I$6)),"x",""))</f>
        <v/>
      </c>
      <c r="T1335" s="39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39" t="str">
        <f>IF(OR(TH!L1335=TH!$V$7,M1335=TH!$V$7),"x","")</f>
        <v/>
      </c>
      <c r="W1335" s="39" t="str">
        <f>IF(AND(B1335&gt;='IN-NX'!$P$3,B1335&lt;='IN-NX'!$Q$3,'IN-NX'!$D$7=D1335,OR(LEFT(L1335,2)="15",AND(LEFT(M1335,2)&lt;&gt;"15",LEFT(M1335,2)&lt;&gt;"33"))),"x","")</f>
        <v/>
      </c>
      <c r="X1335" s="39" t="str">
        <f>IF(AND(OR(LEFT(TH!L1335,2)="15",LEFT(TH!M1335,2)="15"),'152-CT'!$J$8=TH!F1335),"x","")</f>
        <v/>
      </c>
      <c r="Y1335" s="39" t="str">
        <f>IF(AND(OR(LEFT(TH!L1335,2)="15",LEFT(TH!M1335,2)="15"),TK!$E$7=TH!F1335),"x","")</f>
        <v/>
      </c>
      <c r="Z1335" s="39" t="str">
        <f>IF(AND(B1335&lt;=NKC!$N$8,B1335&gt;=NKC!$M$8),"x","")</f>
        <v/>
      </c>
      <c r="AA1335" s="894"/>
    </row>
    <row r="1336" spans="1:27" ht="15.75" customHeight="1">
      <c r="A1336" s="199" t="str">
        <f>IF(B1336&lt;&gt;"",IF(AND(B1336&gt;=_TM1,B1336&lt;=_TM2,OR(TH!L1336="1111",TH!M1336="1111")),TH!D1336,""),"")</f>
        <v/>
      </c>
      <c r="B1336" s="36" t="str">
        <f t="shared" si="46"/>
        <v/>
      </c>
      <c r="C1336" s="183"/>
      <c r="D1336" s="183"/>
      <c r="E1336" s="183"/>
      <c r="F1336" s="188"/>
      <c r="G1336" s="608"/>
      <c r="H1336" s="7"/>
      <c r="I1336" s="253"/>
      <c r="J1336" s="253"/>
      <c r="K1336" s="606"/>
      <c r="L1336" s="607"/>
      <c r="M1336" s="607"/>
      <c r="N1336" s="39" t="str">
        <f>IF(AND('331-CT'!$E$7=TH!H1336,OR(L1336="331",M1336="331")),"331",IF(AND(OR(L1336="131",M1336="131"),H1336='131-CT'!$E$7),"131",""))</f>
        <v/>
      </c>
      <c r="O1336" s="39" t="str">
        <f>IF(AND($B1336&gt;='111'!$N$11,$B1336&lt;='111'!$O$11,OR($L1336=$O$7,$M1336=$O$7)),"x","")</f>
        <v/>
      </c>
      <c r="P1336" s="39" t="str">
        <f>IF(AND($L1336=$O$7,$B1336&lt;'111'!$N$11),"x","")</f>
        <v/>
      </c>
      <c r="Q1336" s="39" t="str">
        <f>IF(AND($M1336=$O$7,$B1336&lt;'111'!$N$11),"x","")</f>
        <v/>
      </c>
      <c r="R1336" s="39" t="str">
        <f>IF(ISERROR(FIND('112'!$M$9,G1336,1)),"",IF((AND(FIND('112'!$M$9,G1336,1)&gt;=1,$B1336&gt;='112'!$N$8,$B1336&lt;='112'!$O$8,OR($L1336='112'!$I$6,$M1336='112'!$I$6))),"x",""))</f>
        <v/>
      </c>
      <c r="S1336" s="39" t="str">
        <f>IF(ISERROR(FIND('112'!$M$9,G1336,1)),"",IF((AND(LEFT(G1336,2)=LEFT('112'!$M$9,2),B1336&lt;'112'!$N$8,$L1336='112'!$I$6)),"x",""))</f>
        <v/>
      </c>
      <c r="T1336" s="39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39" t="str">
        <f>IF(OR(TH!L1336=TH!$V$7,M1336=TH!$V$7),"x","")</f>
        <v/>
      </c>
      <c r="W1336" s="39" t="str">
        <f>IF(AND(B1336&gt;='IN-NX'!$P$3,B1336&lt;='IN-NX'!$Q$3,'IN-NX'!$D$7=D1336,OR(LEFT(L1336,2)="15",AND(LEFT(M1336,2)&lt;&gt;"15",LEFT(M1336,2)&lt;&gt;"33"))),"x","")</f>
        <v/>
      </c>
      <c r="X1336" s="39" t="str">
        <f>IF(AND(OR(LEFT(TH!L1336,2)="15",LEFT(TH!M1336,2)="15"),'152-CT'!$J$8=TH!F1336),"x","")</f>
        <v/>
      </c>
      <c r="Y1336" s="39" t="str">
        <f>IF(AND(OR(LEFT(TH!L1336,2)="15",LEFT(TH!M1336,2)="15"),TK!$E$7=TH!F1336),"x","")</f>
        <v/>
      </c>
      <c r="Z1336" s="39" t="str">
        <f>IF(AND(B1336&lt;=NKC!$N$8,B1336&gt;=NKC!$M$8),"x","")</f>
        <v/>
      </c>
      <c r="AA1336" s="894"/>
    </row>
    <row r="1337" spans="1:27" ht="15.75" customHeight="1">
      <c r="A1337" s="199" t="str">
        <f>IF(B1337&lt;&gt;"",IF(AND(B1337&gt;=_TM1,B1337&lt;=_TM2,OR(TH!L1337="1111",TH!M1337="1111")),TH!D1337,""),"")</f>
        <v/>
      </c>
      <c r="B1337" s="36" t="str">
        <f t="shared" si="46"/>
        <v/>
      </c>
      <c r="C1337" s="183"/>
      <c r="D1337" s="183"/>
      <c r="E1337" s="183"/>
      <c r="F1337" s="188"/>
      <c r="G1337" s="608"/>
      <c r="H1337" s="192"/>
      <c r="I1337" s="253"/>
      <c r="J1337" s="253"/>
      <c r="K1337" s="606"/>
      <c r="L1337" s="607"/>
      <c r="M1337" s="607"/>
      <c r="N1337" s="39" t="str">
        <f>IF(AND('331-CT'!$E$7=TH!H1337,OR(L1337="331",M1337="331")),"331",IF(AND(OR(L1337="131",M1337="131"),H1337='131-CT'!$E$7),"131",""))</f>
        <v/>
      </c>
      <c r="O1337" s="39" t="str">
        <f>IF(AND($B1337&gt;='111'!$N$11,$B1337&lt;='111'!$O$11,OR($L1337=$O$7,$M1337=$O$7)),"x","")</f>
        <v/>
      </c>
      <c r="P1337" s="39" t="str">
        <f>IF(AND($L1337=$O$7,$B1337&lt;'111'!$N$11),"x","")</f>
        <v/>
      </c>
      <c r="Q1337" s="39" t="str">
        <f>IF(AND($M1337=$O$7,$B1337&lt;'111'!$N$11),"x","")</f>
        <v/>
      </c>
      <c r="R1337" s="39" t="str">
        <f>IF(ISERROR(FIND('112'!$M$9,G1337,1)),"",IF((AND(FIND('112'!$M$9,G1337,1)&gt;=1,$B1337&gt;='112'!$N$8,$B1337&lt;='112'!$O$8,OR($L1337='112'!$I$6,$M1337='112'!$I$6))),"x",""))</f>
        <v/>
      </c>
      <c r="S1337" s="39" t="str">
        <f>IF(ISERROR(FIND('112'!$M$9,G1337,1)),"",IF((AND(LEFT(G1337,2)=LEFT('112'!$M$9,2),B1337&lt;'112'!$N$8,$L1337='112'!$I$6)),"x",""))</f>
        <v/>
      </c>
      <c r="T1337" s="39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39" t="str">
        <f>IF(OR(TH!L1337=TH!$V$7,M1337=TH!$V$7),"x","")</f>
        <v/>
      </c>
      <c r="W1337" s="39" t="str">
        <f>IF(AND(B1337&gt;='IN-NX'!$P$3,B1337&lt;='IN-NX'!$Q$3,'IN-NX'!$D$7=D1337,OR(LEFT(L1337,2)="15",AND(LEFT(M1337,2)&lt;&gt;"15",LEFT(M1337,2)&lt;&gt;"33"))),"x","")</f>
        <v/>
      </c>
      <c r="X1337" s="39" t="str">
        <f>IF(AND(OR(LEFT(TH!L1337,2)="15",LEFT(TH!M1337,2)="15"),'152-CT'!$J$8=TH!F1337),"x","")</f>
        <v/>
      </c>
      <c r="Y1337" s="39" t="str">
        <f>IF(AND(OR(LEFT(TH!L1337,2)="15",LEFT(TH!M1337,2)="15"),TK!$E$7=TH!F1337),"x","")</f>
        <v/>
      </c>
      <c r="Z1337" s="39" t="str">
        <f>IF(AND(B1337&lt;=NKC!$N$8,B1337&gt;=NKC!$M$8),"x","")</f>
        <v/>
      </c>
      <c r="AA1337" s="894"/>
    </row>
    <row r="1338" spans="1:27" ht="15.75" customHeight="1">
      <c r="A1338" s="199" t="str">
        <f>IF(B1338&lt;&gt;"",IF(AND(B1338&gt;=_TM1,B1338&lt;=_TM2,OR(TH!L1338="1111",TH!M1338="1111")),TH!D1338,""),"")</f>
        <v/>
      </c>
      <c r="B1338" s="36" t="str">
        <f t="shared" si="46"/>
        <v/>
      </c>
      <c r="C1338" s="37"/>
      <c r="D1338" s="37"/>
      <c r="E1338" s="776"/>
      <c r="F1338" s="188"/>
      <c r="G1338" s="40"/>
      <c r="H1338" s="7"/>
      <c r="I1338" s="253"/>
      <c r="J1338" s="253"/>
      <c r="K1338" s="606"/>
      <c r="L1338" s="39"/>
      <c r="M1338" s="39"/>
      <c r="N1338" s="39" t="str">
        <f>IF(AND('331-CT'!$E$7=TH!H1338,OR(L1338="331",M1338="331")),"331",IF(AND(OR(L1338="131",M1338="131"),H1338='131-CT'!$E$7),"131",""))</f>
        <v/>
      </c>
      <c r="O1338" s="39" t="str">
        <f>IF(AND($B1338&gt;='111'!$N$11,$B1338&lt;='111'!$O$11,OR($L1338=$O$7,$M1338=$O$7)),"x","")</f>
        <v/>
      </c>
      <c r="P1338" s="39" t="str">
        <f>IF(AND($L1338=$O$7,$B1338&lt;'111'!$N$11),"x","")</f>
        <v/>
      </c>
      <c r="Q1338" s="39" t="str">
        <f>IF(AND($M1338=$O$7,$B1338&lt;'111'!$N$11),"x","")</f>
        <v/>
      </c>
      <c r="R1338" s="39" t="str">
        <f>IF(ISERROR(FIND('112'!$M$9,G1338,1)),"",IF((AND(FIND('112'!$M$9,G1338,1)&gt;=1,$B1338&gt;='112'!$N$8,$B1338&lt;='112'!$O$8,OR($L1338='112'!$I$6,$M1338='112'!$I$6))),"x",""))</f>
        <v/>
      </c>
      <c r="S1338" s="39" t="str">
        <f>IF(ISERROR(FIND('112'!$M$9,G1338,1)),"",IF((AND(LEFT(G1338,2)=LEFT('112'!$M$9,2),B1338&lt;'112'!$N$8,$L1338='112'!$I$6)),"x",""))</f>
        <v/>
      </c>
      <c r="T1338" s="39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39" t="str">
        <f>IF(OR(TH!L1338=TH!$V$7,M1338=TH!$V$7),"x","")</f>
        <v/>
      </c>
      <c r="W1338" s="39" t="str">
        <f>IF(AND(B1338&gt;='IN-NX'!$P$3,B1338&lt;='IN-NX'!$Q$3,'IN-NX'!$D$7=D1338,OR(LEFT(L1338,2)="15",AND(LEFT(M1338,2)&lt;&gt;"15",LEFT(M1338,2)&lt;&gt;"33"))),"x","")</f>
        <v/>
      </c>
      <c r="X1338" s="39" t="str">
        <f>IF(AND(OR(LEFT(TH!L1338,2)="15",LEFT(TH!M1338,2)="15"),'152-CT'!$J$8=TH!F1338),"x","")</f>
        <v/>
      </c>
      <c r="Y1338" s="39" t="str">
        <f>IF(AND(OR(LEFT(TH!L1338,2)="15",LEFT(TH!M1338,2)="15"),TK!$E$7=TH!F1338),"x","")</f>
        <v/>
      </c>
      <c r="Z1338" s="39" t="str">
        <f>IF(AND(B1338&lt;=NKC!$N$8,B1338&gt;=NKC!$M$8),"x","")</f>
        <v/>
      </c>
      <c r="AA1338" s="894"/>
    </row>
    <row r="1339" spans="1:27" ht="15.75" customHeight="1">
      <c r="A1339" s="199" t="str">
        <f>IF(B1339&lt;&gt;"",IF(AND(B1339&gt;=_TM1,B1339&lt;=_TM2,OR(TH!L1339="1111",TH!M1339="1111")),TH!D1339,""),"")</f>
        <v/>
      </c>
      <c r="B1339" s="36" t="str">
        <f t="shared" si="46"/>
        <v/>
      </c>
      <c r="C1339" s="37"/>
      <c r="D1339" s="37"/>
      <c r="E1339" s="776"/>
      <c r="F1339" s="188"/>
      <c r="G1339" s="40"/>
      <c r="H1339" s="7"/>
      <c r="I1339" s="253"/>
      <c r="J1339" s="253"/>
      <c r="K1339" s="606"/>
      <c r="L1339" s="39"/>
      <c r="M1339" s="39"/>
      <c r="N1339" s="39" t="str">
        <f>IF(AND('331-CT'!$E$7=TH!H1339,OR(L1339="331",M1339="331")),"331",IF(AND(OR(L1339="131",M1339="131"),H1339='131-CT'!$E$7),"131",""))</f>
        <v/>
      </c>
      <c r="O1339" s="39" t="str">
        <f>IF(AND($B1339&gt;='111'!$N$11,$B1339&lt;='111'!$O$11,OR($L1339=$O$7,$M1339=$O$7)),"x","")</f>
        <v/>
      </c>
      <c r="P1339" s="39" t="str">
        <f>IF(AND($L1339=$O$7,$B1339&lt;'111'!$N$11),"x","")</f>
        <v/>
      </c>
      <c r="Q1339" s="39" t="str">
        <f>IF(AND($M1339=$O$7,$B1339&lt;'111'!$N$11),"x","")</f>
        <v/>
      </c>
      <c r="R1339" s="39" t="str">
        <f>IF(ISERROR(FIND('112'!$M$9,G1339,1)),"",IF((AND(FIND('112'!$M$9,G1339,1)&gt;=1,$B1339&gt;='112'!$N$8,$B1339&lt;='112'!$O$8,OR($L1339='112'!$I$6,$M1339='112'!$I$6))),"x",""))</f>
        <v/>
      </c>
      <c r="S1339" s="39" t="str">
        <f>IF(ISERROR(FIND('112'!$M$9,G1339,1)),"",IF((AND(LEFT(G1339,2)=LEFT('112'!$M$9,2),B1339&lt;'112'!$N$8,$L1339='112'!$I$6)),"x",""))</f>
        <v/>
      </c>
      <c r="T1339" s="39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39" t="str">
        <f>IF(OR(TH!L1339=TH!$V$7,M1339=TH!$V$7),"x","")</f>
        <v/>
      </c>
      <c r="W1339" s="39" t="str">
        <f>IF(AND(B1339&gt;='IN-NX'!$P$3,B1339&lt;='IN-NX'!$Q$3,'IN-NX'!$D$7=D1339,OR(LEFT(L1339,2)="15",AND(LEFT(M1339,2)&lt;&gt;"15",LEFT(M1339,2)&lt;&gt;"33"))),"x","")</f>
        <v/>
      </c>
      <c r="X1339" s="39" t="str">
        <f>IF(AND(OR(LEFT(TH!L1339,2)="15",LEFT(TH!M1339,2)="15"),'152-CT'!$J$8=TH!F1339),"x","")</f>
        <v/>
      </c>
      <c r="Y1339" s="39" t="str">
        <f>IF(AND(OR(LEFT(TH!L1339,2)="15",LEFT(TH!M1339,2)="15"),TK!$E$7=TH!F1339),"x","")</f>
        <v/>
      </c>
      <c r="Z1339" s="39" t="str">
        <f>IF(AND(B1339&lt;=NKC!$N$8,B1339&gt;=NKC!$M$8),"x","")</f>
        <v/>
      </c>
      <c r="AA1339" s="894"/>
    </row>
    <row r="1340" spans="1:27" ht="15.75" customHeight="1">
      <c r="A1340" s="199" t="str">
        <f>IF(B1340&lt;&gt;"",IF(AND(B1340&gt;=_TM1,B1340&lt;=_TM2,OR(TH!L1340="1111",TH!M1340="1111")),TH!D1340,""),"")</f>
        <v/>
      </c>
      <c r="B1340" s="36" t="str">
        <f t="shared" si="46"/>
        <v/>
      </c>
      <c r="C1340" s="37"/>
      <c r="D1340" s="37"/>
      <c r="E1340" s="776"/>
      <c r="F1340" s="188"/>
      <c r="G1340" s="40"/>
      <c r="H1340" s="7"/>
      <c r="I1340" s="253"/>
      <c r="J1340" s="253"/>
      <c r="K1340" s="606"/>
      <c r="L1340" s="39"/>
      <c r="M1340" s="39"/>
      <c r="N1340" s="39" t="str">
        <f>IF(AND('331-CT'!$E$7=TH!H1340,OR(L1340="331",M1340="331")),"331",IF(AND(OR(L1340="131",M1340="131"),H1340='131-CT'!$E$7),"131",""))</f>
        <v/>
      </c>
      <c r="O1340" s="39" t="str">
        <f>IF(AND($B1340&gt;='111'!$N$11,$B1340&lt;='111'!$O$11,OR($L1340=$O$7,$M1340=$O$7)),"x","")</f>
        <v/>
      </c>
      <c r="P1340" s="39" t="str">
        <f>IF(AND($L1340=$O$7,$B1340&lt;'111'!$N$11),"x","")</f>
        <v/>
      </c>
      <c r="Q1340" s="39" t="str">
        <f>IF(AND($M1340=$O$7,$B1340&lt;'111'!$N$11),"x","")</f>
        <v/>
      </c>
      <c r="R1340" s="39" t="str">
        <f>IF(ISERROR(FIND('112'!$M$9,G1340,1)),"",IF((AND(FIND('112'!$M$9,G1340,1)&gt;=1,$B1340&gt;='112'!$N$8,$B1340&lt;='112'!$O$8,OR($L1340='112'!$I$6,$M1340='112'!$I$6))),"x",""))</f>
        <v/>
      </c>
      <c r="S1340" s="39" t="str">
        <f>IF(ISERROR(FIND('112'!$M$9,G1340,1)),"",IF((AND(LEFT(G1340,2)=LEFT('112'!$M$9,2),B1340&lt;'112'!$N$8,$L1340='112'!$I$6)),"x",""))</f>
        <v/>
      </c>
      <c r="T1340" s="39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39" t="str">
        <f>IF(OR(TH!L1340=TH!$V$7,M1340=TH!$V$7),"x","")</f>
        <v/>
      </c>
      <c r="W1340" s="39" t="str">
        <f>IF(AND(B1340&gt;='IN-NX'!$P$3,B1340&lt;='IN-NX'!$Q$3,'IN-NX'!$D$7=D1340,OR(LEFT(L1340,2)="15",AND(LEFT(M1340,2)&lt;&gt;"15",LEFT(M1340,2)&lt;&gt;"33"))),"x","")</f>
        <v/>
      </c>
      <c r="X1340" s="39" t="str">
        <f>IF(AND(OR(LEFT(TH!L1340,2)="15",LEFT(TH!M1340,2)="15"),'152-CT'!$J$8=TH!F1340),"x","")</f>
        <v/>
      </c>
      <c r="Y1340" s="39" t="str">
        <f>IF(AND(OR(LEFT(TH!L1340,2)="15",LEFT(TH!M1340,2)="15"),TK!$E$7=TH!F1340),"x","")</f>
        <v/>
      </c>
      <c r="Z1340" s="39" t="str">
        <f>IF(AND(B1340&lt;=NKC!$N$8,B1340&gt;=NKC!$M$8),"x","")</f>
        <v/>
      </c>
      <c r="AA1340" s="894"/>
    </row>
    <row r="1341" spans="1:27" ht="15.75" customHeight="1">
      <c r="A1341" s="199" t="str">
        <f>IF(B1341&lt;&gt;"",IF(AND(B1341&gt;=_TM1,B1341&lt;=_TM2,OR(TH!L1341="1111",TH!M1341="1111")),TH!D1341,""),"")</f>
        <v/>
      </c>
      <c r="B1341" s="36" t="str">
        <f t="shared" si="46"/>
        <v/>
      </c>
      <c r="C1341" s="37"/>
      <c r="D1341" s="37"/>
      <c r="E1341" s="776"/>
      <c r="F1341" s="188"/>
      <c r="G1341" s="40"/>
      <c r="H1341" s="7"/>
      <c r="I1341" s="821"/>
      <c r="J1341" s="253"/>
      <c r="K1341" s="606"/>
      <c r="L1341" s="39"/>
      <c r="M1341" s="39"/>
      <c r="N1341" s="39" t="str">
        <f>IF(AND('331-CT'!$E$7=TH!H1341,OR(L1341="331",M1341="331")),"331",IF(AND(OR(L1341="131",M1341="131"),H1341='131-CT'!$E$7),"131",""))</f>
        <v/>
      </c>
      <c r="O1341" s="39" t="str">
        <f>IF(AND($B1341&gt;='111'!$N$11,$B1341&lt;='111'!$O$11,OR($L1341=$O$7,$M1341=$O$7)),"x","")</f>
        <v/>
      </c>
      <c r="P1341" s="39" t="str">
        <f>IF(AND($L1341=$O$7,$B1341&lt;'111'!$N$11),"x","")</f>
        <v/>
      </c>
      <c r="Q1341" s="39" t="str">
        <f>IF(AND($M1341=$O$7,$B1341&lt;'111'!$N$11),"x","")</f>
        <v/>
      </c>
      <c r="R1341" s="39" t="str">
        <f>IF(ISERROR(FIND('112'!$M$9,G1341,1)),"",IF((AND(FIND('112'!$M$9,G1341,1)&gt;=1,$B1341&gt;='112'!$N$8,$B1341&lt;='112'!$O$8,OR($L1341='112'!$I$6,$M1341='112'!$I$6))),"x",""))</f>
        <v/>
      </c>
      <c r="S1341" s="39" t="str">
        <f>IF(ISERROR(FIND('112'!$M$9,G1341,1)),"",IF((AND(LEFT(G1341,2)=LEFT('112'!$M$9,2),B1341&lt;'112'!$N$8,$L1341='112'!$I$6)),"x",""))</f>
        <v/>
      </c>
      <c r="T1341" s="39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39" t="str">
        <f>IF(OR(TH!L1341=TH!$V$7,M1341=TH!$V$7),"x","")</f>
        <v/>
      </c>
      <c r="W1341" s="39" t="str">
        <f>IF(AND(B1341&gt;='IN-NX'!$P$3,B1341&lt;='IN-NX'!$Q$3,'IN-NX'!$D$7=D1341,OR(LEFT(L1341,2)="15",AND(LEFT(M1341,2)&lt;&gt;"15",LEFT(M1341,2)&lt;&gt;"33"))),"x","")</f>
        <v/>
      </c>
      <c r="X1341" s="39" t="str">
        <f>IF(AND(OR(LEFT(TH!L1341,2)="15",LEFT(TH!M1341,2)="15"),'152-CT'!$J$8=TH!F1341),"x","")</f>
        <v/>
      </c>
      <c r="Y1341" s="39" t="str">
        <f>IF(AND(OR(LEFT(TH!L1341,2)="15",LEFT(TH!M1341,2)="15"),TK!$E$7=TH!F1341),"x","")</f>
        <v/>
      </c>
      <c r="Z1341" s="39" t="str">
        <f>IF(AND(B1341&lt;=NKC!$N$8,B1341&gt;=NKC!$M$8),"x","")</f>
        <v/>
      </c>
      <c r="AA1341" s="894"/>
    </row>
    <row r="1342" spans="1:27" ht="15.75" customHeight="1">
      <c r="A1342" s="199" t="str">
        <f>IF(B1342&lt;&gt;"",IF(AND(B1342&gt;=_TM1,B1342&lt;=_TM2,OR(TH!L1342="1111",TH!M1342="1111")),TH!D1342,""),"")</f>
        <v/>
      </c>
      <c r="B1342" s="36" t="str">
        <f t="shared" si="46"/>
        <v/>
      </c>
      <c r="C1342" s="37"/>
      <c r="D1342" s="37"/>
      <c r="E1342" s="776"/>
      <c r="F1342" s="188"/>
      <c r="G1342" s="40"/>
      <c r="H1342" s="7"/>
      <c r="I1342" s="821"/>
      <c r="J1342" s="253"/>
      <c r="K1342" s="606"/>
      <c r="L1342" s="39"/>
      <c r="M1342" s="39"/>
      <c r="N1342" s="39" t="str">
        <f>IF(AND('331-CT'!$E$7=TH!H1342,OR(L1342="331",M1342="331")),"331",IF(AND(OR(L1342="131",M1342="131"),H1342='131-CT'!$E$7),"131",""))</f>
        <v/>
      </c>
      <c r="O1342" s="39" t="str">
        <f>IF(AND($B1342&gt;='111'!$N$11,$B1342&lt;='111'!$O$11,OR($L1342=$O$7,$M1342=$O$7)),"x","")</f>
        <v/>
      </c>
      <c r="P1342" s="39" t="str">
        <f>IF(AND($L1342=$O$7,$B1342&lt;'111'!$N$11),"x","")</f>
        <v/>
      </c>
      <c r="Q1342" s="39" t="str">
        <f>IF(AND($M1342=$O$7,$B1342&lt;'111'!$N$11),"x","")</f>
        <v/>
      </c>
      <c r="R1342" s="39" t="str">
        <f>IF(ISERROR(FIND('112'!$M$9,G1342,1)),"",IF((AND(FIND('112'!$M$9,G1342,1)&gt;=1,$B1342&gt;='112'!$N$8,$B1342&lt;='112'!$O$8,OR($L1342='112'!$I$6,$M1342='112'!$I$6))),"x",""))</f>
        <v/>
      </c>
      <c r="S1342" s="39" t="str">
        <f>IF(ISERROR(FIND('112'!$M$9,G1342,1)),"",IF((AND(LEFT(G1342,2)=LEFT('112'!$M$9,2),B1342&lt;'112'!$N$8,$L1342='112'!$I$6)),"x",""))</f>
        <v/>
      </c>
      <c r="T1342" s="39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39" t="str">
        <f>IF(OR(TH!L1342=TH!$V$7,M1342=TH!$V$7),"x","")</f>
        <v/>
      </c>
      <c r="W1342" s="39" t="str">
        <f>IF(AND(B1342&gt;='IN-NX'!$P$3,B1342&lt;='IN-NX'!$Q$3,'IN-NX'!$D$7=D1342,OR(LEFT(L1342,2)="15",AND(LEFT(M1342,2)&lt;&gt;"15",LEFT(M1342,2)&lt;&gt;"33"))),"x","")</f>
        <v/>
      </c>
      <c r="X1342" s="39" t="str">
        <f>IF(AND(OR(LEFT(TH!L1342,2)="15",LEFT(TH!M1342,2)="15"),'152-CT'!$J$8=TH!F1342),"x","")</f>
        <v/>
      </c>
      <c r="Y1342" s="39" t="str">
        <f>IF(AND(OR(LEFT(TH!L1342,2)="15",LEFT(TH!M1342,2)="15"),TK!$E$7=TH!F1342),"x","")</f>
        <v/>
      </c>
      <c r="Z1342" s="39" t="str">
        <f>IF(AND(B1342&lt;=NKC!$N$8,B1342&gt;=NKC!$M$8),"x","")</f>
        <v/>
      </c>
      <c r="AA1342" s="894"/>
    </row>
    <row r="1343" spans="1:27" ht="15.75" customHeight="1">
      <c r="A1343" s="199" t="str">
        <f>IF(B1343&lt;&gt;"",IF(AND(B1343&gt;=_TM1,B1343&lt;=_TM2,OR(TH!L1343="1111",TH!M1343="1111")),TH!D1343,""),"")</f>
        <v/>
      </c>
      <c r="B1343" s="36" t="str">
        <f t="shared" si="46"/>
        <v/>
      </c>
      <c r="C1343" s="37"/>
      <c r="D1343" s="37"/>
      <c r="E1343" s="776"/>
      <c r="F1343" s="188"/>
      <c r="G1343" s="40"/>
      <c r="H1343" s="7"/>
      <c r="I1343" s="253"/>
      <c r="J1343" s="253"/>
      <c r="K1343" s="606"/>
      <c r="L1343" s="39"/>
      <c r="M1343" s="39"/>
      <c r="N1343" s="39" t="str">
        <f>IF(AND('331-CT'!$E$7=TH!H1343,OR(L1343="331",M1343="331")),"331",IF(AND(OR(L1343="131",M1343="131"),H1343='131-CT'!$E$7),"131",""))</f>
        <v/>
      </c>
      <c r="O1343" s="39" t="str">
        <f>IF(AND($B1343&gt;='111'!$N$11,$B1343&lt;='111'!$O$11,OR($L1343=$O$7,$M1343=$O$7)),"x","")</f>
        <v/>
      </c>
      <c r="P1343" s="39" t="str">
        <f>IF(AND($L1343=$O$7,$B1343&lt;'111'!$N$11),"x","")</f>
        <v/>
      </c>
      <c r="Q1343" s="39" t="str">
        <f>IF(AND($M1343=$O$7,$B1343&lt;'111'!$N$11),"x","")</f>
        <v/>
      </c>
      <c r="R1343" s="39" t="str">
        <f>IF(ISERROR(FIND('112'!$M$9,G1343,1)),"",IF((AND(FIND('112'!$M$9,G1343,1)&gt;=1,$B1343&gt;='112'!$N$8,$B1343&lt;='112'!$O$8,OR($L1343='112'!$I$6,$M1343='112'!$I$6))),"x",""))</f>
        <v/>
      </c>
      <c r="S1343" s="39" t="str">
        <f>IF(ISERROR(FIND('112'!$M$9,G1343,1)),"",IF((AND(LEFT(G1343,2)=LEFT('112'!$M$9,2),B1343&lt;'112'!$N$8,$L1343='112'!$I$6)),"x",""))</f>
        <v/>
      </c>
      <c r="T1343" s="39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39" t="str">
        <f>IF(OR(TH!L1343=TH!$V$7,M1343=TH!$V$7),"x","")</f>
        <v/>
      </c>
      <c r="W1343" s="39" t="str">
        <f>IF(AND(B1343&gt;='IN-NX'!$P$3,B1343&lt;='IN-NX'!$Q$3,'IN-NX'!$D$7=D1343,OR(LEFT(L1343,2)="15",AND(LEFT(M1343,2)&lt;&gt;"15",LEFT(M1343,2)&lt;&gt;"33"))),"x","")</f>
        <v/>
      </c>
      <c r="X1343" s="39" t="str">
        <f>IF(AND(OR(LEFT(TH!L1343,2)="15",LEFT(TH!M1343,2)="15"),'152-CT'!$J$8=TH!F1343),"x","")</f>
        <v/>
      </c>
      <c r="Y1343" s="39" t="str">
        <f>IF(AND(OR(LEFT(TH!L1343,2)="15",LEFT(TH!M1343,2)="15"),TK!$E$7=TH!F1343),"x","")</f>
        <v/>
      </c>
      <c r="Z1343" s="39" t="str">
        <f>IF(AND(B1343&lt;=NKC!$N$8,B1343&gt;=NKC!$M$8),"x","")</f>
        <v/>
      </c>
      <c r="AA1343" s="894"/>
    </row>
    <row r="1344" spans="1:27" ht="15.75" customHeight="1">
      <c r="A1344" s="199" t="str">
        <f>IF(B1344&lt;&gt;"",IF(AND(B1344&gt;=_TM1,B1344&lt;=_TM2,OR(TH!L1344="1111",TH!M1344="1111")),TH!D1344,""),"")</f>
        <v/>
      </c>
      <c r="B1344" s="36" t="str">
        <f t="shared" si="46"/>
        <v/>
      </c>
      <c r="C1344" s="37"/>
      <c r="D1344" s="37"/>
      <c r="E1344" s="776"/>
      <c r="F1344" s="188"/>
      <c r="G1344" s="40"/>
      <c r="H1344" s="7"/>
      <c r="I1344" s="253"/>
      <c r="J1344" s="253"/>
      <c r="K1344" s="606"/>
      <c r="L1344" s="39"/>
      <c r="M1344" s="39"/>
      <c r="N1344" s="39" t="str">
        <f>IF(AND('331-CT'!$E$7=TH!H1344,OR(L1344="331",M1344="331")),"331",IF(AND(OR(L1344="131",M1344="131"),H1344='131-CT'!$E$7),"131",""))</f>
        <v/>
      </c>
      <c r="O1344" s="39" t="str">
        <f>IF(AND($B1344&gt;='111'!$N$11,$B1344&lt;='111'!$O$11,OR($L1344=$O$7,$M1344=$O$7)),"x","")</f>
        <v/>
      </c>
      <c r="P1344" s="39" t="str">
        <f>IF(AND($L1344=$O$7,$B1344&lt;'111'!$N$11),"x","")</f>
        <v/>
      </c>
      <c r="Q1344" s="39" t="str">
        <f>IF(AND($M1344=$O$7,$B1344&lt;'111'!$N$11),"x","")</f>
        <v/>
      </c>
      <c r="R1344" s="39" t="str">
        <f>IF(ISERROR(FIND('112'!$M$9,G1344,1)),"",IF((AND(FIND('112'!$M$9,G1344,1)&gt;=1,$B1344&gt;='112'!$N$8,$B1344&lt;='112'!$O$8,OR($L1344='112'!$I$6,$M1344='112'!$I$6))),"x",""))</f>
        <v/>
      </c>
      <c r="S1344" s="39" t="str">
        <f>IF(ISERROR(FIND('112'!$M$9,G1344,1)),"",IF((AND(LEFT(G1344,2)=LEFT('112'!$M$9,2),B1344&lt;'112'!$N$8,$L1344='112'!$I$6)),"x",""))</f>
        <v/>
      </c>
      <c r="T1344" s="39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39" t="str">
        <f>IF(OR(TH!L1344=TH!$V$7,M1344=TH!$V$7),"x","")</f>
        <v/>
      </c>
      <c r="W1344" s="39" t="str">
        <f>IF(AND(B1344&gt;='IN-NX'!$P$3,B1344&lt;='IN-NX'!$Q$3,'IN-NX'!$D$7=D1344,OR(LEFT(L1344,2)="15",AND(LEFT(M1344,2)&lt;&gt;"15",LEFT(M1344,2)&lt;&gt;"33"))),"x","")</f>
        <v/>
      </c>
      <c r="X1344" s="39" t="str">
        <f>IF(AND(OR(LEFT(TH!L1344,2)="15",LEFT(TH!M1344,2)="15"),'152-CT'!$J$8=TH!F1344),"x","")</f>
        <v/>
      </c>
      <c r="Y1344" s="39" t="str">
        <f>IF(AND(OR(LEFT(TH!L1344,2)="15",LEFT(TH!M1344,2)="15"),TK!$E$7=TH!F1344),"x","")</f>
        <v/>
      </c>
      <c r="Z1344" s="39" t="str">
        <f>IF(AND(B1344&lt;=NKC!$N$8,B1344&gt;=NKC!$M$8),"x","")</f>
        <v/>
      </c>
      <c r="AA1344" s="894"/>
    </row>
    <row r="1345" spans="1:27" ht="15.75" customHeight="1">
      <c r="A1345" s="199" t="str">
        <f>IF(B1345&lt;&gt;"",IF(AND(B1345&gt;=_TM1,B1345&lt;=_TM2,OR(TH!L1345="1111",TH!M1345="1111")),TH!D1345,""),"")</f>
        <v/>
      </c>
      <c r="B1345" s="36" t="str">
        <f t="shared" si="46"/>
        <v/>
      </c>
      <c r="C1345" s="37"/>
      <c r="D1345" s="37"/>
      <c r="E1345" s="776"/>
      <c r="F1345" s="293"/>
      <c r="G1345" s="40"/>
      <c r="H1345" s="7"/>
      <c r="I1345" s="253"/>
      <c r="J1345" s="253"/>
      <c r="K1345" s="606"/>
      <c r="L1345" s="39"/>
      <c r="M1345" s="39"/>
      <c r="N1345" s="39" t="str">
        <f>IF(AND('331-CT'!$E$7=TH!H1345,OR(L1345="331",M1345="331")),"331",IF(AND(OR(L1345="131",M1345="131"),H1345='131-CT'!$E$7),"131",""))</f>
        <v/>
      </c>
      <c r="O1345" s="39" t="str">
        <f>IF(AND($B1345&gt;='111'!$N$11,$B1345&lt;='111'!$O$11,OR($L1345=$O$7,$M1345=$O$7)),"x","")</f>
        <v/>
      </c>
      <c r="P1345" s="39" t="str">
        <f>IF(AND($L1345=$O$7,$B1345&lt;'111'!$N$11),"x","")</f>
        <v/>
      </c>
      <c r="Q1345" s="39" t="str">
        <f>IF(AND($M1345=$O$7,$B1345&lt;'111'!$N$11),"x","")</f>
        <v/>
      </c>
      <c r="R1345" s="39" t="str">
        <f>IF(ISERROR(FIND('112'!$M$9,G1345,1)),"",IF((AND(FIND('112'!$M$9,G1345,1)&gt;=1,$B1345&gt;='112'!$N$8,$B1345&lt;='112'!$O$8,OR($L1345='112'!$I$6,$M1345='112'!$I$6))),"x",""))</f>
        <v/>
      </c>
      <c r="S1345" s="39" t="str">
        <f>IF(ISERROR(FIND('112'!$M$9,G1345,1)),"",IF((AND(LEFT(G1345,2)=LEFT('112'!$M$9,2),B1345&lt;'112'!$N$8,$L1345='112'!$I$6)),"x",""))</f>
        <v/>
      </c>
      <c r="T1345" s="39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39" t="str">
        <f>IF(OR(TH!L1345=TH!$V$7,M1345=TH!$V$7),"x","")</f>
        <v/>
      </c>
      <c r="W1345" s="39" t="str">
        <f>IF(AND(B1345&gt;='IN-NX'!$P$3,B1345&lt;='IN-NX'!$Q$3,'IN-NX'!$D$7=D1345,OR(LEFT(L1345,2)="15",AND(LEFT(M1345,2)&lt;&gt;"15",LEFT(M1345,2)&lt;&gt;"33"))),"x","")</f>
        <v/>
      </c>
      <c r="X1345" s="39" t="str">
        <f>IF(AND(OR(LEFT(TH!L1345,2)="15",LEFT(TH!M1345,2)="15"),'152-CT'!$J$8=TH!F1345),"x","")</f>
        <v/>
      </c>
      <c r="Y1345" s="39" t="str">
        <f>IF(AND(OR(LEFT(TH!L1345,2)="15",LEFT(TH!M1345,2)="15"),TK!$E$7=TH!F1345),"x","")</f>
        <v/>
      </c>
      <c r="Z1345" s="39" t="str">
        <f>IF(AND(B1345&lt;=NKC!$N$8,B1345&gt;=NKC!$M$8),"x","")</f>
        <v/>
      </c>
      <c r="AA1345" s="894"/>
    </row>
    <row r="1346" spans="1:27" ht="15.75" customHeight="1">
      <c r="A1346" s="199" t="str">
        <f>IF(B1346&lt;&gt;"",IF(AND(B1346&gt;=_TM1,B1346&lt;=_TM2,OR(TH!L1346="1111",TH!M1346="1111")),TH!D1346,""),"")</f>
        <v/>
      </c>
      <c r="B1346" s="36" t="str">
        <f t="shared" si="46"/>
        <v/>
      </c>
      <c r="C1346" s="37"/>
      <c r="D1346" s="37"/>
      <c r="E1346" s="776"/>
      <c r="F1346" s="40"/>
      <c r="G1346" s="40"/>
      <c r="H1346" s="7"/>
      <c r="I1346" s="253"/>
      <c r="J1346" s="253"/>
      <c r="K1346" s="606"/>
      <c r="L1346" s="39"/>
      <c r="M1346" s="39"/>
      <c r="N1346" s="39" t="str">
        <f>IF(AND('331-CT'!$E$7=TH!H1346,OR(L1346="331",M1346="331")),"331",IF(AND(OR(L1346="131",M1346="131"),H1346='131-CT'!$E$7),"131",""))</f>
        <v/>
      </c>
      <c r="O1346" s="39" t="str">
        <f>IF(AND($B1346&gt;='111'!$N$11,$B1346&lt;='111'!$O$11,OR($L1346=$O$7,$M1346=$O$7)),"x","")</f>
        <v/>
      </c>
      <c r="P1346" s="39" t="str">
        <f>IF(AND($L1346=$O$7,$B1346&lt;'111'!$N$11),"x","")</f>
        <v/>
      </c>
      <c r="Q1346" s="39" t="str">
        <f>IF(AND($M1346=$O$7,$B1346&lt;'111'!$N$11),"x","")</f>
        <v/>
      </c>
      <c r="R1346" s="39" t="str">
        <f>IF(ISERROR(FIND('112'!$M$9,G1346,1)),"",IF((AND(FIND('112'!$M$9,G1346,1)&gt;=1,$B1346&gt;='112'!$N$8,$B1346&lt;='112'!$O$8,OR($L1346='112'!$I$6,$M1346='112'!$I$6))),"x",""))</f>
        <v/>
      </c>
      <c r="S1346" s="39" t="str">
        <f>IF(ISERROR(FIND('112'!$M$9,G1346,1)),"",IF((AND(LEFT(G1346,2)=LEFT('112'!$M$9,2),B1346&lt;'112'!$N$8,$L1346='112'!$I$6)),"x",""))</f>
        <v/>
      </c>
      <c r="T1346" s="39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39" t="str">
        <f>IF(OR(TH!L1346=TH!$V$7,M1346=TH!$V$7),"x","")</f>
        <v/>
      </c>
      <c r="W1346" s="39" t="str">
        <f>IF(AND(B1346&gt;='IN-NX'!$P$3,B1346&lt;='IN-NX'!$Q$3,'IN-NX'!$D$7=D1346,OR(LEFT(L1346,2)="15",AND(LEFT(M1346,2)&lt;&gt;"15",LEFT(M1346,2)&lt;&gt;"33"))),"x","")</f>
        <v/>
      </c>
      <c r="X1346" s="39" t="str">
        <f>IF(AND(OR(LEFT(TH!L1346,2)="15",LEFT(TH!M1346,2)="15"),'152-CT'!$J$8=TH!F1346),"x","")</f>
        <v/>
      </c>
      <c r="Y1346" s="39" t="str">
        <f>IF(AND(OR(LEFT(TH!L1346,2)="15",LEFT(TH!M1346,2)="15"),TK!$E$7=TH!F1346),"x","")</f>
        <v/>
      </c>
      <c r="Z1346" s="39" t="str">
        <f>IF(AND(B1346&lt;=NKC!$N$8,B1346&gt;=NKC!$M$8),"x","")</f>
        <v/>
      </c>
      <c r="AA1346" s="894"/>
    </row>
    <row r="1347" spans="1:27" ht="15.75" customHeight="1">
      <c r="A1347" s="199" t="str">
        <f>IF(B1347&lt;&gt;"",IF(AND(B1347&gt;=_TM1,B1347&lt;=_TM2,OR(TH!L1347="1111",TH!M1347="1111")),TH!D1347,""),"")</f>
        <v/>
      </c>
      <c r="B1347" s="36" t="str">
        <f t="shared" si="46"/>
        <v/>
      </c>
      <c r="C1347" s="37"/>
      <c r="D1347" s="37"/>
      <c r="E1347" s="776"/>
      <c r="F1347" s="188"/>
      <c r="G1347" s="40"/>
      <c r="H1347" s="7"/>
      <c r="I1347" s="253"/>
      <c r="J1347" s="253"/>
      <c r="K1347" s="606"/>
      <c r="L1347" s="39"/>
      <c r="M1347" s="39"/>
      <c r="N1347" s="39" t="str">
        <f>IF(AND('331-CT'!$E$7=TH!H1347,OR(L1347="331",M1347="331")),"331",IF(AND(OR(L1347="131",M1347="131"),H1347='131-CT'!$E$7),"131",""))</f>
        <v/>
      </c>
      <c r="O1347" s="39" t="str">
        <f>IF(AND($B1347&gt;='111'!$N$11,$B1347&lt;='111'!$O$11,OR($L1347=$O$7,$M1347=$O$7)),"x","")</f>
        <v/>
      </c>
      <c r="P1347" s="39" t="str">
        <f>IF(AND($L1347=$O$7,$B1347&lt;'111'!$N$11),"x","")</f>
        <v/>
      </c>
      <c r="Q1347" s="39" t="str">
        <f>IF(AND($M1347=$O$7,$B1347&lt;'111'!$N$11),"x","")</f>
        <v/>
      </c>
      <c r="R1347" s="39" t="str">
        <f>IF(ISERROR(FIND('112'!$M$9,G1347,1)),"",IF((AND(FIND('112'!$M$9,G1347,1)&gt;=1,$B1347&gt;='112'!$N$8,$B1347&lt;='112'!$O$8,OR($L1347='112'!$I$6,$M1347='112'!$I$6))),"x",""))</f>
        <v/>
      </c>
      <c r="S1347" s="39" t="str">
        <f>IF(ISERROR(FIND('112'!$M$9,G1347,1)),"",IF((AND(LEFT(G1347,2)=LEFT('112'!$M$9,2),B1347&lt;'112'!$N$8,$L1347='112'!$I$6)),"x",""))</f>
        <v/>
      </c>
      <c r="T1347" s="39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39" t="str">
        <f>IF(OR(TH!L1347=TH!$V$7,M1347=TH!$V$7),"x","")</f>
        <v/>
      </c>
      <c r="W1347" s="39" t="str">
        <f>IF(AND(B1347&gt;='IN-NX'!$P$3,B1347&lt;='IN-NX'!$Q$3,'IN-NX'!$D$7=D1347,OR(LEFT(L1347,2)="15",AND(LEFT(M1347,2)&lt;&gt;"15",LEFT(M1347,2)&lt;&gt;"33"))),"x","")</f>
        <v/>
      </c>
      <c r="X1347" s="39" t="str">
        <f>IF(AND(OR(LEFT(TH!L1347,2)="15",LEFT(TH!M1347,2)="15"),'152-CT'!$J$8=TH!F1347),"x","")</f>
        <v/>
      </c>
      <c r="Y1347" s="39" t="str">
        <f>IF(AND(OR(LEFT(TH!L1347,2)="15",LEFT(TH!M1347,2)="15"),TK!$E$7=TH!F1347),"x","")</f>
        <v/>
      </c>
      <c r="Z1347" s="39" t="str">
        <f>IF(AND(B1347&lt;=NKC!$N$8,B1347&gt;=NKC!$M$8),"x","")</f>
        <v/>
      </c>
      <c r="AA1347" s="894"/>
    </row>
    <row r="1348" spans="1:27" ht="15.75" customHeight="1">
      <c r="A1348" s="199" t="str">
        <f>IF(B1348&lt;&gt;"",IF(AND(B1348&gt;=_TM1,B1348&lt;=_TM2,OR(TH!L1348="1111",TH!M1348="1111")),TH!D1348,""),"")</f>
        <v/>
      </c>
      <c r="B1348" s="36" t="str">
        <f t="shared" si="46"/>
        <v/>
      </c>
      <c r="C1348" s="37"/>
      <c r="D1348" s="37"/>
      <c r="E1348" s="776"/>
      <c r="F1348" s="188"/>
      <c r="G1348" s="40"/>
      <c r="H1348" s="7"/>
      <c r="I1348" s="253"/>
      <c r="J1348" s="253"/>
      <c r="K1348" s="606"/>
      <c r="L1348" s="39"/>
      <c r="M1348" s="39"/>
      <c r="N1348" s="39" t="str">
        <f>IF(AND('331-CT'!$E$7=TH!H1348,OR(L1348="331",M1348="331")),"331",IF(AND(OR(L1348="131",M1348="131"),H1348='131-CT'!$E$7),"131",""))</f>
        <v/>
      </c>
      <c r="O1348" s="39" t="str">
        <f>IF(AND($B1348&gt;='111'!$N$11,$B1348&lt;='111'!$O$11,OR($L1348=$O$7,$M1348=$O$7)),"x","")</f>
        <v/>
      </c>
      <c r="P1348" s="39" t="str">
        <f>IF(AND($L1348=$O$7,$B1348&lt;'111'!$N$11),"x","")</f>
        <v/>
      </c>
      <c r="Q1348" s="39" t="str">
        <f>IF(AND($M1348=$O$7,$B1348&lt;'111'!$N$11),"x","")</f>
        <v/>
      </c>
      <c r="R1348" s="39" t="str">
        <f>IF(ISERROR(FIND('112'!$M$9,G1348,1)),"",IF((AND(FIND('112'!$M$9,G1348,1)&gt;=1,$B1348&gt;='112'!$N$8,$B1348&lt;='112'!$O$8,OR($L1348='112'!$I$6,$M1348='112'!$I$6))),"x",""))</f>
        <v/>
      </c>
      <c r="S1348" s="39" t="str">
        <f>IF(ISERROR(FIND('112'!$M$9,G1348,1)),"",IF((AND(LEFT(G1348,2)=LEFT('112'!$M$9,2),B1348&lt;'112'!$N$8,$L1348='112'!$I$6)),"x",""))</f>
        <v/>
      </c>
      <c r="T1348" s="39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39" t="str">
        <f>IF(OR(TH!L1348=TH!$V$7,M1348=TH!$V$7),"x","")</f>
        <v/>
      </c>
      <c r="W1348" s="39" t="str">
        <f>IF(AND(B1348&gt;='IN-NX'!$P$3,B1348&lt;='IN-NX'!$Q$3,'IN-NX'!$D$7=D1348,OR(LEFT(L1348,2)="15",AND(LEFT(M1348,2)&lt;&gt;"15",LEFT(M1348,2)&lt;&gt;"33"))),"x","")</f>
        <v/>
      </c>
      <c r="X1348" s="39" t="str">
        <f>IF(AND(OR(LEFT(TH!L1348,2)="15",LEFT(TH!M1348,2)="15"),'152-CT'!$J$8=TH!F1348),"x","")</f>
        <v/>
      </c>
      <c r="Y1348" s="39" t="str">
        <f>IF(AND(OR(LEFT(TH!L1348,2)="15",LEFT(TH!M1348,2)="15"),TK!$E$7=TH!F1348),"x","")</f>
        <v/>
      </c>
      <c r="Z1348" s="39" t="str">
        <f>IF(AND(B1348&lt;=NKC!$N$8,B1348&gt;=NKC!$M$8),"x","")</f>
        <v/>
      </c>
      <c r="AA1348" s="894"/>
    </row>
    <row r="1349" spans="1:27" ht="15.75" customHeight="1">
      <c r="A1349" s="199" t="str">
        <f>IF(B1349&lt;&gt;"",IF(AND(B1349&gt;=_TM1,B1349&lt;=_TM2,OR(TH!L1349="1111",TH!M1349="1111")),TH!D1349,""),"")</f>
        <v/>
      </c>
      <c r="B1349" s="36" t="str">
        <f t="shared" si="46"/>
        <v/>
      </c>
      <c r="C1349" s="37"/>
      <c r="D1349" s="37"/>
      <c r="E1349" s="776"/>
      <c r="F1349" s="188"/>
      <c r="G1349" s="40"/>
      <c r="H1349" s="7"/>
      <c r="I1349" s="253"/>
      <c r="J1349" s="253"/>
      <c r="K1349" s="606"/>
      <c r="L1349" s="39"/>
      <c r="M1349" s="39"/>
      <c r="N1349" s="39" t="str">
        <f>IF(AND('331-CT'!$E$7=TH!H1349,OR(L1349="331",M1349="331")),"331",IF(AND(OR(L1349="131",M1349="131"),H1349='131-CT'!$E$7),"131",""))</f>
        <v/>
      </c>
      <c r="O1349" s="39" t="str">
        <f>IF(AND($B1349&gt;='111'!$N$11,$B1349&lt;='111'!$O$11,OR($L1349=$O$7,$M1349=$O$7)),"x","")</f>
        <v/>
      </c>
      <c r="P1349" s="39" t="str">
        <f>IF(AND($L1349=$O$7,$B1349&lt;'111'!$N$11),"x","")</f>
        <v/>
      </c>
      <c r="Q1349" s="39" t="str">
        <f>IF(AND($M1349=$O$7,$B1349&lt;'111'!$N$11),"x","")</f>
        <v/>
      </c>
      <c r="R1349" s="39" t="str">
        <f>IF(ISERROR(FIND('112'!$M$9,G1349,1)),"",IF((AND(FIND('112'!$M$9,G1349,1)&gt;=1,$B1349&gt;='112'!$N$8,$B1349&lt;='112'!$O$8,OR($L1349='112'!$I$6,$M1349='112'!$I$6))),"x",""))</f>
        <v/>
      </c>
      <c r="S1349" s="39" t="str">
        <f>IF(ISERROR(FIND('112'!$M$9,G1349,1)),"",IF((AND(LEFT(G1349,2)=LEFT('112'!$M$9,2),B1349&lt;'112'!$N$8,$L1349='112'!$I$6)),"x",""))</f>
        <v/>
      </c>
      <c r="T1349" s="39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39" t="str">
        <f>IF(OR(TH!L1349=TH!$V$7,M1349=TH!$V$7),"x","")</f>
        <v/>
      </c>
      <c r="W1349" s="39" t="str">
        <f>IF(AND(B1349&gt;='IN-NX'!$P$3,B1349&lt;='IN-NX'!$Q$3,'IN-NX'!$D$7=D1349,OR(LEFT(L1349,2)="15",AND(LEFT(M1349,2)&lt;&gt;"15",LEFT(M1349,2)&lt;&gt;"33"))),"x","")</f>
        <v/>
      </c>
      <c r="X1349" s="39" t="str">
        <f>IF(AND(OR(LEFT(TH!L1349,2)="15",LEFT(TH!M1349,2)="15"),'152-CT'!$J$8=TH!F1349),"x","")</f>
        <v/>
      </c>
      <c r="Y1349" s="39" t="str">
        <f>IF(AND(OR(LEFT(TH!L1349,2)="15",LEFT(TH!M1349,2)="15"),TK!$E$7=TH!F1349),"x","")</f>
        <v/>
      </c>
      <c r="Z1349" s="39" t="str">
        <f>IF(AND(B1349&lt;=NKC!$N$8,B1349&gt;=NKC!$M$8),"x","")</f>
        <v/>
      </c>
      <c r="AA1349" s="894"/>
    </row>
    <row r="1350" spans="1:27" ht="15.75" customHeight="1">
      <c r="A1350" s="199" t="str">
        <f>IF(B1350&lt;&gt;"",IF(AND(B1350&gt;=_TM1,B1350&lt;=_TM2,OR(TH!L1350="1111",TH!M1350="1111")),TH!D1350,""),"")</f>
        <v/>
      </c>
      <c r="B1350" s="36" t="str">
        <f t="shared" si="46"/>
        <v/>
      </c>
      <c r="C1350" s="37"/>
      <c r="D1350" s="37"/>
      <c r="E1350" s="776"/>
      <c r="F1350" s="188"/>
      <c r="G1350" s="40"/>
      <c r="H1350" s="7"/>
      <c r="I1350" s="253"/>
      <c r="J1350" s="253"/>
      <c r="K1350" s="606"/>
      <c r="L1350" s="39"/>
      <c r="M1350" s="39"/>
      <c r="N1350" s="39" t="str">
        <f>IF(AND('331-CT'!$E$7=TH!H1350,OR(L1350="331",M1350="331")),"331",IF(AND(OR(L1350="131",M1350="131"),H1350='131-CT'!$E$7),"131",""))</f>
        <v/>
      </c>
      <c r="O1350" s="39" t="str">
        <f>IF(AND($B1350&gt;='111'!$N$11,$B1350&lt;='111'!$O$11,OR($L1350=$O$7,$M1350=$O$7)),"x","")</f>
        <v/>
      </c>
      <c r="P1350" s="39" t="str">
        <f>IF(AND($L1350=$O$7,$B1350&lt;'111'!$N$11),"x","")</f>
        <v/>
      </c>
      <c r="Q1350" s="39" t="str">
        <f>IF(AND($M1350=$O$7,$B1350&lt;'111'!$N$11),"x","")</f>
        <v/>
      </c>
      <c r="R1350" s="39" t="str">
        <f>IF(ISERROR(FIND('112'!$M$9,G1350,1)),"",IF((AND(FIND('112'!$M$9,G1350,1)&gt;=1,$B1350&gt;='112'!$N$8,$B1350&lt;='112'!$O$8,OR($L1350='112'!$I$6,$M1350='112'!$I$6))),"x",""))</f>
        <v/>
      </c>
      <c r="S1350" s="39" t="str">
        <f>IF(ISERROR(FIND('112'!$M$9,G1350,1)),"",IF((AND(LEFT(G1350,2)=LEFT('112'!$M$9,2),B1350&lt;'112'!$N$8,$L1350='112'!$I$6)),"x",""))</f>
        <v/>
      </c>
      <c r="T1350" s="39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39" t="str">
        <f>IF(OR(TH!L1350=TH!$V$7,M1350=TH!$V$7),"x","")</f>
        <v/>
      </c>
      <c r="W1350" s="39" t="str">
        <f>IF(AND(B1350&gt;='IN-NX'!$P$3,B1350&lt;='IN-NX'!$Q$3,'IN-NX'!$D$7=D1350,OR(LEFT(L1350,2)="15",AND(LEFT(M1350,2)&lt;&gt;"15",LEFT(M1350,2)&lt;&gt;"33"))),"x","")</f>
        <v/>
      </c>
      <c r="X1350" s="39" t="str">
        <f>IF(AND(OR(LEFT(TH!L1350,2)="15",LEFT(TH!M1350,2)="15"),'152-CT'!$J$8=TH!F1350),"x","")</f>
        <v/>
      </c>
      <c r="Y1350" s="39" t="str">
        <f>IF(AND(OR(LEFT(TH!L1350,2)="15",LEFT(TH!M1350,2)="15"),TK!$E$7=TH!F1350),"x","")</f>
        <v/>
      </c>
      <c r="Z1350" s="39" t="str">
        <f>IF(AND(B1350&lt;=NKC!$N$8,B1350&gt;=NKC!$M$8),"x","")</f>
        <v/>
      </c>
      <c r="AA1350" s="894"/>
    </row>
    <row r="1351" spans="1:27" ht="15.75" customHeight="1">
      <c r="A1351" s="199" t="str">
        <f>IF(B1351&lt;&gt;"",IF(AND(B1351&gt;=_TM1,B1351&lt;=_TM2,OR(TH!L1351="1111",TH!M1351="1111")),TH!D1351,""),"")</f>
        <v/>
      </c>
      <c r="B1351" s="36" t="str">
        <f t="shared" si="46"/>
        <v/>
      </c>
      <c r="C1351" s="37"/>
      <c r="D1351" s="37"/>
      <c r="E1351" s="776"/>
      <c r="F1351" s="40"/>
      <c r="G1351" s="40"/>
      <c r="H1351" s="7"/>
      <c r="I1351" s="253"/>
      <c r="J1351" s="253"/>
      <c r="K1351" s="606"/>
      <c r="L1351" s="39"/>
      <c r="M1351" s="39"/>
      <c r="N1351" s="39" t="str">
        <f>IF(AND('331-CT'!$E$7=TH!H1351,OR(L1351="331",M1351="331")),"331",IF(AND(OR(L1351="131",M1351="131"),H1351='131-CT'!$E$7),"131",""))</f>
        <v/>
      </c>
      <c r="O1351" s="39" t="str">
        <f>IF(AND($B1351&gt;='111'!$N$11,$B1351&lt;='111'!$O$11,OR($L1351=$O$7,$M1351=$O$7)),"x","")</f>
        <v/>
      </c>
      <c r="P1351" s="39" t="str">
        <f>IF(AND($L1351=$O$7,$B1351&lt;'111'!$N$11),"x","")</f>
        <v/>
      </c>
      <c r="Q1351" s="39" t="str">
        <f>IF(AND($M1351=$O$7,$B1351&lt;'111'!$N$11),"x","")</f>
        <v/>
      </c>
      <c r="R1351" s="39" t="str">
        <f>IF(ISERROR(FIND('112'!$M$9,G1351,1)),"",IF((AND(FIND('112'!$M$9,G1351,1)&gt;=1,$B1351&gt;='112'!$N$8,$B1351&lt;='112'!$O$8,OR($L1351='112'!$I$6,$M1351='112'!$I$6))),"x",""))</f>
        <v/>
      </c>
      <c r="S1351" s="39" t="str">
        <f>IF(ISERROR(FIND('112'!$M$9,G1351,1)),"",IF((AND(LEFT(G1351,2)=LEFT('112'!$M$9,2),B1351&lt;'112'!$N$8,$L1351='112'!$I$6)),"x",""))</f>
        <v/>
      </c>
      <c r="T1351" s="39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39" t="str">
        <f>IF(OR(TH!L1351=TH!$V$7,M1351=TH!$V$7),"x","")</f>
        <v/>
      </c>
      <c r="W1351" s="39" t="str">
        <f>IF(AND(B1351&gt;='IN-NX'!$P$3,B1351&lt;='IN-NX'!$Q$3,'IN-NX'!$D$7=D1351,OR(LEFT(L1351,2)="15",AND(LEFT(M1351,2)&lt;&gt;"15",LEFT(M1351,2)&lt;&gt;"33"))),"x","")</f>
        <v/>
      </c>
      <c r="X1351" s="39" t="str">
        <f>IF(AND(OR(LEFT(TH!L1351,2)="15",LEFT(TH!M1351,2)="15"),'152-CT'!$J$8=TH!F1351),"x","")</f>
        <v/>
      </c>
      <c r="Y1351" s="39" t="str">
        <f>IF(AND(OR(LEFT(TH!L1351,2)="15",LEFT(TH!M1351,2)="15"),TK!$E$7=TH!F1351),"x","")</f>
        <v/>
      </c>
      <c r="Z1351" s="39" t="str">
        <f>IF(AND(B1351&lt;=NKC!$N$8,B1351&gt;=NKC!$M$8),"x","")</f>
        <v/>
      </c>
      <c r="AA1351" s="894"/>
    </row>
    <row r="1352" spans="1:27" ht="15.75" customHeight="1">
      <c r="A1352" s="199" t="str">
        <f>IF(B1352&lt;&gt;"",IF(AND(B1352&gt;=_TM1,B1352&lt;=_TM2,OR(TH!L1352="1111",TH!M1352="1111")),TH!D1352,""),"")</f>
        <v/>
      </c>
      <c r="B1352" s="36" t="str">
        <f t="shared" si="46"/>
        <v/>
      </c>
      <c r="C1352" s="37"/>
      <c r="D1352" s="37"/>
      <c r="E1352" s="776"/>
      <c r="F1352" s="40"/>
      <c r="G1352" s="40"/>
      <c r="H1352" s="7"/>
      <c r="I1352" s="253"/>
      <c r="J1352" s="253"/>
      <c r="K1352" s="606"/>
      <c r="L1352" s="39"/>
      <c r="M1352" s="39"/>
      <c r="N1352" s="39" t="str">
        <f>IF(AND('331-CT'!$E$7=TH!H1352,OR(L1352="331",M1352="331")),"331",IF(AND(OR(L1352="131",M1352="131"),H1352='131-CT'!$E$7),"131",""))</f>
        <v/>
      </c>
      <c r="O1352" s="39" t="str">
        <f>IF(AND($B1352&gt;='111'!$N$11,$B1352&lt;='111'!$O$11,OR($L1352=$O$7,$M1352=$O$7)),"x","")</f>
        <v/>
      </c>
      <c r="P1352" s="39" t="str">
        <f>IF(AND($L1352=$O$7,$B1352&lt;'111'!$N$11),"x","")</f>
        <v/>
      </c>
      <c r="Q1352" s="39" t="str">
        <f>IF(AND($M1352=$O$7,$B1352&lt;'111'!$N$11),"x","")</f>
        <v/>
      </c>
      <c r="R1352" s="39" t="str">
        <f>IF(ISERROR(FIND('112'!$M$9,G1352,1)),"",IF((AND(FIND('112'!$M$9,G1352,1)&gt;=1,$B1352&gt;='112'!$N$8,$B1352&lt;='112'!$O$8,OR($L1352='112'!$I$6,$M1352='112'!$I$6))),"x",""))</f>
        <v/>
      </c>
      <c r="S1352" s="39" t="str">
        <f>IF(ISERROR(FIND('112'!$M$9,G1352,1)),"",IF((AND(LEFT(G1352,2)=LEFT('112'!$M$9,2),B1352&lt;'112'!$N$8,$L1352='112'!$I$6)),"x",""))</f>
        <v/>
      </c>
      <c r="T1352" s="39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39" t="str">
        <f>IF(OR(TH!L1352=TH!$V$7,M1352=TH!$V$7),"x","")</f>
        <v/>
      </c>
      <c r="W1352" s="39" t="str">
        <f>IF(AND(B1352&gt;='IN-NX'!$P$3,B1352&lt;='IN-NX'!$Q$3,'IN-NX'!$D$7=D1352,OR(LEFT(L1352,2)="15",AND(LEFT(M1352,2)&lt;&gt;"15",LEFT(M1352,2)&lt;&gt;"33"))),"x","")</f>
        <v/>
      </c>
      <c r="X1352" s="39" t="str">
        <f>IF(AND(OR(LEFT(TH!L1352,2)="15",LEFT(TH!M1352,2)="15"),'152-CT'!$J$8=TH!F1352),"x","")</f>
        <v/>
      </c>
      <c r="Y1352" s="39" t="str">
        <f>IF(AND(OR(LEFT(TH!L1352,2)="15",LEFT(TH!M1352,2)="15"),TK!$E$7=TH!F1352),"x","")</f>
        <v/>
      </c>
      <c r="Z1352" s="39" t="str">
        <f>IF(AND(B1352&lt;=NKC!$N$8,B1352&gt;=NKC!$M$8),"x","")</f>
        <v/>
      </c>
      <c r="AA1352" s="894"/>
    </row>
    <row r="1353" spans="1:27" ht="15.75" customHeight="1">
      <c r="A1353" s="199" t="str">
        <f>IF(B1353&lt;&gt;"",IF(AND(B1353&gt;=_TM1,B1353&lt;=_TM2,OR(TH!L1353="1111",TH!M1353="1111")),TH!D1353,""),"")</f>
        <v/>
      </c>
      <c r="B1353" s="36" t="str">
        <f t="shared" si="46"/>
        <v/>
      </c>
      <c r="C1353" s="37"/>
      <c r="D1353" s="37"/>
      <c r="E1353" s="776"/>
      <c r="F1353" s="188"/>
      <c r="G1353" s="40"/>
      <c r="H1353" s="7"/>
      <c r="I1353" s="253"/>
      <c r="J1353" s="253"/>
      <c r="K1353" s="606"/>
      <c r="L1353" s="39"/>
      <c r="M1353" s="39"/>
      <c r="N1353" s="39" t="str">
        <f>IF(AND('331-CT'!$E$7=TH!H1353,OR(L1353="331",M1353="331")),"331",IF(AND(OR(L1353="131",M1353="131"),H1353='131-CT'!$E$7),"131",""))</f>
        <v/>
      </c>
      <c r="O1353" s="39" t="str">
        <f>IF(AND($B1353&gt;='111'!$N$11,$B1353&lt;='111'!$O$11,OR($L1353=$O$7,$M1353=$O$7)),"x","")</f>
        <v/>
      </c>
      <c r="P1353" s="39" t="str">
        <f>IF(AND($L1353=$O$7,$B1353&lt;'111'!$N$11),"x","")</f>
        <v/>
      </c>
      <c r="Q1353" s="39" t="str">
        <f>IF(AND($M1353=$O$7,$B1353&lt;'111'!$N$11),"x","")</f>
        <v/>
      </c>
      <c r="R1353" s="39" t="str">
        <f>IF(ISERROR(FIND('112'!$M$9,G1353,1)),"",IF((AND(FIND('112'!$M$9,G1353,1)&gt;=1,$B1353&gt;='112'!$N$8,$B1353&lt;='112'!$O$8,OR($L1353='112'!$I$6,$M1353='112'!$I$6))),"x",""))</f>
        <v/>
      </c>
      <c r="S1353" s="39" t="str">
        <f>IF(ISERROR(FIND('112'!$M$9,G1353,1)),"",IF((AND(LEFT(G1353,2)=LEFT('112'!$M$9,2),B1353&lt;'112'!$N$8,$L1353='112'!$I$6)),"x",""))</f>
        <v/>
      </c>
      <c r="T1353" s="39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39" t="str">
        <f>IF(OR(TH!L1353=TH!$V$7,M1353=TH!$V$7),"x","")</f>
        <v/>
      </c>
      <c r="W1353" s="39" t="str">
        <f>IF(AND(B1353&gt;='IN-NX'!$P$3,B1353&lt;='IN-NX'!$Q$3,'IN-NX'!$D$7=D1353,OR(LEFT(L1353,2)="15",AND(LEFT(M1353,2)&lt;&gt;"15",LEFT(M1353,2)&lt;&gt;"33"))),"x","")</f>
        <v/>
      </c>
      <c r="X1353" s="39" t="str">
        <f>IF(AND(OR(LEFT(TH!L1353,2)="15",LEFT(TH!M1353,2)="15"),'152-CT'!$J$8=TH!F1353),"x","")</f>
        <v/>
      </c>
      <c r="Y1353" s="39" t="str">
        <f>IF(AND(OR(LEFT(TH!L1353,2)="15",LEFT(TH!M1353,2)="15"),TK!$E$7=TH!F1353),"x","")</f>
        <v/>
      </c>
      <c r="Z1353" s="39" t="str">
        <f>IF(AND(B1353&lt;=NKC!$N$8,B1353&gt;=NKC!$M$8),"x","")</f>
        <v/>
      </c>
      <c r="AA1353" s="894"/>
    </row>
    <row r="1354" spans="1:27" ht="15.75" customHeight="1">
      <c r="A1354" s="199" t="str">
        <f>IF(B1354&lt;&gt;"",IF(AND(B1354&gt;=_TM1,B1354&lt;=_TM2,OR(TH!L1354="1111",TH!M1354="1111")),TH!D1354,""),"")</f>
        <v/>
      </c>
      <c r="B1354" s="36" t="str">
        <f t="shared" si="46"/>
        <v/>
      </c>
      <c r="C1354" s="190"/>
      <c r="D1354" s="183"/>
      <c r="E1354" s="190"/>
      <c r="F1354" s="191"/>
      <c r="G1354" s="491"/>
      <c r="H1354" s="7"/>
      <c r="I1354" s="253"/>
      <c r="J1354" s="253"/>
      <c r="K1354" s="606"/>
      <c r="L1354" s="193"/>
      <c r="M1354" s="193"/>
      <c r="N1354" s="39" t="str">
        <f>IF(AND('331-CT'!$E$7=TH!H1354,OR(L1354="331",M1354="331")),"331",IF(AND(OR(L1354="131",M1354="131"),H1354='131-CT'!$E$7),"131",""))</f>
        <v/>
      </c>
      <c r="O1354" s="39" t="str">
        <f>IF(AND($B1354&gt;='111'!$N$11,$B1354&lt;='111'!$O$11,OR($L1354=$O$7,$M1354=$O$7)),"x","")</f>
        <v/>
      </c>
      <c r="P1354" s="39" t="str">
        <f>IF(AND($L1354=$O$7,$B1354&lt;'111'!$N$11),"x","")</f>
        <v/>
      </c>
      <c r="Q1354" s="39" t="str">
        <f>IF(AND($M1354=$O$7,$B1354&lt;'111'!$N$11),"x","")</f>
        <v/>
      </c>
      <c r="R1354" s="39" t="str">
        <f>IF(ISERROR(FIND('112'!$M$9,G1354,1)),"",IF((AND(FIND('112'!$M$9,G1354,1)&gt;=1,$B1354&gt;='112'!$N$8,$B1354&lt;='112'!$O$8,OR($L1354='112'!$I$6,$M1354='112'!$I$6))),"x",""))</f>
        <v/>
      </c>
      <c r="S1354" s="39" t="str">
        <f>IF(ISERROR(FIND('112'!$M$9,G1354,1)),"",IF((AND(LEFT(G1354,2)=LEFT('112'!$M$9,2),B1354&lt;'112'!$N$8,$L1354='112'!$I$6)),"x",""))</f>
        <v/>
      </c>
      <c r="T1354" s="39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39" t="str">
        <f>IF(OR(TH!L1354=TH!$V$7,M1354=TH!$V$7),"x","")</f>
        <v/>
      </c>
      <c r="W1354" s="39" t="str">
        <f>IF(AND(B1354&gt;='IN-NX'!$P$3,B1354&lt;='IN-NX'!$Q$3,'IN-NX'!$D$7=D1354,OR(LEFT(L1354,2)="15",AND(LEFT(M1354,2)&lt;&gt;"15",LEFT(M1354,2)&lt;&gt;"33"))),"x","")</f>
        <v/>
      </c>
      <c r="X1354" s="39" t="str">
        <f>IF(AND(OR(LEFT(TH!L1354,2)="15",LEFT(TH!M1354,2)="15"),'152-CT'!$J$8=TH!F1354),"x","")</f>
        <v/>
      </c>
      <c r="Y1354" s="39" t="str">
        <f>IF(AND(OR(LEFT(TH!L1354,2)="15",LEFT(TH!M1354,2)="15"),TK!$E$7=TH!F1354),"x","")</f>
        <v/>
      </c>
      <c r="Z1354" s="39" t="str">
        <f>IF(AND(B1354&lt;=NKC!$N$8,B1354&gt;=NKC!$M$8),"x","")</f>
        <v/>
      </c>
      <c r="AA1354" s="894"/>
    </row>
    <row r="1355" spans="1:27" ht="15.75" customHeight="1">
      <c r="A1355" s="199" t="str">
        <f>IF(B1355&lt;&gt;"",IF(AND(B1355&gt;=_TM1,B1355&lt;=_TM2,OR(TH!L1355="1111",TH!M1355="1111")),TH!D1355,""),"")</f>
        <v/>
      </c>
      <c r="B1355" s="36" t="str">
        <f t="shared" si="46"/>
        <v/>
      </c>
      <c r="C1355" s="190"/>
      <c r="D1355" s="183"/>
      <c r="E1355" s="190"/>
      <c r="F1355" s="191"/>
      <c r="G1355" s="491"/>
      <c r="H1355" s="7"/>
      <c r="I1355" s="253"/>
      <c r="J1355" s="253"/>
      <c r="K1355" s="38"/>
      <c r="L1355" s="193"/>
      <c r="M1355" s="193"/>
      <c r="N1355" s="39" t="str">
        <f>IF(AND('331-CT'!$E$7=TH!H1355,OR(L1355="331",M1355="331")),"331",IF(AND(OR(L1355="131",M1355="131"),H1355='131-CT'!$E$7),"131",""))</f>
        <v/>
      </c>
      <c r="O1355" s="39" t="str">
        <f>IF(AND($B1355&gt;='111'!$N$11,$B1355&lt;='111'!$O$11,OR($L1355=$O$7,$M1355=$O$7)),"x","")</f>
        <v/>
      </c>
      <c r="P1355" s="39" t="str">
        <f>IF(AND($L1355=$O$7,$B1355&lt;'111'!$N$11),"x","")</f>
        <v/>
      </c>
      <c r="Q1355" s="39" t="str">
        <f>IF(AND($M1355=$O$7,$B1355&lt;'111'!$N$11),"x","")</f>
        <v/>
      </c>
      <c r="R1355" s="39" t="str">
        <f>IF(ISERROR(FIND('112'!$M$9,G1355,1)),"",IF((AND(FIND('112'!$M$9,G1355,1)&gt;=1,$B1355&gt;='112'!$N$8,$B1355&lt;='112'!$O$8,OR($L1355='112'!$I$6,$M1355='112'!$I$6))),"x",""))</f>
        <v/>
      </c>
      <c r="S1355" s="39" t="str">
        <f>IF(ISERROR(FIND('112'!$M$9,G1355,1)),"",IF((AND(LEFT(G1355,2)=LEFT('112'!$M$9,2),B1355&lt;'112'!$N$8,$L1355='112'!$I$6)),"x",""))</f>
        <v/>
      </c>
      <c r="T1355" s="39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39" t="str">
        <f>IF(OR(TH!L1355=TH!$V$7,M1355=TH!$V$7),"x","")</f>
        <v/>
      </c>
      <c r="W1355" s="39" t="str">
        <f>IF(AND(B1355&gt;='IN-NX'!$P$3,B1355&lt;='IN-NX'!$Q$3,'IN-NX'!$D$7=D1355,OR(LEFT(L1355,2)="15",AND(LEFT(M1355,2)&lt;&gt;"15",LEFT(M1355,2)&lt;&gt;"33"))),"x","")</f>
        <v/>
      </c>
      <c r="X1355" s="39" t="str">
        <f>IF(AND(OR(LEFT(TH!L1355,2)="15",LEFT(TH!M1355,2)="15"),'152-CT'!$J$8=TH!F1355),"x","")</f>
        <v/>
      </c>
      <c r="Y1355" s="39" t="str">
        <f>IF(AND(OR(LEFT(TH!L1355,2)="15",LEFT(TH!M1355,2)="15"),TK!$E$7=TH!F1355),"x","")</f>
        <v/>
      </c>
      <c r="Z1355" s="39" t="str">
        <f>IF(AND(B1355&lt;=NKC!$N$8,B1355&gt;=NKC!$M$8),"x","")</f>
        <v/>
      </c>
      <c r="AA1355" s="894"/>
    </row>
    <row r="1356" spans="1:27" ht="15.75" customHeight="1">
      <c r="A1356" s="199" t="str">
        <f>IF(B1356&lt;&gt;"",IF(AND(B1356&gt;=_TM1,B1356&lt;=_TM2,OR(TH!L1356="1111",TH!M1356="1111")),TH!D1356,""),"")</f>
        <v/>
      </c>
      <c r="B1356" s="36" t="str">
        <f t="shared" si="46"/>
        <v/>
      </c>
      <c r="C1356" s="183"/>
      <c r="D1356" s="183"/>
      <c r="E1356" s="183"/>
      <c r="F1356" s="188"/>
      <c r="G1356" s="608"/>
      <c r="H1356" s="192"/>
      <c r="I1356" s="253"/>
      <c r="J1356" s="253"/>
      <c r="K1356" s="606"/>
      <c r="L1356" s="607"/>
      <c r="M1356" s="607"/>
      <c r="N1356" s="39" t="str">
        <f>IF(AND('331-CT'!$E$7=TH!H1356,OR(L1356="331",M1356="331")),"331",IF(AND(OR(L1356="131",M1356="131"),H1356='131-CT'!$E$7),"131",""))</f>
        <v/>
      </c>
      <c r="O1356" s="39" t="str">
        <f>IF(AND($B1356&gt;='111'!$N$11,$B1356&lt;='111'!$O$11,OR($L1356=$O$7,$M1356=$O$7)),"x","")</f>
        <v/>
      </c>
      <c r="P1356" s="39" t="str">
        <f>IF(AND($L1356=$O$7,$B1356&lt;'111'!$N$11),"x","")</f>
        <v/>
      </c>
      <c r="Q1356" s="39" t="str">
        <f>IF(AND($M1356=$O$7,$B1356&lt;'111'!$N$11),"x","")</f>
        <v/>
      </c>
      <c r="R1356" s="39" t="str">
        <f>IF(ISERROR(FIND('112'!$M$9,G1356,1)),"",IF((AND(FIND('112'!$M$9,G1356,1)&gt;=1,$B1356&gt;='112'!$N$8,$B1356&lt;='112'!$O$8,OR($L1356='112'!$I$6,$M1356='112'!$I$6))),"x",""))</f>
        <v/>
      </c>
      <c r="S1356" s="39" t="str">
        <f>IF(ISERROR(FIND('112'!$M$9,G1356,1)),"",IF((AND(LEFT(G1356,2)=LEFT('112'!$M$9,2),B1356&lt;'112'!$N$8,$L1356='112'!$I$6)),"x",""))</f>
        <v/>
      </c>
      <c r="T1356" s="39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39" t="str">
        <f>IF(OR(TH!L1356=TH!$V$7,M1356=TH!$V$7),"x","")</f>
        <v/>
      </c>
      <c r="W1356" s="39" t="str">
        <f>IF(AND(B1356&gt;='IN-NX'!$P$3,B1356&lt;='IN-NX'!$Q$3,'IN-NX'!$D$7=D1356,OR(LEFT(L1356,2)="15",AND(LEFT(M1356,2)&lt;&gt;"15",LEFT(M1356,2)&lt;&gt;"33"))),"x","")</f>
        <v/>
      </c>
      <c r="X1356" s="39" t="str">
        <f>IF(AND(OR(LEFT(TH!L1356,2)="15",LEFT(TH!M1356,2)="15"),'152-CT'!$J$8=TH!F1356),"x","")</f>
        <v/>
      </c>
      <c r="Y1356" s="39" t="str">
        <f>IF(AND(OR(LEFT(TH!L1356,2)="15",LEFT(TH!M1356,2)="15"),TK!$E$7=TH!F1356),"x","")</f>
        <v/>
      </c>
      <c r="Z1356" s="39" t="str">
        <f>IF(AND(B1356&lt;=NKC!$N$8,B1356&gt;=NKC!$M$8),"x","")</f>
        <v/>
      </c>
      <c r="AA1356" s="894"/>
    </row>
    <row r="1357" spans="1:27" ht="15.75" customHeight="1">
      <c r="A1357" s="199" t="str">
        <f>IF(B1357&lt;&gt;"",IF(AND(B1357&gt;=_TM1,B1357&lt;=_TM2,OR(TH!L1357="1111",TH!M1357="1111")),TH!D1357,""),"")</f>
        <v/>
      </c>
      <c r="B1357" s="36" t="str">
        <f t="shared" si="46"/>
        <v/>
      </c>
      <c r="C1357" s="190"/>
      <c r="D1357" s="190"/>
      <c r="E1357" s="190"/>
      <c r="F1357" s="191"/>
      <c r="G1357" s="491"/>
      <c r="H1357" s="192"/>
      <c r="I1357" s="253"/>
      <c r="J1357" s="253"/>
      <c r="K1357" s="606"/>
      <c r="L1357" s="193"/>
      <c r="M1357" s="193"/>
      <c r="N1357" s="39" t="str">
        <f>IF(AND('331-CT'!$E$7=TH!H1357,OR(L1357="331",M1357="331")),"331",IF(AND(OR(L1357="131",M1357="131"),H1357='131-CT'!$E$7),"131",""))</f>
        <v/>
      </c>
      <c r="O1357" s="39" t="str">
        <f>IF(AND($B1357&gt;='111'!$N$11,$B1357&lt;='111'!$O$11,OR($L1357=$O$7,$M1357=$O$7)),"x","")</f>
        <v/>
      </c>
      <c r="P1357" s="39" t="str">
        <f>IF(AND($L1357=$O$7,$B1357&lt;'111'!$N$11),"x","")</f>
        <v/>
      </c>
      <c r="Q1357" s="39" t="str">
        <f>IF(AND($M1357=$O$7,$B1357&lt;'111'!$N$11),"x","")</f>
        <v/>
      </c>
      <c r="R1357" s="39" t="str">
        <f>IF(ISERROR(FIND('112'!$M$9,G1357,1)),"",IF((AND(FIND('112'!$M$9,G1357,1)&gt;=1,$B1357&gt;='112'!$N$8,$B1357&lt;='112'!$O$8,OR($L1357='112'!$I$6,$M1357='112'!$I$6))),"x",""))</f>
        <v/>
      </c>
      <c r="S1357" s="39" t="str">
        <f>IF(ISERROR(FIND('112'!$M$9,G1357,1)),"",IF((AND(LEFT(G1357,2)=LEFT('112'!$M$9,2),B1357&lt;'112'!$N$8,$L1357='112'!$I$6)),"x",""))</f>
        <v/>
      </c>
      <c r="T1357" s="39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39" t="str">
        <f>IF(OR(TH!L1357=TH!$V$7,M1357=TH!$V$7),"x","")</f>
        <v/>
      </c>
      <c r="W1357" s="39" t="str">
        <f>IF(AND(B1357&gt;='IN-NX'!$P$3,B1357&lt;='IN-NX'!$Q$3,'IN-NX'!$D$7=D1357,OR(LEFT(L1357,2)="15",AND(LEFT(M1357,2)&lt;&gt;"15",LEFT(M1357,2)&lt;&gt;"33"))),"x","")</f>
        <v/>
      </c>
      <c r="X1357" s="39" t="str">
        <f>IF(AND(OR(LEFT(TH!L1357,2)="15",LEFT(TH!M1357,2)="15"),'152-CT'!$J$8=TH!F1357),"x","")</f>
        <v/>
      </c>
      <c r="Y1357" s="39" t="str">
        <f>IF(AND(OR(LEFT(TH!L1357,2)="15",LEFT(TH!M1357,2)="15"),TK!$E$7=TH!F1357),"x","")</f>
        <v/>
      </c>
      <c r="Z1357" s="39" t="str">
        <f>IF(AND(B1357&lt;=NKC!$N$8,B1357&gt;=NKC!$M$8),"x","")</f>
        <v/>
      </c>
      <c r="AA1357" s="894"/>
    </row>
    <row r="1358" spans="1:27" ht="15.75" customHeight="1">
      <c r="A1358" s="199" t="str">
        <f>IF(B1358&lt;&gt;"",IF(AND(B1358&gt;=_TM1,B1358&lt;=_TM2,OR(TH!L1358="1111",TH!M1358="1111")),TH!D1358,""),"")</f>
        <v/>
      </c>
      <c r="B1358" s="36" t="str">
        <f t="shared" si="46"/>
        <v/>
      </c>
      <c r="C1358" s="190"/>
      <c r="D1358" s="190"/>
      <c r="E1358" s="190"/>
      <c r="F1358" s="191"/>
      <c r="G1358" s="491"/>
      <c r="H1358" s="192"/>
      <c r="I1358" s="253"/>
      <c r="J1358" s="253"/>
      <c r="K1358" s="606"/>
      <c r="L1358" s="193"/>
      <c r="M1358" s="193"/>
      <c r="N1358" s="39" t="str">
        <f>IF(AND('331-CT'!$E$7=TH!H1358,OR(L1358="331",M1358="331")),"331",IF(AND(OR(L1358="131",M1358="131"),H1358='131-CT'!$E$7),"131",""))</f>
        <v/>
      </c>
      <c r="O1358" s="39" t="str">
        <f>IF(AND($B1358&gt;='111'!$N$11,$B1358&lt;='111'!$O$11,OR($L1358=$O$7,$M1358=$O$7)),"x","")</f>
        <v/>
      </c>
      <c r="P1358" s="39" t="str">
        <f>IF(AND($L1358=$O$7,$B1358&lt;'111'!$N$11),"x","")</f>
        <v/>
      </c>
      <c r="Q1358" s="39" t="str">
        <f>IF(AND($M1358=$O$7,$B1358&lt;'111'!$N$11),"x","")</f>
        <v/>
      </c>
      <c r="R1358" s="39" t="str">
        <f>IF(ISERROR(FIND('112'!$M$9,G1358,1)),"",IF((AND(FIND('112'!$M$9,G1358,1)&gt;=1,$B1358&gt;='112'!$N$8,$B1358&lt;='112'!$O$8,OR($L1358='112'!$I$6,$M1358='112'!$I$6))),"x",""))</f>
        <v/>
      </c>
      <c r="S1358" s="39" t="str">
        <f>IF(ISERROR(FIND('112'!$M$9,G1358,1)),"",IF((AND(LEFT(G1358,2)=LEFT('112'!$M$9,2),B1358&lt;'112'!$N$8,$L1358='112'!$I$6)),"x",""))</f>
        <v/>
      </c>
      <c r="T1358" s="39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39" t="str">
        <f>IF(OR(TH!L1358=TH!$V$7,M1358=TH!$V$7),"x","")</f>
        <v/>
      </c>
      <c r="W1358" s="39" t="str">
        <f>IF(AND(B1358&gt;='IN-NX'!$P$3,B1358&lt;='IN-NX'!$Q$3,'IN-NX'!$D$7=D1358,OR(LEFT(L1358,2)="15",AND(LEFT(M1358,2)&lt;&gt;"15",LEFT(M1358,2)&lt;&gt;"33"))),"x","")</f>
        <v/>
      </c>
      <c r="X1358" s="39" t="str">
        <f>IF(AND(OR(LEFT(TH!L1358,2)="15",LEFT(TH!M1358,2)="15"),'152-CT'!$J$8=TH!F1358),"x","")</f>
        <v/>
      </c>
      <c r="Y1358" s="39" t="str">
        <f>IF(AND(OR(LEFT(TH!L1358,2)="15",LEFT(TH!M1358,2)="15"),TK!$E$7=TH!F1358),"x","")</f>
        <v/>
      </c>
      <c r="Z1358" s="39" t="str">
        <f>IF(AND(B1358&lt;=NKC!$N$8,B1358&gt;=NKC!$M$8),"x","")</f>
        <v/>
      </c>
      <c r="AA1358" s="894"/>
    </row>
    <row r="1359" spans="1:27" ht="15.75" customHeight="1">
      <c r="A1359" s="199" t="str">
        <f>IF(B1359&lt;&gt;"",IF(AND(B1359&gt;=_TM1,B1359&lt;=_TM2,OR(TH!L1359="1111",TH!M1359="1111")),TH!D1359,""),"")</f>
        <v/>
      </c>
      <c r="B1359" s="36" t="str">
        <f t="shared" si="46"/>
        <v/>
      </c>
      <c r="C1359" s="190"/>
      <c r="D1359" s="190"/>
      <c r="E1359" s="190"/>
      <c r="F1359" s="191"/>
      <c r="G1359" s="491"/>
      <c r="H1359" s="192"/>
      <c r="I1359" s="253"/>
      <c r="J1359" s="253"/>
      <c r="K1359" s="606"/>
      <c r="L1359" s="193"/>
      <c r="M1359" s="193"/>
      <c r="N1359" s="39" t="str">
        <f>IF(AND('331-CT'!$E$7=TH!H1359,OR(L1359="331",M1359="331")),"331",IF(AND(OR(L1359="131",M1359="131"),H1359='131-CT'!$E$7),"131",""))</f>
        <v/>
      </c>
      <c r="O1359" s="39" t="str">
        <f>IF(AND($B1359&gt;='111'!$N$11,$B1359&lt;='111'!$O$11,OR($L1359=$O$7,$M1359=$O$7)),"x","")</f>
        <v/>
      </c>
      <c r="P1359" s="39" t="str">
        <f>IF(AND($L1359=$O$7,$B1359&lt;'111'!$N$11),"x","")</f>
        <v/>
      </c>
      <c r="Q1359" s="39" t="str">
        <f>IF(AND($M1359=$O$7,$B1359&lt;'111'!$N$11),"x","")</f>
        <v/>
      </c>
      <c r="R1359" s="39" t="str">
        <f>IF(ISERROR(FIND('112'!$M$9,G1359,1)),"",IF((AND(FIND('112'!$M$9,G1359,1)&gt;=1,$B1359&gt;='112'!$N$8,$B1359&lt;='112'!$O$8,OR($L1359='112'!$I$6,$M1359='112'!$I$6))),"x",""))</f>
        <v/>
      </c>
      <c r="S1359" s="39" t="str">
        <f>IF(ISERROR(FIND('112'!$M$9,G1359,1)),"",IF((AND(LEFT(G1359,2)=LEFT('112'!$M$9,2),B1359&lt;'112'!$N$8,$L1359='112'!$I$6)),"x",""))</f>
        <v/>
      </c>
      <c r="T1359" s="39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39" t="str">
        <f>IF(OR(TH!L1359=TH!$V$7,M1359=TH!$V$7),"x","")</f>
        <v/>
      </c>
      <c r="W1359" s="39" t="str">
        <f>IF(AND(B1359&gt;='IN-NX'!$P$3,B1359&lt;='IN-NX'!$Q$3,'IN-NX'!$D$7=D1359,OR(LEFT(L1359,2)="15",AND(LEFT(M1359,2)&lt;&gt;"15",LEFT(M1359,2)&lt;&gt;"33"))),"x","")</f>
        <v/>
      </c>
      <c r="X1359" s="39" t="str">
        <f>IF(AND(OR(LEFT(TH!L1359,2)="15",LEFT(TH!M1359,2)="15"),'152-CT'!$J$8=TH!F1359),"x","")</f>
        <v/>
      </c>
      <c r="Y1359" s="39" t="str">
        <f>IF(AND(OR(LEFT(TH!L1359,2)="15",LEFT(TH!M1359,2)="15"),TK!$E$7=TH!F1359),"x","")</f>
        <v/>
      </c>
      <c r="Z1359" s="39" t="str">
        <f>IF(AND(B1359&lt;=NKC!$N$8,B1359&gt;=NKC!$M$8),"x","")</f>
        <v/>
      </c>
      <c r="AA1359" s="894"/>
    </row>
    <row r="1360" spans="1:27" ht="15.75" customHeight="1">
      <c r="A1360" s="199" t="str">
        <f>IF(B1360&lt;&gt;"",IF(AND(B1360&gt;=_TM1,B1360&lt;=_TM2,OR(TH!L1360="1111",TH!M1360="1111")),TH!D1360,""),"")</f>
        <v/>
      </c>
      <c r="B1360" s="36" t="str">
        <f t="shared" si="46"/>
        <v/>
      </c>
      <c r="C1360" s="190"/>
      <c r="D1360" s="190"/>
      <c r="E1360" s="190"/>
      <c r="F1360" s="191"/>
      <c r="G1360" s="491"/>
      <c r="H1360" s="7"/>
      <c r="I1360" s="253"/>
      <c r="J1360" s="253"/>
      <c r="K1360" s="606"/>
      <c r="L1360" s="193"/>
      <c r="M1360" s="193"/>
      <c r="N1360" s="39" t="str">
        <f>IF(AND('331-CT'!$E$7=TH!H1360,OR(L1360="331",M1360="331")),"331",IF(AND(OR(L1360="131",M1360="131"),H1360='131-CT'!$E$7),"131",""))</f>
        <v/>
      </c>
      <c r="O1360" s="39" t="str">
        <f>IF(AND($B1360&gt;='111'!$N$11,$B1360&lt;='111'!$O$11,OR($L1360=$O$7,$M1360=$O$7)),"x","")</f>
        <v/>
      </c>
      <c r="P1360" s="39" t="str">
        <f>IF(AND($L1360=$O$7,$B1360&lt;'111'!$N$11),"x","")</f>
        <v/>
      </c>
      <c r="Q1360" s="39" t="str">
        <f>IF(AND($M1360=$O$7,$B1360&lt;'111'!$N$11),"x","")</f>
        <v/>
      </c>
      <c r="R1360" s="39" t="str">
        <f>IF(ISERROR(FIND('112'!$M$9,G1360,1)),"",IF((AND(FIND('112'!$M$9,G1360,1)&gt;=1,$B1360&gt;='112'!$N$8,$B1360&lt;='112'!$O$8,OR($L1360='112'!$I$6,$M1360='112'!$I$6))),"x",""))</f>
        <v/>
      </c>
      <c r="S1360" s="39" t="str">
        <f>IF(ISERROR(FIND('112'!$M$9,G1360,1)),"",IF((AND(LEFT(G1360,2)=LEFT('112'!$M$9,2),B1360&lt;'112'!$N$8,$L1360='112'!$I$6)),"x",""))</f>
        <v/>
      </c>
      <c r="T1360" s="39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39" t="str">
        <f>IF(OR(TH!L1360=TH!$V$7,M1360=TH!$V$7),"x","")</f>
        <v/>
      </c>
      <c r="W1360" s="39" t="str">
        <f>IF(AND(B1360&gt;='IN-NX'!$P$3,B1360&lt;='IN-NX'!$Q$3,'IN-NX'!$D$7=D1360,OR(LEFT(L1360,2)="15",AND(LEFT(M1360,2)&lt;&gt;"15",LEFT(M1360,2)&lt;&gt;"33"))),"x","")</f>
        <v/>
      </c>
      <c r="X1360" s="39" t="str">
        <f>IF(AND(OR(LEFT(TH!L1360,2)="15",LEFT(TH!M1360,2)="15"),'152-CT'!$J$8=TH!F1360),"x","")</f>
        <v/>
      </c>
      <c r="Y1360" s="39" t="str">
        <f>IF(AND(OR(LEFT(TH!L1360,2)="15",LEFT(TH!M1360,2)="15"),TK!$E$7=TH!F1360),"x","")</f>
        <v/>
      </c>
      <c r="Z1360" s="39" t="str">
        <f>IF(AND(B1360&lt;=NKC!$N$8,B1360&gt;=NKC!$M$8),"x","")</f>
        <v/>
      </c>
      <c r="AA1360" s="894"/>
    </row>
    <row r="1361" spans="1:27" ht="15.75" customHeight="1">
      <c r="A1361" s="199" t="str">
        <f>IF(B1361&lt;&gt;"",IF(AND(B1361&gt;=_TM1,B1361&lt;=_TM2,OR(TH!L1361="1111",TH!M1361="1111")),TH!D1361,""),"")</f>
        <v/>
      </c>
      <c r="B1361" s="36" t="str">
        <f t="shared" si="46"/>
        <v/>
      </c>
      <c r="C1361" s="190"/>
      <c r="D1361" s="190"/>
      <c r="E1361" s="190"/>
      <c r="F1361" s="191"/>
      <c r="G1361" s="491"/>
      <c r="H1361" s="7"/>
      <c r="I1361" s="253"/>
      <c r="J1361" s="253"/>
      <c r="K1361" s="606"/>
      <c r="L1361" s="193"/>
      <c r="M1361" s="193"/>
      <c r="N1361" s="39" t="str">
        <f>IF(AND('331-CT'!$E$7=TH!H1361,OR(L1361="331",M1361="331")),"331",IF(AND(OR(L1361="131",M1361="131"),H1361='131-CT'!$E$7),"131",""))</f>
        <v/>
      </c>
      <c r="O1361" s="39" t="str">
        <f>IF(AND($B1361&gt;='111'!$N$11,$B1361&lt;='111'!$O$11,OR($L1361=$O$7,$M1361=$O$7)),"x","")</f>
        <v/>
      </c>
      <c r="P1361" s="39" t="str">
        <f>IF(AND($L1361=$O$7,$B1361&lt;'111'!$N$11),"x","")</f>
        <v/>
      </c>
      <c r="Q1361" s="39" t="str">
        <f>IF(AND($M1361=$O$7,$B1361&lt;'111'!$N$11),"x","")</f>
        <v/>
      </c>
      <c r="R1361" s="39" t="str">
        <f>IF(ISERROR(FIND('112'!$M$9,G1361,1)),"",IF((AND(FIND('112'!$M$9,G1361,1)&gt;=1,$B1361&gt;='112'!$N$8,$B1361&lt;='112'!$O$8,OR($L1361='112'!$I$6,$M1361='112'!$I$6))),"x",""))</f>
        <v/>
      </c>
      <c r="S1361" s="39" t="str">
        <f>IF(ISERROR(FIND('112'!$M$9,G1361,1)),"",IF((AND(LEFT(G1361,2)=LEFT('112'!$M$9,2),B1361&lt;'112'!$N$8,$L1361='112'!$I$6)),"x",""))</f>
        <v/>
      </c>
      <c r="T1361" s="39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39" t="str">
        <f>IF(OR(TH!L1361=TH!$V$7,M1361=TH!$V$7),"x","")</f>
        <v/>
      </c>
      <c r="W1361" s="39" t="str">
        <f>IF(AND(B1361&gt;='IN-NX'!$P$3,B1361&lt;='IN-NX'!$Q$3,'IN-NX'!$D$7=D1361,OR(LEFT(L1361,2)="15",AND(LEFT(M1361,2)&lt;&gt;"15",LEFT(M1361,2)&lt;&gt;"33"))),"x","")</f>
        <v/>
      </c>
      <c r="X1361" s="39" t="str">
        <f>IF(AND(OR(LEFT(TH!L1361,2)="15",LEFT(TH!M1361,2)="15"),'152-CT'!$J$8=TH!F1361),"x","")</f>
        <v/>
      </c>
      <c r="Y1361" s="39" t="str">
        <f>IF(AND(OR(LEFT(TH!L1361,2)="15",LEFT(TH!M1361,2)="15"),TK!$E$7=TH!F1361),"x","")</f>
        <v/>
      </c>
      <c r="Z1361" s="39" t="str">
        <f>IF(AND(B1361&lt;=NKC!$N$8,B1361&gt;=NKC!$M$8),"x","")</f>
        <v/>
      </c>
      <c r="AA1361" s="894"/>
    </row>
    <row r="1362" spans="1:27" ht="15.75" customHeight="1">
      <c r="A1362" s="199" t="str">
        <f>IF(B1362&lt;&gt;"",IF(AND(B1362&gt;=_TM1,B1362&lt;=_TM2,OR(TH!L1362="1111",TH!M1362="1111")),TH!D1362,""),"")</f>
        <v/>
      </c>
      <c r="B1362" s="36" t="str">
        <f t="shared" si="46"/>
        <v/>
      </c>
      <c r="C1362" s="190"/>
      <c r="D1362" s="190"/>
      <c r="E1362" s="190"/>
      <c r="F1362" s="191"/>
      <c r="G1362" s="491"/>
      <c r="H1362" s="7"/>
      <c r="I1362" s="253"/>
      <c r="J1362" s="253"/>
      <c r="K1362" s="606"/>
      <c r="L1362" s="193"/>
      <c r="M1362" s="193"/>
      <c r="N1362" s="39" t="str">
        <f>IF(AND('331-CT'!$E$7=TH!H1362,OR(L1362="331",M1362="331")),"331",IF(AND(OR(L1362="131",M1362="131"),H1362='131-CT'!$E$7),"131",""))</f>
        <v/>
      </c>
      <c r="O1362" s="39" t="str">
        <f>IF(AND($B1362&gt;='111'!$N$11,$B1362&lt;='111'!$O$11,OR($L1362=$O$7,$M1362=$O$7)),"x","")</f>
        <v/>
      </c>
      <c r="P1362" s="39" t="str">
        <f>IF(AND($L1362=$O$7,$B1362&lt;'111'!$N$11),"x","")</f>
        <v/>
      </c>
      <c r="Q1362" s="39" t="str">
        <f>IF(AND($M1362=$O$7,$B1362&lt;'111'!$N$11),"x","")</f>
        <v/>
      </c>
      <c r="R1362" s="39" t="str">
        <f>IF(ISERROR(FIND('112'!$M$9,G1362,1)),"",IF((AND(FIND('112'!$M$9,G1362,1)&gt;=1,$B1362&gt;='112'!$N$8,$B1362&lt;='112'!$O$8,OR($L1362='112'!$I$6,$M1362='112'!$I$6))),"x",""))</f>
        <v/>
      </c>
      <c r="S1362" s="39" t="str">
        <f>IF(ISERROR(FIND('112'!$M$9,G1362,1)),"",IF((AND(LEFT(G1362,2)=LEFT('112'!$M$9,2),B1362&lt;'112'!$N$8,$L1362='112'!$I$6)),"x",""))</f>
        <v/>
      </c>
      <c r="T1362" s="39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39" t="str">
        <f>IF(OR(TH!L1362=TH!$V$7,M1362=TH!$V$7),"x","")</f>
        <v/>
      </c>
      <c r="W1362" s="39" t="str">
        <f>IF(AND(B1362&gt;='IN-NX'!$P$3,B1362&lt;='IN-NX'!$Q$3,'IN-NX'!$D$7=D1362,OR(LEFT(L1362,2)="15",AND(LEFT(M1362,2)&lt;&gt;"15",LEFT(M1362,2)&lt;&gt;"33"))),"x","")</f>
        <v/>
      </c>
      <c r="X1362" s="39" t="str">
        <f>IF(AND(OR(LEFT(TH!L1362,2)="15",LEFT(TH!M1362,2)="15"),'152-CT'!$J$8=TH!F1362),"x","")</f>
        <v/>
      </c>
      <c r="Y1362" s="39" t="str">
        <f>IF(AND(OR(LEFT(TH!L1362,2)="15",LEFT(TH!M1362,2)="15"),TK!$E$7=TH!F1362),"x","")</f>
        <v/>
      </c>
      <c r="Z1362" s="39" t="str">
        <f>IF(AND(B1362&lt;=NKC!$N$8,B1362&gt;=NKC!$M$8),"x","")</f>
        <v/>
      </c>
      <c r="AA1362" s="894"/>
    </row>
    <row r="1363" spans="1:27" ht="15.75" customHeight="1">
      <c r="A1363" s="199" t="str">
        <f>IF(B1363&lt;&gt;"",IF(AND(B1363&gt;=_TM1,B1363&lt;=_TM2,OR(TH!L1363="1111",TH!M1363="1111")),TH!D1363,""),"")</f>
        <v/>
      </c>
      <c r="B1363" s="36" t="str">
        <f t="shared" si="46"/>
        <v/>
      </c>
      <c r="C1363" s="190"/>
      <c r="D1363" s="190"/>
      <c r="E1363" s="190"/>
      <c r="F1363" s="191"/>
      <c r="G1363" s="491"/>
      <c r="H1363" s="7"/>
      <c r="I1363" s="253"/>
      <c r="J1363" s="253"/>
      <c r="K1363" s="606"/>
      <c r="L1363" s="193"/>
      <c r="M1363" s="193"/>
      <c r="N1363" s="39" t="str">
        <f>IF(AND('331-CT'!$E$7=TH!H1363,OR(L1363="331",M1363="331")),"331",IF(AND(OR(L1363="131",M1363="131"),H1363='131-CT'!$E$7),"131",""))</f>
        <v/>
      </c>
      <c r="O1363" s="39" t="str">
        <f>IF(AND($B1363&gt;='111'!$N$11,$B1363&lt;='111'!$O$11,OR($L1363=$O$7,$M1363=$O$7)),"x","")</f>
        <v/>
      </c>
      <c r="P1363" s="39" t="str">
        <f>IF(AND($L1363=$O$7,$B1363&lt;'111'!$N$11),"x","")</f>
        <v/>
      </c>
      <c r="Q1363" s="39" t="str">
        <f>IF(AND($M1363=$O$7,$B1363&lt;'111'!$N$11),"x","")</f>
        <v/>
      </c>
      <c r="R1363" s="39" t="str">
        <f>IF(ISERROR(FIND('112'!$M$9,G1363,1)),"",IF((AND(FIND('112'!$M$9,G1363,1)&gt;=1,$B1363&gt;='112'!$N$8,$B1363&lt;='112'!$O$8,OR($L1363='112'!$I$6,$M1363='112'!$I$6))),"x",""))</f>
        <v/>
      </c>
      <c r="S1363" s="39" t="str">
        <f>IF(ISERROR(FIND('112'!$M$9,G1363,1)),"",IF((AND(LEFT(G1363,2)=LEFT('112'!$M$9,2),B1363&lt;'112'!$N$8,$L1363='112'!$I$6)),"x",""))</f>
        <v/>
      </c>
      <c r="T1363" s="39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39" t="str">
        <f>IF(OR(TH!L1363=TH!$V$7,M1363=TH!$V$7),"x","")</f>
        <v/>
      </c>
      <c r="W1363" s="39" t="str">
        <f>IF(AND(B1363&gt;='IN-NX'!$P$3,B1363&lt;='IN-NX'!$Q$3,'IN-NX'!$D$7=D1363,OR(LEFT(L1363,2)="15",AND(LEFT(M1363,2)&lt;&gt;"15",LEFT(M1363,2)&lt;&gt;"33"))),"x","")</f>
        <v/>
      </c>
      <c r="X1363" s="39" t="str">
        <f>IF(AND(OR(LEFT(TH!L1363,2)="15",LEFT(TH!M1363,2)="15"),'152-CT'!$J$8=TH!F1363),"x","")</f>
        <v/>
      </c>
      <c r="Y1363" s="39" t="str">
        <f>IF(AND(OR(LEFT(TH!L1363,2)="15",LEFT(TH!M1363,2)="15"),TK!$E$7=TH!F1363),"x","")</f>
        <v/>
      </c>
      <c r="Z1363" s="39" t="str">
        <f>IF(AND(B1363&lt;=NKC!$N$8,B1363&gt;=NKC!$M$8),"x","")</f>
        <v/>
      </c>
      <c r="AA1363" s="894"/>
    </row>
    <row r="1364" spans="1:27" ht="15.75" customHeight="1">
      <c r="A1364" s="199" t="str">
        <f>IF(B1364&lt;&gt;"",IF(AND(B1364&gt;=_TM1,B1364&lt;=_TM2,OR(TH!L1364="1111",TH!M1364="1111")),TH!D1364,""),"")</f>
        <v/>
      </c>
      <c r="B1364" s="36" t="str">
        <f t="shared" si="46"/>
        <v/>
      </c>
      <c r="C1364" s="190"/>
      <c r="D1364" s="190"/>
      <c r="E1364" s="190"/>
      <c r="F1364" s="191"/>
      <c r="G1364" s="491"/>
      <c r="H1364" s="7"/>
      <c r="I1364" s="254"/>
      <c r="J1364" s="254"/>
      <c r="K1364" s="606"/>
      <c r="L1364" s="193"/>
      <c r="M1364" s="193"/>
      <c r="N1364" s="39" t="str">
        <f>IF(AND('331-CT'!$E$7=TH!H1364,OR(L1364="331",M1364="331")),"331",IF(AND(OR(L1364="131",M1364="131"),H1364='131-CT'!$E$7),"131",""))</f>
        <v/>
      </c>
      <c r="O1364" s="39" t="str">
        <f>IF(AND($B1364&gt;='111'!$N$11,$B1364&lt;='111'!$O$11,OR($L1364=$O$7,$M1364=$O$7)),"x","")</f>
        <v/>
      </c>
      <c r="P1364" s="39" t="str">
        <f>IF(AND($L1364=$O$7,$B1364&lt;'111'!$N$11),"x","")</f>
        <v/>
      </c>
      <c r="Q1364" s="39" t="str">
        <f>IF(AND($M1364=$O$7,$B1364&lt;'111'!$N$11),"x","")</f>
        <v/>
      </c>
      <c r="R1364" s="39" t="str">
        <f>IF(ISERROR(FIND('112'!$M$9,G1364,1)),"",IF((AND(FIND('112'!$M$9,G1364,1)&gt;=1,$B1364&gt;='112'!$N$8,$B1364&lt;='112'!$O$8,OR($L1364='112'!$I$6,$M1364='112'!$I$6))),"x",""))</f>
        <v/>
      </c>
      <c r="S1364" s="39" t="str">
        <f>IF(ISERROR(FIND('112'!$M$9,G1364,1)),"",IF((AND(LEFT(G1364,2)=LEFT('112'!$M$9,2),B1364&lt;'112'!$N$8,$L1364='112'!$I$6)),"x",""))</f>
        <v/>
      </c>
      <c r="T1364" s="39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39" t="str">
        <f>IF(OR(TH!L1364=TH!$V$7,M1364=TH!$V$7),"x","")</f>
        <v/>
      </c>
      <c r="W1364" s="39" t="str">
        <f>IF(AND(B1364&gt;='IN-NX'!$P$3,B1364&lt;='IN-NX'!$Q$3,'IN-NX'!$D$7=D1364,OR(LEFT(L1364,2)="15",AND(LEFT(M1364,2)&lt;&gt;"15",LEFT(M1364,2)&lt;&gt;"33"))),"x","")</f>
        <v/>
      </c>
      <c r="X1364" s="39" t="str">
        <f>IF(AND(OR(LEFT(TH!L1364,2)="15",LEFT(TH!M1364,2)="15"),'152-CT'!$J$8=TH!F1364),"x","")</f>
        <v/>
      </c>
      <c r="Y1364" s="39" t="str">
        <f>IF(AND(OR(LEFT(TH!L1364,2)="15",LEFT(TH!M1364,2)="15"),TK!$E$7=TH!F1364),"x","")</f>
        <v/>
      </c>
      <c r="Z1364" s="39" t="str">
        <f>IF(AND(B1364&lt;=NKC!$N$8,B1364&gt;=NKC!$M$8),"x","")</f>
        <v/>
      </c>
      <c r="AA1364" s="894"/>
    </row>
    <row r="1365" spans="1:27" ht="15.75" customHeight="1">
      <c r="A1365" s="199" t="str">
        <f>IF(B1365&lt;&gt;"",IF(AND(B1365&gt;=_TM1,B1365&lt;=_TM2,OR(TH!L1365="1111",TH!M1365="1111")),TH!D1365,""),"")</f>
        <v/>
      </c>
      <c r="B1365" s="36" t="str">
        <f t="shared" si="46"/>
        <v/>
      </c>
      <c r="C1365" s="190"/>
      <c r="D1365" s="190"/>
      <c r="E1365" s="190"/>
      <c r="F1365" s="191"/>
      <c r="G1365" s="491"/>
      <c r="H1365" s="7"/>
      <c r="I1365" s="253"/>
      <c r="J1365" s="253"/>
      <c r="K1365" s="606"/>
      <c r="L1365" s="193"/>
      <c r="M1365" s="193"/>
      <c r="N1365" s="39" t="str">
        <f>IF(AND('331-CT'!$E$7=TH!H1365,OR(L1365="331",M1365="331")),"331",IF(AND(OR(L1365="131",M1365="131"),H1365='131-CT'!$E$7),"131",""))</f>
        <v/>
      </c>
      <c r="O1365" s="39" t="str">
        <f>IF(AND($B1365&gt;='111'!$N$11,$B1365&lt;='111'!$O$11,OR($L1365=$O$7,$M1365=$O$7)),"x","")</f>
        <v/>
      </c>
      <c r="P1365" s="39" t="str">
        <f>IF(AND($L1365=$O$7,$B1365&lt;'111'!$N$11),"x","")</f>
        <v/>
      </c>
      <c r="Q1365" s="39" t="str">
        <f>IF(AND($M1365=$O$7,$B1365&lt;'111'!$N$11),"x","")</f>
        <v/>
      </c>
      <c r="R1365" s="39" t="str">
        <f>IF(ISERROR(FIND('112'!$M$9,G1365,1)),"",IF((AND(FIND('112'!$M$9,G1365,1)&gt;=1,$B1365&gt;='112'!$N$8,$B1365&lt;='112'!$O$8,OR($L1365='112'!$I$6,$M1365='112'!$I$6))),"x",""))</f>
        <v/>
      </c>
      <c r="S1365" s="39" t="str">
        <f>IF(ISERROR(FIND('112'!$M$9,G1365,1)),"",IF((AND(LEFT(G1365,2)=LEFT('112'!$M$9,2),B1365&lt;'112'!$N$8,$L1365='112'!$I$6)),"x",""))</f>
        <v/>
      </c>
      <c r="T1365" s="39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39" t="str">
        <f>IF(OR(TH!L1365=TH!$V$7,M1365=TH!$V$7),"x","")</f>
        <v/>
      </c>
      <c r="W1365" s="39" t="str">
        <f>IF(AND(B1365&gt;='IN-NX'!$P$3,B1365&lt;='IN-NX'!$Q$3,'IN-NX'!$D$7=D1365,OR(LEFT(L1365,2)="15",AND(LEFT(M1365,2)&lt;&gt;"15",LEFT(M1365,2)&lt;&gt;"33"))),"x","")</f>
        <v/>
      </c>
      <c r="X1365" s="39" t="str">
        <f>IF(AND(OR(LEFT(TH!L1365,2)="15",LEFT(TH!M1365,2)="15"),'152-CT'!$J$8=TH!F1365),"x","")</f>
        <v/>
      </c>
      <c r="Y1365" s="39" t="str">
        <f>IF(AND(OR(LEFT(TH!L1365,2)="15",LEFT(TH!M1365,2)="15"),TK!$E$7=TH!F1365),"x","")</f>
        <v/>
      </c>
      <c r="Z1365" s="39" t="str">
        <f>IF(AND(B1365&lt;=NKC!$N$8,B1365&gt;=NKC!$M$8),"x","")</f>
        <v/>
      </c>
      <c r="AA1365" s="894"/>
    </row>
    <row r="1366" spans="1:27" ht="15.75" customHeight="1">
      <c r="A1366" s="199" t="str">
        <f>IF(B1366&lt;&gt;"",IF(AND(B1366&gt;=_TM1,B1366&lt;=_TM2,OR(TH!L1366="1111",TH!M1366="1111")),TH!D1366,""),"")</f>
        <v/>
      </c>
      <c r="B1366" s="36" t="str">
        <f t="shared" si="46"/>
        <v/>
      </c>
      <c r="C1366" s="190"/>
      <c r="D1366" s="190"/>
      <c r="E1366" s="190"/>
      <c r="F1366" s="191"/>
      <c r="G1366" s="491"/>
      <c r="H1366" s="7"/>
      <c r="I1366" s="253"/>
      <c r="J1366" s="253"/>
      <c r="K1366" s="606"/>
      <c r="L1366" s="193"/>
      <c r="M1366" s="193"/>
      <c r="N1366" s="39" t="str">
        <f>IF(AND('331-CT'!$E$7=TH!H1366,OR(L1366="331",M1366="331")),"331",IF(AND(OR(L1366="131",M1366="131"),H1366='131-CT'!$E$7),"131",""))</f>
        <v/>
      </c>
      <c r="O1366" s="39" t="str">
        <f>IF(AND($B1366&gt;='111'!$N$11,$B1366&lt;='111'!$O$11,OR($L1366=$O$7,$M1366=$O$7)),"x","")</f>
        <v/>
      </c>
      <c r="P1366" s="39" t="str">
        <f>IF(AND($L1366=$O$7,$B1366&lt;'111'!$N$11),"x","")</f>
        <v/>
      </c>
      <c r="Q1366" s="39" t="str">
        <f>IF(AND($M1366=$O$7,$B1366&lt;'111'!$N$11),"x","")</f>
        <v/>
      </c>
      <c r="R1366" s="39" t="str">
        <f>IF(ISERROR(FIND('112'!$M$9,G1366,1)),"",IF((AND(FIND('112'!$M$9,G1366,1)&gt;=1,$B1366&gt;='112'!$N$8,$B1366&lt;='112'!$O$8,OR($L1366='112'!$I$6,$M1366='112'!$I$6))),"x",""))</f>
        <v/>
      </c>
      <c r="S1366" s="39" t="str">
        <f>IF(ISERROR(FIND('112'!$M$9,G1366,1)),"",IF((AND(LEFT(G1366,2)=LEFT('112'!$M$9,2),B1366&lt;'112'!$N$8,$L1366='112'!$I$6)),"x",""))</f>
        <v/>
      </c>
      <c r="T1366" s="39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39" t="str">
        <f>IF(OR(TH!L1366=TH!$V$7,M1366=TH!$V$7),"x","")</f>
        <v/>
      </c>
      <c r="W1366" s="39" t="str">
        <f>IF(AND(B1366&gt;='IN-NX'!$P$3,B1366&lt;='IN-NX'!$Q$3,'IN-NX'!$D$7=D1366,OR(LEFT(L1366,2)="15",AND(LEFT(M1366,2)&lt;&gt;"15",LEFT(M1366,2)&lt;&gt;"33"))),"x","")</f>
        <v/>
      </c>
      <c r="X1366" s="39" t="str">
        <f>IF(AND(OR(LEFT(TH!L1366,2)="15",LEFT(TH!M1366,2)="15"),'152-CT'!$J$8=TH!F1366),"x","")</f>
        <v/>
      </c>
      <c r="Y1366" s="39" t="str">
        <f>IF(AND(OR(LEFT(TH!L1366,2)="15",LEFT(TH!M1366,2)="15"),TK!$E$7=TH!F1366),"x","")</f>
        <v/>
      </c>
      <c r="Z1366" s="39" t="str">
        <f>IF(AND(B1366&lt;=NKC!$N$8,B1366&gt;=NKC!$M$8),"x","")</f>
        <v/>
      </c>
      <c r="AA1366" s="894"/>
    </row>
    <row r="1367" spans="1:27" ht="15.75" customHeight="1">
      <c r="A1367" s="199" t="str">
        <f>IF(B1367&lt;&gt;"",IF(AND(B1367&gt;=_TM1,B1367&lt;=_TM2,OR(TH!L1367="1111",TH!M1367="1111")),TH!D1367,""),"")</f>
        <v/>
      </c>
      <c r="B1367" s="36" t="str">
        <f t="shared" si="46"/>
        <v/>
      </c>
      <c r="C1367" s="190"/>
      <c r="D1367" s="190"/>
      <c r="E1367" s="190"/>
      <c r="F1367" s="191"/>
      <c r="G1367" s="491"/>
      <c r="H1367" s="7"/>
      <c r="I1367" s="253"/>
      <c r="J1367" s="253"/>
      <c r="K1367" s="606"/>
      <c r="L1367" s="193"/>
      <c r="M1367" s="193"/>
      <c r="N1367" s="39" t="str">
        <f>IF(AND('331-CT'!$E$7=TH!H1367,OR(L1367="331",M1367="331")),"331",IF(AND(OR(L1367="131",M1367="131"),H1367='131-CT'!$E$7),"131",""))</f>
        <v/>
      </c>
      <c r="O1367" s="39" t="str">
        <f>IF(AND($B1367&gt;='111'!$N$11,$B1367&lt;='111'!$O$11,OR($L1367=$O$7,$M1367=$O$7)),"x","")</f>
        <v/>
      </c>
      <c r="P1367" s="39" t="str">
        <f>IF(AND($L1367=$O$7,$B1367&lt;'111'!$N$11),"x","")</f>
        <v/>
      </c>
      <c r="Q1367" s="39" t="str">
        <f>IF(AND($M1367=$O$7,$B1367&lt;'111'!$N$11),"x","")</f>
        <v/>
      </c>
      <c r="R1367" s="39" t="str">
        <f>IF(ISERROR(FIND('112'!$M$9,G1367,1)),"",IF((AND(FIND('112'!$M$9,G1367,1)&gt;=1,$B1367&gt;='112'!$N$8,$B1367&lt;='112'!$O$8,OR($L1367='112'!$I$6,$M1367='112'!$I$6))),"x",""))</f>
        <v/>
      </c>
      <c r="S1367" s="39" t="str">
        <f>IF(ISERROR(FIND('112'!$M$9,G1367,1)),"",IF((AND(LEFT(G1367,2)=LEFT('112'!$M$9,2),B1367&lt;'112'!$N$8,$L1367='112'!$I$6)),"x",""))</f>
        <v/>
      </c>
      <c r="T1367" s="39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39" t="str">
        <f>IF(OR(TH!L1367=TH!$V$7,M1367=TH!$V$7),"x","")</f>
        <v/>
      </c>
      <c r="W1367" s="39" t="str">
        <f>IF(AND(B1367&gt;='IN-NX'!$P$3,B1367&lt;='IN-NX'!$Q$3,'IN-NX'!$D$7=D1367,OR(LEFT(L1367,2)="15",AND(LEFT(M1367,2)&lt;&gt;"15",LEFT(M1367,2)&lt;&gt;"33"))),"x","")</f>
        <v/>
      </c>
      <c r="X1367" s="39" t="str">
        <f>IF(AND(OR(LEFT(TH!L1367,2)="15",LEFT(TH!M1367,2)="15"),'152-CT'!$J$8=TH!F1367),"x","")</f>
        <v/>
      </c>
      <c r="Y1367" s="39" t="str">
        <f>IF(AND(OR(LEFT(TH!L1367,2)="15",LEFT(TH!M1367,2)="15"),TK!$E$7=TH!F1367),"x","")</f>
        <v/>
      </c>
      <c r="Z1367" s="39" t="str">
        <f>IF(AND(B1367&lt;=NKC!$N$8,B1367&gt;=NKC!$M$8),"x","")</f>
        <v/>
      </c>
      <c r="AA1367" s="894"/>
    </row>
    <row r="1368" spans="1:27" ht="15.75" customHeight="1">
      <c r="A1368" s="199" t="str">
        <f>IF(B1368&lt;&gt;"",IF(AND(B1368&gt;=_TM1,B1368&lt;=_TM2,OR(TH!L1368="1111",TH!M1368="1111")),TH!D1368,""),"")</f>
        <v/>
      </c>
      <c r="B1368" s="36" t="str">
        <f t="shared" si="46"/>
        <v/>
      </c>
      <c r="C1368" s="190"/>
      <c r="D1368" s="190"/>
      <c r="E1368" s="190"/>
      <c r="F1368" s="191"/>
      <c r="G1368" s="491"/>
      <c r="H1368" s="7"/>
      <c r="I1368" s="253"/>
      <c r="J1368" s="253"/>
      <c r="K1368" s="38"/>
      <c r="L1368" s="193"/>
      <c r="M1368" s="193"/>
      <c r="N1368" s="39" t="str">
        <f>IF(AND('331-CT'!$E$7=TH!H1368,OR(L1368="331",M1368="331")),"331",IF(AND(OR(L1368="131",M1368="131"),H1368='131-CT'!$E$7),"131",""))</f>
        <v/>
      </c>
      <c r="O1368" s="39" t="str">
        <f>IF(AND($B1368&gt;='111'!$N$11,$B1368&lt;='111'!$O$11,OR($L1368=$O$7,$M1368=$O$7)),"x","")</f>
        <v/>
      </c>
      <c r="P1368" s="39" t="str">
        <f>IF(AND($L1368=$O$7,$B1368&lt;'111'!$N$11),"x","")</f>
        <v/>
      </c>
      <c r="Q1368" s="39" t="str">
        <f>IF(AND($M1368=$O$7,$B1368&lt;'111'!$N$11),"x","")</f>
        <v/>
      </c>
      <c r="R1368" s="39" t="str">
        <f>IF(ISERROR(FIND('112'!$M$9,G1368,1)),"",IF((AND(FIND('112'!$M$9,G1368,1)&gt;=1,$B1368&gt;='112'!$N$8,$B1368&lt;='112'!$O$8,OR($L1368='112'!$I$6,$M1368='112'!$I$6))),"x",""))</f>
        <v/>
      </c>
      <c r="S1368" s="39" t="str">
        <f>IF(ISERROR(FIND('112'!$M$9,G1368,1)),"",IF((AND(LEFT(G1368,2)=LEFT('112'!$M$9,2),B1368&lt;'112'!$N$8,$L1368='112'!$I$6)),"x",""))</f>
        <v/>
      </c>
      <c r="T1368" s="39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39" t="str">
        <f>IF(OR(TH!L1368=TH!$V$7,M1368=TH!$V$7),"x","")</f>
        <v/>
      </c>
      <c r="W1368" s="39" t="str">
        <f>IF(AND(B1368&gt;='IN-NX'!$P$3,B1368&lt;='IN-NX'!$Q$3,'IN-NX'!$D$7=D1368,OR(LEFT(L1368,2)="15",AND(LEFT(M1368,2)&lt;&gt;"15",LEFT(M1368,2)&lt;&gt;"33"))),"x","")</f>
        <v/>
      </c>
      <c r="X1368" s="39" t="str">
        <f>IF(AND(OR(LEFT(TH!L1368,2)="15",LEFT(TH!M1368,2)="15"),'152-CT'!$J$8=TH!F1368),"x","")</f>
        <v/>
      </c>
      <c r="Y1368" s="39" t="str">
        <f>IF(AND(OR(LEFT(TH!L1368,2)="15",LEFT(TH!M1368,2)="15"),TK!$E$7=TH!F1368),"x","")</f>
        <v/>
      </c>
      <c r="Z1368" s="39" t="str">
        <f>IF(AND(B1368&lt;=NKC!$N$8,B1368&gt;=NKC!$M$8),"x","")</f>
        <v/>
      </c>
      <c r="AA1368" s="894"/>
    </row>
    <row r="1369" spans="1:27" ht="15.75" customHeight="1">
      <c r="A1369" s="199" t="str">
        <f>IF(B1369&lt;&gt;"",IF(AND(B1369&gt;=_TM1,B1369&lt;=_TM2,OR(TH!L1369="1111",TH!M1369="1111")),TH!D1369,""),"")</f>
        <v/>
      </c>
      <c r="B1369" s="36" t="str">
        <f t="shared" ref="B1369:B1432" si="47">IF(C1369&lt;&gt;"",MONTH(C1369),"")</f>
        <v/>
      </c>
      <c r="C1369" s="37"/>
      <c r="D1369" s="37"/>
      <c r="E1369" s="37"/>
      <c r="F1369" s="40"/>
      <c r="G1369" s="40"/>
      <c r="H1369" s="7"/>
      <c r="I1369" s="253"/>
      <c r="J1369" s="253"/>
      <c r="K1369" s="606"/>
      <c r="L1369" s="39"/>
      <c r="M1369" s="39"/>
      <c r="N1369" s="39" t="str">
        <f>IF(AND('331-CT'!$E$7=TH!H1369,OR(L1369="331",M1369="331")),"331",IF(AND(OR(L1369="131",M1369="131"),H1369='131-CT'!$E$7),"131",""))</f>
        <v/>
      </c>
      <c r="O1369" s="39" t="str">
        <f>IF(AND($B1369&gt;='111'!$N$11,$B1369&lt;='111'!$O$11,OR($L1369=$O$7,$M1369=$O$7)),"x","")</f>
        <v/>
      </c>
      <c r="P1369" s="39" t="str">
        <f>IF(AND($L1369=$O$7,$B1369&lt;'111'!$N$11),"x","")</f>
        <v/>
      </c>
      <c r="Q1369" s="39" t="str">
        <f>IF(AND($M1369=$O$7,$B1369&lt;'111'!$N$11),"x","")</f>
        <v/>
      </c>
      <c r="R1369" s="39" t="str">
        <f>IF(ISERROR(FIND('112'!$M$9,G1369,1)),"",IF((AND(FIND('112'!$M$9,G1369,1)&gt;=1,$B1369&gt;='112'!$N$8,$B1369&lt;='112'!$O$8,OR($L1369='112'!$I$6,$M1369='112'!$I$6))),"x",""))</f>
        <v/>
      </c>
      <c r="S1369" s="39" t="str">
        <f>IF(ISERROR(FIND('112'!$M$9,G1369,1)),"",IF((AND(LEFT(G1369,2)=LEFT('112'!$M$9,2),B1369&lt;'112'!$N$8,$L1369='112'!$I$6)),"x",""))</f>
        <v/>
      </c>
      <c r="T1369" s="39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39" t="str">
        <f>IF(OR(TH!L1369=TH!$V$7,M1369=TH!$V$7),"x","")</f>
        <v/>
      </c>
      <c r="W1369" s="39" t="str">
        <f>IF(AND(B1369&gt;='IN-NX'!$P$3,B1369&lt;='IN-NX'!$Q$3,'IN-NX'!$D$7=D1369,OR(LEFT(L1369,2)="15",AND(LEFT(M1369,2)&lt;&gt;"15",LEFT(M1369,2)&lt;&gt;"33"))),"x","")</f>
        <v/>
      </c>
      <c r="X1369" s="39" t="str">
        <f>IF(AND(OR(LEFT(TH!L1369,2)="15",LEFT(TH!M1369,2)="15"),'152-CT'!$J$8=TH!F1369),"x","")</f>
        <v/>
      </c>
      <c r="Y1369" s="39" t="str">
        <f>IF(AND(OR(LEFT(TH!L1369,2)="15",LEFT(TH!M1369,2)="15"),TK!$E$7=TH!F1369),"x","")</f>
        <v/>
      </c>
      <c r="Z1369" s="39" t="str">
        <f>IF(AND(B1369&lt;=NKC!$N$8,B1369&gt;=NKC!$M$8),"x","")</f>
        <v/>
      </c>
      <c r="AA1369" s="894"/>
    </row>
    <row r="1370" spans="1:27" ht="15.75" customHeight="1">
      <c r="A1370" s="199" t="str">
        <f>IF(B1370&lt;&gt;"",IF(AND(B1370&gt;=_TM1,B1370&lt;=_TM2,OR(TH!L1370="1111",TH!M1370="1111")),TH!D1370,""),"")</f>
        <v/>
      </c>
      <c r="B1370" s="36" t="str">
        <f t="shared" si="47"/>
        <v/>
      </c>
      <c r="C1370" s="37"/>
      <c r="D1370" s="37"/>
      <c r="E1370" s="37"/>
      <c r="F1370" s="40"/>
      <c r="G1370" s="40"/>
      <c r="H1370" s="7"/>
      <c r="I1370" s="253"/>
      <c r="J1370" s="253"/>
      <c r="K1370" s="606"/>
      <c r="L1370" s="39"/>
      <c r="M1370" s="39"/>
      <c r="N1370" s="39" t="str">
        <f>IF(AND('331-CT'!$E$7=TH!H1370,OR(L1370="331",M1370="331")),"331",IF(AND(OR(L1370="131",M1370="131"),H1370='131-CT'!$E$7),"131",""))</f>
        <v/>
      </c>
      <c r="O1370" s="39" t="str">
        <f>IF(AND($B1370&gt;='111'!$N$11,$B1370&lt;='111'!$O$11,OR($L1370=$O$7,$M1370=$O$7)),"x","")</f>
        <v/>
      </c>
      <c r="P1370" s="39" t="str">
        <f>IF(AND($L1370=$O$7,$B1370&lt;'111'!$N$11),"x","")</f>
        <v/>
      </c>
      <c r="Q1370" s="39" t="str">
        <f>IF(AND($M1370=$O$7,$B1370&lt;'111'!$N$11),"x","")</f>
        <v/>
      </c>
      <c r="R1370" s="39" t="str">
        <f>IF(ISERROR(FIND('112'!$M$9,G1370,1)),"",IF((AND(FIND('112'!$M$9,G1370,1)&gt;=1,$B1370&gt;='112'!$N$8,$B1370&lt;='112'!$O$8,OR($L1370='112'!$I$6,$M1370='112'!$I$6))),"x",""))</f>
        <v/>
      </c>
      <c r="S1370" s="39" t="str">
        <f>IF(ISERROR(FIND('112'!$M$9,G1370,1)),"",IF((AND(LEFT(G1370,2)=LEFT('112'!$M$9,2),B1370&lt;'112'!$N$8,$L1370='112'!$I$6)),"x",""))</f>
        <v/>
      </c>
      <c r="T1370" s="39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39" t="str">
        <f>IF(OR(TH!L1370=TH!$V$7,M1370=TH!$V$7),"x","")</f>
        <v/>
      </c>
      <c r="W1370" s="39" t="str">
        <f>IF(AND(B1370&gt;='IN-NX'!$P$3,B1370&lt;='IN-NX'!$Q$3,'IN-NX'!$D$7=D1370,OR(LEFT(L1370,2)="15",AND(LEFT(M1370,2)&lt;&gt;"15",LEFT(M1370,2)&lt;&gt;"33"))),"x","")</f>
        <v/>
      </c>
      <c r="X1370" s="39" t="str">
        <f>IF(AND(OR(LEFT(TH!L1370,2)="15",LEFT(TH!M1370,2)="15"),'152-CT'!$J$8=TH!F1370),"x","")</f>
        <v/>
      </c>
      <c r="Y1370" s="39" t="str">
        <f>IF(AND(OR(LEFT(TH!L1370,2)="15",LEFT(TH!M1370,2)="15"),TK!$E$7=TH!F1370),"x","")</f>
        <v/>
      </c>
      <c r="Z1370" s="39" t="str">
        <f>IF(AND(B1370&lt;=NKC!$N$8,B1370&gt;=NKC!$M$8),"x","")</f>
        <v/>
      </c>
      <c r="AA1370" s="894"/>
    </row>
    <row r="1371" spans="1:27" ht="15.75" customHeight="1">
      <c r="A1371" s="199" t="str">
        <f>IF(B1371&lt;&gt;"",IF(AND(B1371&gt;=_TM1,B1371&lt;=_TM2,OR(TH!L1371="1111",TH!M1371="1111")),TH!D1371,""),"")</f>
        <v/>
      </c>
      <c r="B1371" s="36" t="str">
        <f t="shared" si="47"/>
        <v/>
      </c>
      <c r="C1371" s="37"/>
      <c r="D1371" s="37"/>
      <c r="E1371" s="37"/>
      <c r="F1371" s="40"/>
      <c r="G1371" s="40"/>
      <c r="H1371" s="7"/>
      <c r="I1371" s="253"/>
      <c r="J1371" s="253"/>
      <c r="K1371" s="606"/>
      <c r="L1371" s="39"/>
      <c r="M1371" s="39"/>
      <c r="N1371" s="39" t="str">
        <f>IF(AND('331-CT'!$E$7=TH!H1371,OR(L1371="331",M1371="331")),"331",IF(AND(OR(L1371="131",M1371="131"),H1371='131-CT'!$E$7),"131",""))</f>
        <v/>
      </c>
      <c r="O1371" s="39" t="str">
        <f>IF(AND($B1371&gt;='111'!$N$11,$B1371&lt;='111'!$O$11,OR($L1371=$O$7,$M1371=$O$7)),"x","")</f>
        <v/>
      </c>
      <c r="P1371" s="39" t="str">
        <f>IF(AND($L1371=$O$7,$B1371&lt;'111'!$N$11),"x","")</f>
        <v/>
      </c>
      <c r="Q1371" s="39" t="str">
        <f>IF(AND($M1371=$O$7,$B1371&lt;'111'!$N$11),"x","")</f>
        <v/>
      </c>
      <c r="R1371" s="39" t="str">
        <f>IF(ISERROR(FIND('112'!$M$9,G1371,1)),"",IF((AND(FIND('112'!$M$9,G1371,1)&gt;=1,$B1371&gt;='112'!$N$8,$B1371&lt;='112'!$O$8,OR($L1371='112'!$I$6,$M1371='112'!$I$6))),"x",""))</f>
        <v/>
      </c>
      <c r="S1371" s="39" t="str">
        <f>IF(ISERROR(FIND('112'!$M$9,G1371,1)),"",IF((AND(LEFT(G1371,2)=LEFT('112'!$M$9,2),B1371&lt;'112'!$N$8,$L1371='112'!$I$6)),"x",""))</f>
        <v/>
      </c>
      <c r="T1371" s="39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39" t="str">
        <f>IF(OR(TH!L1371=TH!$V$7,M1371=TH!$V$7),"x","")</f>
        <v/>
      </c>
      <c r="W1371" s="39" t="str">
        <f>IF(AND(B1371&gt;='IN-NX'!$P$3,B1371&lt;='IN-NX'!$Q$3,'IN-NX'!$D$7=D1371,OR(LEFT(L1371,2)="15",AND(LEFT(M1371,2)&lt;&gt;"15",LEFT(M1371,2)&lt;&gt;"33"))),"x","")</f>
        <v/>
      </c>
      <c r="X1371" s="39" t="str">
        <f>IF(AND(OR(LEFT(TH!L1371,2)="15",LEFT(TH!M1371,2)="15"),'152-CT'!$J$8=TH!F1371),"x","")</f>
        <v/>
      </c>
      <c r="Y1371" s="39" t="str">
        <f>IF(AND(OR(LEFT(TH!L1371,2)="15",LEFT(TH!M1371,2)="15"),TK!$E$7=TH!F1371),"x","")</f>
        <v/>
      </c>
      <c r="Z1371" s="39" t="str">
        <f>IF(AND(B1371&lt;=NKC!$N$8,B1371&gt;=NKC!$M$8),"x","")</f>
        <v/>
      </c>
      <c r="AA1371" s="894"/>
    </row>
    <row r="1372" spans="1:27" ht="15.75" customHeight="1">
      <c r="A1372" s="199" t="str">
        <f>IF(B1372&lt;&gt;"",IF(AND(B1372&gt;=_TM1,B1372&lt;=_TM2,OR(TH!L1372="1111",TH!M1372="1111")),TH!D1372,""),"")</f>
        <v/>
      </c>
      <c r="B1372" s="36" t="str">
        <f t="shared" si="47"/>
        <v/>
      </c>
      <c r="C1372" s="37"/>
      <c r="D1372" s="37"/>
      <c r="E1372" s="37"/>
      <c r="F1372" s="40"/>
      <c r="G1372" s="40"/>
      <c r="H1372" s="7"/>
      <c r="I1372" s="253"/>
      <c r="J1372" s="253"/>
      <c r="K1372" s="606"/>
      <c r="L1372" s="39"/>
      <c r="M1372" s="39"/>
      <c r="N1372" s="39" t="str">
        <f>IF(AND('331-CT'!$E$7=TH!H1372,OR(L1372="331",M1372="331")),"331",IF(AND(OR(L1372="131",M1372="131"),H1372='131-CT'!$E$7),"131",""))</f>
        <v/>
      </c>
      <c r="O1372" s="39" t="str">
        <f>IF(AND($B1372&gt;='111'!$N$11,$B1372&lt;='111'!$O$11,OR($L1372=$O$7,$M1372=$O$7)),"x","")</f>
        <v/>
      </c>
      <c r="P1372" s="39" t="str">
        <f>IF(AND($L1372=$O$7,$B1372&lt;'111'!$N$11),"x","")</f>
        <v/>
      </c>
      <c r="Q1372" s="39" t="str">
        <f>IF(AND($M1372=$O$7,$B1372&lt;'111'!$N$11),"x","")</f>
        <v/>
      </c>
      <c r="R1372" s="39" t="str">
        <f>IF(ISERROR(FIND('112'!$M$9,G1372,1)),"",IF((AND(FIND('112'!$M$9,G1372,1)&gt;=1,$B1372&gt;='112'!$N$8,$B1372&lt;='112'!$O$8,OR($L1372='112'!$I$6,$M1372='112'!$I$6))),"x",""))</f>
        <v/>
      </c>
      <c r="S1372" s="39" t="str">
        <f>IF(ISERROR(FIND('112'!$M$9,G1372,1)),"",IF((AND(LEFT(G1372,2)=LEFT('112'!$M$9,2),B1372&lt;'112'!$N$8,$L1372='112'!$I$6)),"x",""))</f>
        <v/>
      </c>
      <c r="T1372" s="39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39" t="str">
        <f>IF(OR(TH!L1372=TH!$V$7,M1372=TH!$V$7),"x","")</f>
        <v/>
      </c>
      <c r="W1372" s="39" t="str">
        <f>IF(AND(B1372&gt;='IN-NX'!$P$3,B1372&lt;='IN-NX'!$Q$3,'IN-NX'!$D$7=D1372,OR(LEFT(L1372,2)="15",AND(LEFT(M1372,2)&lt;&gt;"15",LEFT(M1372,2)&lt;&gt;"33"))),"x","")</f>
        <v/>
      </c>
      <c r="X1372" s="39" t="str">
        <f>IF(AND(OR(LEFT(TH!L1372,2)="15",LEFT(TH!M1372,2)="15"),'152-CT'!$J$8=TH!F1372),"x","")</f>
        <v/>
      </c>
      <c r="Y1372" s="39" t="str">
        <f>IF(AND(OR(LEFT(TH!L1372,2)="15",LEFT(TH!M1372,2)="15"),TK!$E$7=TH!F1372),"x","")</f>
        <v/>
      </c>
      <c r="Z1372" s="39" t="str">
        <f>IF(AND(B1372&lt;=NKC!$N$8,B1372&gt;=NKC!$M$8),"x","")</f>
        <v/>
      </c>
      <c r="AA1372" s="894"/>
    </row>
    <row r="1373" spans="1:27" ht="15.75" customHeight="1">
      <c r="A1373" s="199" t="str">
        <f>IF(B1373&lt;&gt;"",IF(AND(B1373&gt;=_TM1,B1373&lt;=_TM2,OR(TH!L1373="1111",TH!M1373="1111")),TH!D1373,""),"")</f>
        <v/>
      </c>
      <c r="B1373" s="36" t="str">
        <f t="shared" si="47"/>
        <v/>
      </c>
      <c r="C1373" s="37"/>
      <c r="D1373" s="37"/>
      <c r="E1373" s="37"/>
      <c r="F1373" s="40"/>
      <c r="G1373" s="40"/>
      <c r="H1373" s="7"/>
      <c r="I1373" s="253"/>
      <c r="J1373" s="253"/>
      <c r="K1373" s="606"/>
      <c r="L1373" s="39"/>
      <c r="M1373" s="39"/>
      <c r="N1373" s="39" t="str">
        <f>IF(AND('331-CT'!$E$7=TH!H1373,OR(L1373="331",M1373="331")),"331",IF(AND(OR(L1373="131",M1373="131"),H1373='131-CT'!$E$7),"131",""))</f>
        <v/>
      </c>
      <c r="O1373" s="39" t="str">
        <f>IF(AND($B1373&gt;='111'!$N$11,$B1373&lt;='111'!$O$11,OR($L1373=$O$7,$M1373=$O$7)),"x","")</f>
        <v/>
      </c>
      <c r="P1373" s="39" t="str">
        <f>IF(AND($L1373=$O$7,$B1373&lt;'111'!$N$11),"x","")</f>
        <v/>
      </c>
      <c r="Q1373" s="39" t="str">
        <f>IF(AND($M1373=$O$7,$B1373&lt;'111'!$N$11),"x","")</f>
        <v/>
      </c>
      <c r="R1373" s="39" t="str">
        <f>IF(ISERROR(FIND('112'!$M$9,G1373,1)),"",IF((AND(FIND('112'!$M$9,G1373,1)&gt;=1,$B1373&gt;='112'!$N$8,$B1373&lt;='112'!$O$8,OR($L1373='112'!$I$6,$M1373='112'!$I$6))),"x",""))</f>
        <v/>
      </c>
      <c r="S1373" s="39" t="str">
        <f>IF(ISERROR(FIND('112'!$M$9,G1373,1)),"",IF((AND(LEFT(G1373,2)=LEFT('112'!$M$9,2),B1373&lt;'112'!$N$8,$L1373='112'!$I$6)),"x",""))</f>
        <v/>
      </c>
      <c r="T1373" s="39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39" t="str">
        <f>IF(OR(TH!L1373=TH!$V$7,M1373=TH!$V$7),"x","")</f>
        <v/>
      </c>
      <c r="W1373" s="39" t="str">
        <f>IF(AND(B1373&gt;='IN-NX'!$P$3,B1373&lt;='IN-NX'!$Q$3,'IN-NX'!$D$7=D1373,OR(LEFT(L1373,2)="15",AND(LEFT(M1373,2)&lt;&gt;"15",LEFT(M1373,2)&lt;&gt;"33"))),"x","")</f>
        <v/>
      </c>
      <c r="X1373" s="39" t="str">
        <f>IF(AND(OR(LEFT(TH!L1373,2)="15",LEFT(TH!M1373,2)="15"),'152-CT'!$J$8=TH!F1373),"x","")</f>
        <v/>
      </c>
      <c r="Y1373" s="39" t="str">
        <f>IF(AND(OR(LEFT(TH!L1373,2)="15",LEFT(TH!M1373,2)="15"),TK!$E$7=TH!F1373),"x","")</f>
        <v/>
      </c>
      <c r="Z1373" s="39" t="str">
        <f>IF(AND(B1373&lt;=NKC!$N$8,B1373&gt;=NKC!$M$8),"x","")</f>
        <v/>
      </c>
      <c r="AA1373" s="894"/>
    </row>
    <row r="1374" spans="1:27" ht="15.75" customHeight="1">
      <c r="A1374" s="199" t="str">
        <f>IF(B1374&lt;&gt;"",IF(AND(B1374&gt;=_TM1,B1374&lt;=_TM2,OR(TH!L1374="1111",TH!M1374="1111")),TH!D1374,""),"")</f>
        <v/>
      </c>
      <c r="B1374" s="36" t="str">
        <f t="shared" si="47"/>
        <v/>
      </c>
      <c r="C1374" s="37"/>
      <c r="D1374" s="37"/>
      <c r="E1374" s="37"/>
      <c r="F1374" s="40"/>
      <c r="G1374" s="40"/>
      <c r="H1374" s="7"/>
      <c r="I1374" s="253"/>
      <c r="J1374" s="253"/>
      <c r="K1374" s="606"/>
      <c r="L1374" s="39"/>
      <c r="M1374" s="39"/>
      <c r="N1374" s="39" t="str">
        <f>IF(AND('331-CT'!$E$7=TH!H1374,OR(L1374="331",M1374="331")),"331",IF(AND(OR(L1374="131",M1374="131"),H1374='131-CT'!$E$7),"131",""))</f>
        <v/>
      </c>
      <c r="O1374" s="39" t="str">
        <f>IF(AND($B1374&gt;='111'!$N$11,$B1374&lt;='111'!$O$11,OR($L1374=$O$7,$M1374=$O$7)),"x","")</f>
        <v/>
      </c>
      <c r="P1374" s="39" t="str">
        <f>IF(AND($L1374=$O$7,$B1374&lt;'111'!$N$11),"x","")</f>
        <v/>
      </c>
      <c r="Q1374" s="39" t="str">
        <f>IF(AND($M1374=$O$7,$B1374&lt;'111'!$N$11),"x","")</f>
        <v/>
      </c>
      <c r="R1374" s="39" t="str">
        <f>IF(ISERROR(FIND('112'!$M$9,G1374,1)),"",IF((AND(FIND('112'!$M$9,G1374,1)&gt;=1,$B1374&gt;='112'!$N$8,$B1374&lt;='112'!$O$8,OR($L1374='112'!$I$6,$M1374='112'!$I$6))),"x",""))</f>
        <v/>
      </c>
      <c r="S1374" s="39" t="str">
        <f>IF(ISERROR(FIND('112'!$M$9,G1374,1)),"",IF((AND(LEFT(G1374,2)=LEFT('112'!$M$9,2),B1374&lt;'112'!$N$8,$L1374='112'!$I$6)),"x",""))</f>
        <v/>
      </c>
      <c r="T1374" s="39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39" t="str">
        <f>IF(OR(TH!L1374=TH!$V$7,M1374=TH!$V$7),"x","")</f>
        <v/>
      </c>
      <c r="W1374" s="39" t="str">
        <f>IF(AND(B1374&gt;='IN-NX'!$P$3,B1374&lt;='IN-NX'!$Q$3,'IN-NX'!$D$7=D1374,OR(LEFT(L1374,2)="15",AND(LEFT(M1374,2)&lt;&gt;"15",LEFT(M1374,2)&lt;&gt;"33"))),"x","")</f>
        <v/>
      </c>
      <c r="X1374" s="39" t="str">
        <f>IF(AND(OR(LEFT(TH!L1374,2)="15",LEFT(TH!M1374,2)="15"),'152-CT'!$J$8=TH!F1374),"x","")</f>
        <v/>
      </c>
      <c r="Y1374" s="39" t="str">
        <f>IF(AND(OR(LEFT(TH!L1374,2)="15",LEFT(TH!M1374,2)="15"),TK!$E$7=TH!F1374),"x","")</f>
        <v/>
      </c>
      <c r="Z1374" s="39" t="str">
        <f>IF(AND(B1374&lt;=NKC!$N$8,B1374&gt;=NKC!$M$8),"x","")</f>
        <v/>
      </c>
      <c r="AA1374" s="894"/>
    </row>
    <row r="1375" spans="1:27" ht="15.75" customHeight="1">
      <c r="A1375" s="199" t="str">
        <f>IF(B1375&lt;&gt;"",IF(AND(B1375&gt;=_TM1,B1375&lt;=_TM2,OR(TH!L1375="1111",TH!M1375="1111")),TH!D1375,""),"")</f>
        <v/>
      </c>
      <c r="B1375" s="36" t="str">
        <f t="shared" si="47"/>
        <v/>
      </c>
      <c r="C1375" s="37"/>
      <c r="D1375" s="37"/>
      <c r="E1375" s="37"/>
      <c r="F1375" s="40"/>
      <c r="G1375" s="40"/>
      <c r="H1375" s="7"/>
      <c r="I1375" s="253"/>
      <c r="J1375" s="253"/>
      <c r="K1375" s="606"/>
      <c r="L1375" s="39"/>
      <c r="M1375" s="39"/>
      <c r="N1375" s="39" t="str">
        <f>IF(AND('331-CT'!$E$7=TH!H1375,OR(L1375="331",M1375="331")),"331",IF(AND(OR(L1375="131",M1375="131"),H1375='131-CT'!$E$7),"131",""))</f>
        <v/>
      </c>
      <c r="O1375" s="39" t="str">
        <f>IF(AND($B1375&gt;='111'!$N$11,$B1375&lt;='111'!$O$11,OR($L1375=$O$7,$M1375=$O$7)),"x","")</f>
        <v/>
      </c>
      <c r="P1375" s="39" t="str">
        <f>IF(AND($L1375=$O$7,$B1375&lt;'111'!$N$11),"x","")</f>
        <v/>
      </c>
      <c r="Q1375" s="39" t="str">
        <f>IF(AND($M1375=$O$7,$B1375&lt;'111'!$N$11),"x","")</f>
        <v/>
      </c>
      <c r="R1375" s="39" t="str">
        <f>IF(ISERROR(FIND('112'!$M$9,G1375,1)),"",IF((AND(FIND('112'!$M$9,G1375,1)&gt;=1,$B1375&gt;='112'!$N$8,$B1375&lt;='112'!$O$8,OR($L1375='112'!$I$6,$M1375='112'!$I$6))),"x",""))</f>
        <v/>
      </c>
      <c r="S1375" s="39" t="str">
        <f>IF(ISERROR(FIND('112'!$M$9,G1375,1)),"",IF((AND(LEFT(G1375,2)=LEFT('112'!$M$9,2),B1375&lt;'112'!$N$8,$L1375='112'!$I$6)),"x",""))</f>
        <v/>
      </c>
      <c r="T1375" s="39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39" t="str">
        <f>IF(OR(TH!L1375=TH!$V$7,M1375=TH!$V$7),"x","")</f>
        <v/>
      </c>
      <c r="W1375" s="39" t="str">
        <f>IF(AND(B1375&gt;='IN-NX'!$P$3,B1375&lt;='IN-NX'!$Q$3,'IN-NX'!$D$7=D1375,OR(LEFT(L1375,2)="15",AND(LEFT(M1375,2)&lt;&gt;"15",LEFT(M1375,2)&lt;&gt;"33"))),"x","")</f>
        <v/>
      </c>
      <c r="X1375" s="39" t="str">
        <f>IF(AND(OR(LEFT(TH!L1375,2)="15",LEFT(TH!M1375,2)="15"),'152-CT'!$J$8=TH!F1375),"x","")</f>
        <v/>
      </c>
      <c r="Y1375" s="39" t="str">
        <f>IF(AND(OR(LEFT(TH!L1375,2)="15",LEFT(TH!M1375,2)="15"),TK!$E$7=TH!F1375),"x","")</f>
        <v/>
      </c>
      <c r="Z1375" s="39" t="str">
        <f>IF(AND(B1375&lt;=NKC!$N$8,B1375&gt;=NKC!$M$8),"x","")</f>
        <v/>
      </c>
      <c r="AA1375" s="894"/>
    </row>
    <row r="1376" spans="1:27" ht="15.75" customHeight="1">
      <c r="A1376" s="199" t="str">
        <f>IF(B1376&lt;&gt;"",IF(AND(B1376&gt;=_TM1,B1376&lt;=_TM2,OR(TH!L1376="1111",TH!M1376="1111")),TH!D1376,""),"")</f>
        <v/>
      </c>
      <c r="B1376" s="36" t="str">
        <f t="shared" si="47"/>
        <v/>
      </c>
      <c r="C1376" s="37"/>
      <c r="D1376" s="37"/>
      <c r="E1376" s="37"/>
      <c r="F1376" s="40"/>
      <c r="G1376" s="40"/>
      <c r="H1376" s="7"/>
      <c r="I1376" s="253"/>
      <c r="J1376" s="253"/>
      <c r="K1376" s="606"/>
      <c r="L1376" s="39"/>
      <c r="M1376" s="39"/>
      <c r="N1376" s="39" t="str">
        <f>IF(AND('331-CT'!$E$7=TH!H1376,OR(L1376="331",M1376="331")),"331",IF(AND(OR(L1376="131",M1376="131"),H1376='131-CT'!$E$7),"131",""))</f>
        <v/>
      </c>
      <c r="O1376" s="39" t="str">
        <f>IF(AND($B1376&gt;='111'!$N$11,$B1376&lt;='111'!$O$11,OR($L1376=$O$7,$M1376=$O$7)),"x","")</f>
        <v/>
      </c>
      <c r="P1376" s="39" t="str">
        <f>IF(AND($L1376=$O$7,$B1376&lt;'111'!$N$11),"x","")</f>
        <v/>
      </c>
      <c r="Q1376" s="39" t="str">
        <f>IF(AND($M1376=$O$7,$B1376&lt;'111'!$N$11),"x","")</f>
        <v/>
      </c>
      <c r="R1376" s="39" t="str">
        <f>IF(ISERROR(FIND('112'!$M$9,G1376,1)),"",IF((AND(FIND('112'!$M$9,G1376,1)&gt;=1,$B1376&gt;='112'!$N$8,$B1376&lt;='112'!$O$8,OR($L1376='112'!$I$6,$M1376='112'!$I$6))),"x",""))</f>
        <v/>
      </c>
      <c r="S1376" s="39" t="str">
        <f>IF(ISERROR(FIND('112'!$M$9,G1376,1)),"",IF((AND(LEFT(G1376,2)=LEFT('112'!$M$9,2),B1376&lt;'112'!$N$8,$L1376='112'!$I$6)),"x",""))</f>
        <v/>
      </c>
      <c r="T1376" s="39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39" t="str">
        <f>IF(OR(TH!L1376=TH!$V$7,M1376=TH!$V$7),"x","")</f>
        <v/>
      </c>
      <c r="W1376" s="39" t="str">
        <f>IF(AND(B1376&gt;='IN-NX'!$P$3,B1376&lt;='IN-NX'!$Q$3,'IN-NX'!$D$7=D1376,OR(LEFT(L1376,2)="15",AND(LEFT(M1376,2)&lt;&gt;"15",LEFT(M1376,2)&lt;&gt;"33"))),"x","")</f>
        <v/>
      </c>
      <c r="X1376" s="39" t="str">
        <f>IF(AND(OR(LEFT(TH!L1376,2)="15",LEFT(TH!M1376,2)="15"),'152-CT'!$J$8=TH!F1376),"x","")</f>
        <v/>
      </c>
      <c r="Y1376" s="39" t="str">
        <f>IF(AND(OR(LEFT(TH!L1376,2)="15",LEFT(TH!M1376,2)="15"),TK!$E$7=TH!F1376),"x","")</f>
        <v/>
      </c>
      <c r="Z1376" s="39" t="str">
        <f>IF(AND(B1376&lt;=NKC!$N$8,B1376&gt;=NKC!$M$8),"x","")</f>
        <v/>
      </c>
      <c r="AA1376" s="894"/>
    </row>
    <row r="1377" spans="1:27" ht="15.75" customHeight="1">
      <c r="A1377" s="199" t="str">
        <f>IF(B1377&lt;&gt;"",IF(AND(B1377&gt;=_TM1,B1377&lt;=_TM2,OR(TH!L1377="1111",TH!M1377="1111")),TH!D1377,""),"")</f>
        <v/>
      </c>
      <c r="B1377" s="36" t="str">
        <f t="shared" si="47"/>
        <v/>
      </c>
      <c r="C1377" s="37"/>
      <c r="D1377" s="37"/>
      <c r="E1377" s="37"/>
      <c r="F1377" s="40"/>
      <c r="G1377" s="40"/>
      <c r="H1377" s="7"/>
      <c r="I1377" s="253"/>
      <c r="J1377" s="253"/>
      <c r="K1377" s="606"/>
      <c r="L1377" s="39"/>
      <c r="M1377" s="39"/>
      <c r="N1377" s="39" t="str">
        <f>IF(AND('331-CT'!$E$7=TH!H1377,OR(L1377="331",M1377="331")),"331",IF(AND(OR(L1377="131",M1377="131"),H1377='131-CT'!$E$7),"131",""))</f>
        <v/>
      </c>
      <c r="O1377" s="39" t="str">
        <f>IF(AND($B1377&gt;='111'!$N$11,$B1377&lt;='111'!$O$11,OR($L1377=$O$7,$M1377=$O$7)),"x","")</f>
        <v/>
      </c>
      <c r="P1377" s="39" t="str">
        <f>IF(AND($L1377=$O$7,$B1377&lt;'111'!$N$11),"x","")</f>
        <v/>
      </c>
      <c r="Q1377" s="39" t="str">
        <f>IF(AND($M1377=$O$7,$B1377&lt;'111'!$N$11),"x","")</f>
        <v/>
      </c>
      <c r="R1377" s="39" t="str">
        <f>IF(ISERROR(FIND('112'!$M$9,G1377,1)),"",IF((AND(FIND('112'!$M$9,G1377,1)&gt;=1,$B1377&gt;='112'!$N$8,$B1377&lt;='112'!$O$8,OR($L1377='112'!$I$6,$M1377='112'!$I$6))),"x",""))</f>
        <v/>
      </c>
      <c r="S1377" s="39" t="str">
        <f>IF(ISERROR(FIND('112'!$M$9,G1377,1)),"",IF((AND(LEFT(G1377,2)=LEFT('112'!$M$9,2),B1377&lt;'112'!$N$8,$L1377='112'!$I$6)),"x",""))</f>
        <v/>
      </c>
      <c r="T1377" s="39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39" t="str">
        <f>IF(OR(TH!L1377=TH!$V$7,M1377=TH!$V$7),"x","")</f>
        <v/>
      </c>
      <c r="W1377" s="39" t="str">
        <f>IF(AND(B1377&gt;='IN-NX'!$P$3,B1377&lt;='IN-NX'!$Q$3,'IN-NX'!$D$7=D1377,OR(LEFT(L1377,2)="15",AND(LEFT(M1377,2)&lt;&gt;"15",LEFT(M1377,2)&lt;&gt;"33"))),"x","")</f>
        <v/>
      </c>
      <c r="X1377" s="39" t="str">
        <f>IF(AND(OR(LEFT(TH!L1377,2)="15",LEFT(TH!M1377,2)="15"),'152-CT'!$J$8=TH!F1377),"x","")</f>
        <v/>
      </c>
      <c r="Y1377" s="39" t="str">
        <f>IF(AND(OR(LEFT(TH!L1377,2)="15",LEFT(TH!M1377,2)="15"),TK!$E$7=TH!F1377),"x","")</f>
        <v/>
      </c>
      <c r="Z1377" s="39" t="str">
        <f>IF(AND(B1377&lt;=NKC!$N$8,B1377&gt;=NKC!$M$8),"x","")</f>
        <v/>
      </c>
      <c r="AA1377" s="894"/>
    </row>
    <row r="1378" spans="1:27" ht="15.75" customHeight="1">
      <c r="A1378" s="199" t="str">
        <f>IF(B1378&lt;&gt;"",IF(AND(B1378&gt;=_TM1,B1378&lt;=_TM2,OR(TH!L1378="1111",TH!M1378="1111")),TH!D1378,""),"")</f>
        <v/>
      </c>
      <c r="B1378" s="36" t="str">
        <f t="shared" si="47"/>
        <v/>
      </c>
      <c r="C1378" s="37"/>
      <c r="D1378" s="37"/>
      <c r="E1378" s="37"/>
      <c r="F1378" s="40"/>
      <c r="G1378" s="40"/>
      <c r="H1378" s="7"/>
      <c r="I1378" s="253"/>
      <c r="J1378" s="253"/>
      <c r="K1378" s="606"/>
      <c r="L1378" s="39"/>
      <c r="M1378" s="39"/>
      <c r="N1378" s="39" t="str">
        <f>IF(AND('331-CT'!$E$7=TH!H1378,OR(L1378="331",M1378="331")),"331",IF(AND(OR(L1378="131",M1378="131"),H1378='131-CT'!$E$7),"131",""))</f>
        <v/>
      </c>
      <c r="O1378" s="39" t="str">
        <f>IF(AND($B1378&gt;='111'!$N$11,$B1378&lt;='111'!$O$11,OR($L1378=$O$7,$M1378=$O$7)),"x","")</f>
        <v/>
      </c>
      <c r="P1378" s="39" t="str">
        <f>IF(AND($L1378=$O$7,$B1378&lt;'111'!$N$11),"x","")</f>
        <v/>
      </c>
      <c r="Q1378" s="39" t="str">
        <f>IF(AND($M1378=$O$7,$B1378&lt;'111'!$N$11),"x","")</f>
        <v/>
      </c>
      <c r="R1378" s="39" t="str">
        <f>IF(ISERROR(FIND('112'!$M$9,G1378,1)),"",IF((AND(FIND('112'!$M$9,G1378,1)&gt;=1,$B1378&gt;='112'!$N$8,$B1378&lt;='112'!$O$8,OR($L1378='112'!$I$6,$M1378='112'!$I$6))),"x",""))</f>
        <v/>
      </c>
      <c r="S1378" s="39" t="str">
        <f>IF(ISERROR(FIND('112'!$M$9,G1378,1)),"",IF((AND(LEFT(G1378,2)=LEFT('112'!$M$9,2),B1378&lt;'112'!$N$8,$L1378='112'!$I$6)),"x",""))</f>
        <v/>
      </c>
      <c r="T1378" s="39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39" t="str">
        <f>IF(OR(TH!L1378=TH!$V$7,M1378=TH!$V$7),"x","")</f>
        <v/>
      </c>
      <c r="W1378" s="39" t="str">
        <f>IF(AND(B1378&gt;='IN-NX'!$P$3,B1378&lt;='IN-NX'!$Q$3,'IN-NX'!$D$7=D1378,OR(LEFT(L1378,2)="15",AND(LEFT(M1378,2)&lt;&gt;"15",LEFT(M1378,2)&lt;&gt;"33"))),"x","")</f>
        <v/>
      </c>
      <c r="X1378" s="39" t="str">
        <f>IF(AND(OR(LEFT(TH!L1378,2)="15",LEFT(TH!M1378,2)="15"),'152-CT'!$J$8=TH!F1378),"x","")</f>
        <v/>
      </c>
      <c r="Y1378" s="39" t="str">
        <f>IF(AND(OR(LEFT(TH!L1378,2)="15",LEFT(TH!M1378,2)="15"),TK!$E$7=TH!F1378),"x","")</f>
        <v/>
      </c>
      <c r="Z1378" s="39" t="str">
        <f>IF(AND(B1378&lt;=NKC!$N$8,B1378&gt;=NKC!$M$8),"x","")</f>
        <v/>
      </c>
      <c r="AA1378" s="894"/>
    </row>
    <row r="1379" spans="1:27" ht="15.75" customHeight="1">
      <c r="A1379" s="199" t="str">
        <f>IF(B1379&lt;&gt;"",IF(AND(B1379&gt;=_TM1,B1379&lt;=_TM2,OR(TH!L1379="1111",TH!M1379="1111")),TH!D1379,""),"")</f>
        <v/>
      </c>
      <c r="B1379" s="36" t="str">
        <f t="shared" si="47"/>
        <v/>
      </c>
      <c r="C1379" s="37"/>
      <c r="D1379" s="37"/>
      <c r="E1379" s="37"/>
      <c r="F1379" s="40"/>
      <c r="G1379" s="40"/>
      <c r="H1379" s="7"/>
      <c r="I1379" s="253"/>
      <c r="J1379" s="253"/>
      <c r="K1379" s="606"/>
      <c r="L1379" s="39"/>
      <c r="M1379" s="39"/>
      <c r="N1379" s="39" t="str">
        <f>IF(AND('331-CT'!$E$7=TH!H1379,OR(L1379="331",M1379="331")),"331",IF(AND(OR(L1379="131",M1379="131"),H1379='131-CT'!$E$7),"131",""))</f>
        <v/>
      </c>
      <c r="O1379" s="39" t="str">
        <f>IF(AND($B1379&gt;='111'!$N$11,$B1379&lt;='111'!$O$11,OR($L1379=$O$7,$M1379=$O$7)),"x","")</f>
        <v/>
      </c>
      <c r="P1379" s="39" t="str">
        <f>IF(AND($L1379=$O$7,$B1379&lt;'111'!$N$11),"x","")</f>
        <v/>
      </c>
      <c r="Q1379" s="39" t="str">
        <f>IF(AND($M1379=$O$7,$B1379&lt;'111'!$N$11),"x","")</f>
        <v/>
      </c>
      <c r="R1379" s="39" t="str">
        <f>IF(ISERROR(FIND('112'!$M$9,G1379,1)),"",IF((AND(FIND('112'!$M$9,G1379,1)&gt;=1,$B1379&gt;='112'!$N$8,$B1379&lt;='112'!$O$8,OR($L1379='112'!$I$6,$M1379='112'!$I$6))),"x",""))</f>
        <v/>
      </c>
      <c r="S1379" s="39" t="str">
        <f>IF(ISERROR(FIND('112'!$M$9,G1379,1)),"",IF((AND(LEFT(G1379,2)=LEFT('112'!$M$9,2),B1379&lt;'112'!$N$8,$L1379='112'!$I$6)),"x",""))</f>
        <v/>
      </c>
      <c r="T1379" s="39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39" t="str">
        <f>IF(OR(TH!L1379=TH!$V$7,M1379=TH!$V$7),"x","")</f>
        <v/>
      </c>
      <c r="W1379" s="39" t="str">
        <f>IF(AND(B1379&gt;='IN-NX'!$P$3,B1379&lt;='IN-NX'!$Q$3,'IN-NX'!$D$7=D1379,OR(LEFT(L1379,2)="15",AND(LEFT(M1379,2)&lt;&gt;"15",LEFT(M1379,2)&lt;&gt;"33"))),"x","")</f>
        <v/>
      </c>
      <c r="X1379" s="39" t="str">
        <f>IF(AND(OR(LEFT(TH!L1379,2)="15",LEFT(TH!M1379,2)="15"),'152-CT'!$J$8=TH!F1379),"x","")</f>
        <v/>
      </c>
      <c r="Y1379" s="39" t="str">
        <f>IF(AND(OR(LEFT(TH!L1379,2)="15",LEFT(TH!M1379,2)="15"),TK!$E$7=TH!F1379),"x","")</f>
        <v/>
      </c>
      <c r="Z1379" s="39" t="str">
        <f>IF(AND(B1379&lt;=NKC!$N$8,B1379&gt;=NKC!$M$8),"x","")</f>
        <v/>
      </c>
      <c r="AA1379" s="894"/>
    </row>
    <row r="1380" spans="1:27" ht="15.75" customHeight="1">
      <c r="A1380" s="199" t="str">
        <f>IF(B1380&lt;&gt;"",IF(AND(B1380&gt;=_TM1,B1380&lt;=_TM2,OR(TH!L1380="1111",TH!M1380="1111")),TH!D1380,""),"")</f>
        <v/>
      </c>
      <c r="B1380" s="36" t="str">
        <f t="shared" si="47"/>
        <v/>
      </c>
      <c r="C1380" s="37"/>
      <c r="D1380" s="37"/>
      <c r="E1380" s="37"/>
      <c r="F1380" s="40"/>
      <c r="G1380" s="40"/>
      <c r="H1380" s="7"/>
      <c r="I1380" s="253"/>
      <c r="J1380" s="253"/>
      <c r="K1380" s="606"/>
      <c r="L1380" s="39"/>
      <c r="M1380" s="39"/>
      <c r="N1380" s="39" t="str">
        <f>IF(AND('331-CT'!$E$7=TH!H1380,OR(L1380="331",M1380="331")),"331",IF(AND(OR(L1380="131",M1380="131"),H1380='131-CT'!$E$7),"131",""))</f>
        <v/>
      </c>
      <c r="O1380" s="39" t="str">
        <f>IF(AND($B1380&gt;='111'!$N$11,$B1380&lt;='111'!$O$11,OR($L1380=$O$7,$M1380=$O$7)),"x","")</f>
        <v/>
      </c>
      <c r="P1380" s="39" t="str">
        <f>IF(AND($L1380=$O$7,$B1380&lt;'111'!$N$11),"x","")</f>
        <v/>
      </c>
      <c r="Q1380" s="39" t="str">
        <f>IF(AND($M1380=$O$7,$B1380&lt;'111'!$N$11),"x","")</f>
        <v/>
      </c>
      <c r="R1380" s="39" t="str">
        <f>IF(ISERROR(FIND('112'!$M$9,G1380,1)),"",IF((AND(FIND('112'!$M$9,G1380,1)&gt;=1,$B1380&gt;='112'!$N$8,$B1380&lt;='112'!$O$8,OR($L1380='112'!$I$6,$M1380='112'!$I$6))),"x",""))</f>
        <v/>
      </c>
      <c r="S1380" s="39" t="str">
        <f>IF(ISERROR(FIND('112'!$M$9,G1380,1)),"",IF((AND(LEFT(G1380,2)=LEFT('112'!$M$9,2),B1380&lt;'112'!$N$8,$L1380='112'!$I$6)),"x",""))</f>
        <v/>
      </c>
      <c r="T1380" s="39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39" t="str">
        <f>IF(OR(TH!L1380=TH!$V$7,M1380=TH!$V$7),"x","")</f>
        <v/>
      </c>
      <c r="W1380" s="39" t="str">
        <f>IF(AND(B1380&gt;='IN-NX'!$P$3,B1380&lt;='IN-NX'!$Q$3,'IN-NX'!$D$7=D1380,OR(LEFT(L1380,2)="15",AND(LEFT(M1380,2)&lt;&gt;"15",LEFT(M1380,2)&lt;&gt;"33"))),"x","")</f>
        <v/>
      </c>
      <c r="X1380" s="39" t="str">
        <f>IF(AND(OR(LEFT(TH!L1380,2)="15",LEFT(TH!M1380,2)="15"),'152-CT'!$J$8=TH!F1380),"x","")</f>
        <v/>
      </c>
      <c r="Y1380" s="39" t="str">
        <f>IF(AND(OR(LEFT(TH!L1380,2)="15",LEFT(TH!M1380,2)="15"),TK!$E$7=TH!F1380),"x","")</f>
        <v/>
      </c>
      <c r="Z1380" s="39" t="str">
        <f>IF(AND(B1380&lt;=NKC!$N$8,B1380&gt;=NKC!$M$8),"x","")</f>
        <v/>
      </c>
      <c r="AA1380" s="894"/>
    </row>
    <row r="1381" spans="1:27" ht="15.75" customHeight="1">
      <c r="A1381" s="199" t="str">
        <f>IF(B1381&lt;&gt;"",IF(AND(B1381&gt;=_TM1,B1381&lt;=_TM2,OR(TH!L1381="1111",TH!M1381="1111")),TH!D1381,""),"")</f>
        <v/>
      </c>
      <c r="B1381" s="36" t="str">
        <f t="shared" si="47"/>
        <v/>
      </c>
      <c r="C1381" s="37"/>
      <c r="D1381" s="37"/>
      <c r="E1381" s="37"/>
      <c r="F1381" s="40"/>
      <c r="G1381" s="40"/>
      <c r="H1381" s="7"/>
      <c r="I1381" s="253"/>
      <c r="J1381" s="253"/>
      <c r="K1381" s="606"/>
      <c r="L1381" s="39"/>
      <c r="M1381" s="39"/>
      <c r="N1381" s="39" t="str">
        <f>IF(AND('331-CT'!$E$7=TH!H1381,OR(L1381="331",M1381="331")),"331",IF(AND(OR(L1381="131",M1381="131"),H1381='131-CT'!$E$7),"131",""))</f>
        <v/>
      </c>
      <c r="O1381" s="39" t="str">
        <f>IF(AND($B1381&gt;='111'!$N$11,$B1381&lt;='111'!$O$11,OR($L1381=$O$7,$M1381=$O$7)),"x","")</f>
        <v/>
      </c>
      <c r="P1381" s="39" t="str">
        <f>IF(AND($L1381=$O$7,$B1381&lt;'111'!$N$11),"x","")</f>
        <v/>
      </c>
      <c r="Q1381" s="39" t="str">
        <f>IF(AND($M1381=$O$7,$B1381&lt;'111'!$N$11),"x","")</f>
        <v/>
      </c>
      <c r="R1381" s="39" t="str">
        <f>IF(ISERROR(FIND('112'!$M$9,G1381,1)),"",IF((AND(FIND('112'!$M$9,G1381,1)&gt;=1,$B1381&gt;='112'!$N$8,$B1381&lt;='112'!$O$8,OR($L1381='112'!$I$6,$M1381='112'!$I$6))),"x",""))</f>
        <v/>
      </c>
      <c r="S1381" s="39" t="str">
        <f>IF(ISERROR(FIND('112'!$M$9,G1381,1)),"",IF((AND(LEFT(G1381,2)=LEFT('112'!$M$9,2),B1381&lt;'112'!$N$8,$L1381='112'!$I$6)),"x",""))</f>
        <v/>
      </c>
      <c r="T1381" s="39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39" t="str">
        <f>IF(OR(TH!L1381=TH!$V$7,M1381=TH!$V$7),"x","")</f>
        <v/>
      </c>
      <c r="W1381" s="39" t="str">
        <f>IF(AND(B1381&gt;='IN-NX'!$P$3,B1381&lt;='IN-NX'!$Q$3,'IN-NX'!$D$7=D1381,OR(LEFT(L1381,2)="15",AND(LEFT(M1381,2)&lt;&gt;"15",LEFT(M1381,2)&lt;&gt;"33"))),"x","")</f>
        <v/>
      </c>
      <c r="X1381" s="39" t="str">
        <f>IF(AND(OR(LEFT(TH!L1381,2)="15",LEFT(TH!M1381,2)="15"),'152-CT'!$J$8=TH!F1381),"x","")</f>
        <v/>
      </c>
      <c r="Y1381" s="39" t="str">
        <f>IF(AND(OR(LEFT(TH!L1381,2)="15",LEFT(TH!M1381,2)="15"),TK!$E$7=TH!F1381),"x","")</f>
        <v/>
      </c>
      <c r="Z1381" s="39" t="str">
        <f>IF(AND(B1381&lt;=NKC!$N$8,B1381&gt;=NKC!$M$8),"x","")</f>
        <v/>
      </c>
      <c r="AA1381" s="894"/>
    </row>
    <row r="1382" spans="1:27" ht="15.75" customHeight="1">
      <c r="A1382" s="199" t="str">
        <f>IF(B1382&lt;&gt;"",IF(AND(B1382&gt;=_TM1,B1382&lt;=_TM2,OR(TH!L1382="1111",TH!M1382="1111")),TH!D1382,""),"")</f>
        <v/>
      </c>
      <c r="B1382" s="36" t="str">
        <f t="shared" si="47"/>
        <v/>
      </c>
      <c r="C1382" s="37"/>
      <c r="D1382" s="37"/>
      <c r="E1382" s="37"/>
      <c r="F1382" s="40"/>
      <c r="G1382" s="40"/>
      <c r="H1382" s="7"/>
      <c r="I1382" s="253"/>
      <c r="J1382" s="253"/>
      <c r="K1382" s="606"/>
      <c r="L1382" s="39"/>
      <c r="M1382" s="39"/>
      <c r="N1382" s="39" t="str">
        <f>IF(AND('331-CT'!$E$7=TH!H1382,OR(L1382="331",M1382="331")),"331",IF(AND(OR(L1382="131",M1382="131"),H1382='131-CT'!$E$7),"131",""))</f>
        <v/>
      </c>
      <c r="O1382" s="39" t="str">
        <f>IF(AND($B1382&gt;='111'!$N$11,$B1382&lt;='111'!$O$11,OR($L1382=$O$7,$M1382=$O$7)),"x","")</f>
        <v/>
      </c>
      <c r="P1382" s="39" t="str">
        <f>IF(AND($L1382=$O$7,$B1382&lt;'111'!$N$11),"x","")</f>
        <v/>
      </c>
      <c r="Q1382" s="39" t="str">
        <f>IF(AND($M1382=$O$7,$B1382&lt;'111'!$N$11),"x","")</f>
        <v/>
      </c>
      <c r="R1382" s="39" t="str">
        <f>IF(ISERROR(FIND('112'!$M$9,G1382,1)),"",IF((AND(FIND('112'!$M$9,G1382,1)&gt;=1,$B1382&gt;='112'!$N$8,$B1382&lt;='112'!$O$8,OR($L1382='112'!$I$6,$M1382='112'!$I$6))),"x",""))</f>
        <v/>
      </c>
      <c r="S1382" s="39" t="str">
        <f>IF(ISERROR(FIND('112'!$M$9,G1382,1)),"",IF((AND(LEFT(G1382,2)=LEFT('112'!$M$9,2),B1382&lt;'112'!$N$8,$L1382='112'!$I$6)),"x",""))</f>
        <v/>
      </c>
      <c r="T1382" s="39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39" t="str">
        <f>IF(OR(TH!L1382=TH!$V$7,M1382=TH!$V$7),"x","")</f>
        <v/>
      </c>
      <c r="W1382" s="39" t="str">
        <f>IF(AND(B1382&gt;='IN-NX'!$P$3,B1382&lt;='IN-NX'!$Q$3,'IN-NX'!$D$7=D1382,OR(LEFT(L1382,2)="15",AND(LEFT(M1382,2)&lt;&gt;"15",LEFT(M1382,2)&lt;&gt;"33"))),"x","")</f>
        <v/>
      </c>
      <c r="X1382" s="39" t="str">
        <f>IF(AND(OR(LEFT(TH!L1382,2)="15",LEFT(TH!M1382,2)="15"),'152-CT'!$J$8=TH!F1382),"x","")</f>
        <v/>
      </c>
      <c r="Y1382" s="39" t="str">
        <f>IF(AND(OR(LEFT(TH!L1382,2)="15",LEFT(TH!M1382,2)="15"),TK!$E$7=TH!F1382),"x","")</f>
        <v/>
      </c>
      <c r="Z1382" s="39" t="str">
        <f>IF(AND(B1382&lt;=NKC!$N$8,B1382&gt;=NKC!$M$8),"x","")</f>
        <v/>
      </c>
      <c r="AA1382" s="894"/>
    </row>
    <row r="1383" spans="1:27" ht="15.75" customHeight="1">
      <c r="A1383" s="199" t="str">
        <f>IF(B1383&lt;&gt;"",IF(AND(B1383&gt;=_TM1,B1383&lt;=_TM2,OR(TH!L1383="1111",TH!M1383="1111")),TH!D1383,""),"")</f>
        <v/>
      </c>
      <c r="B1383" s="36" t="str">
        <f t="shared" si="47"/>
        <v/>
      </c>
      <c r="C1383" s="37"/>
      <c r="D1383" s="37"/>
      <c r="E1383" s="37"/>
      <c r="F1383" s="40"/>
      <c r="G1383" s="40"/>
      <c r="H1383" s="7"/>
      <c r="I1383" s="253"/>
      <c r="J1383" s="253"/>
      <c r="K1383" s="606"/>
      <c r="L1383" s="39"/>
      <c r="M1383" s="39"/>
      <c r="N1383" s="39" t="str">
        <f>IF(AND('331-CT'!$E$7=TH!H1383,OR(L1383="331",M1383="331")),"331",IF(AND(OR(L1383="131",M1383="131"),H1383='131-CT'!$E$7),"131",""))</f>
        <v/>
      </c>
      <c r="O1383" s="39" t="str">
        <f>IF(AND($B1383&gt;='111'!$N$11,$B1383&lt;='111'!$O$11,OR($L1383=$O$7,$M1383=$O$7)),"x","")</f>
        <v/>
      </c>
      <c r="P1383" s="39" t="str">
        <f>IF(AND($L1383=$O$7,$B1383&lt;'111'!$N$11),"x","")</f>
        <v/>
      </c>
      <c r="Q1383" s="39" t="str">
        <f>IF(AND($M1383=$O$7,$B1383&lt;'111'!$N$11),"x","")</f>
        <v/>
      </c>
      <c r="R1383" s="39" t="str">
        <f>IF(ISERROR(FIND('112'!$M$9,G1383,1)),"",IF((AND(FIND('112'!$M$9,G1383,1)&gt;=1,$B1383&gt;='112'!$N$8,$B1383&lt;='112'!$O$8,OR($L1383='112'!$I$6,$M1383='112'!$I$6))),"x",""))</f>
        <v/>
      </c>
      <c r="S1383" s="39" t="str">
        <f>IF(ISERROR(FIND('112'!$M$9,G1383,1)),"",IF((AND(LEFT(G1383,2)=LEFT('112'!$M$9,2),B1383&lt;'112'!$N$8,$L1383='112'!$I$6)),"x",""))</f>
        <v/>
      </c>
      <c r="T1383" s="39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39" t="str">
        <f>IF(OR(TH!L1383=TH!$V$7,M1383=TH!$V$7),"x","")</f>
        <v/>
      </c>
      <c r="W1383" s="39" t="str">
        <f>IF(AND(B1383&gt;='IN-NX'!$P$3,B1383&lt;='IN-NX'!$Q$3,'IN-NX'!$D$7=D1383,OR(LEFT(L1383,2)="15",AND(LEFT(M1383,2)&lt;&gt;"15",LEFT(M1383,2)&lt;&gt;"33"))),"x","")</f>
        <v/>
      </c>
      <c r="X1383" s="39" t="str">
        <f>IF(AND(OR(LEFT(TH!L1383,2)="15",LEFT(TH!M1383,2)="15"),'152-CT'!$J$8=TH!F1383),"x","")</f>
        <v/>
      </c>
      <c r="Y1383" s="39" t="str">
        <f>IF(AND(OR(LEFT(TH!L1383,2)="15",LEFT(TH!M1383,2)="15"),TK!$E$7=TH!F1383),"x","")</f>
        <v/>
      </c>
      <c r="Z1383" s="39" t="str">
        <f>IF(AND(B1383&lt;=NKC!$N$8,B1383&gt;=NKC!$M$8),"x","")</f>
        <v/>
      </c>
      <c r="AA1383" s="894"/>
    </row>
    <row r="1384" spans="1:27" ht="15.75" customHeight="1">
      <c r="A1384" s="199" t="str">
        <f>IF(B1384&lt;&gt;"",IF(AND(B1384&gt;=_TM1,B1384&lt;=_TM2,OR(TH!L1384="1111",TH!M1384="1111")),TH!D1384,""),"")</f>
        <v/>
      </c>
      <c r="B1384" s="36" t="str">
        <f t="shared" si="47"/>
        <v/>
      </c>
      <c r="C1384" s="37"/>
      <c r="D1384" s="37"/>
      <c r="E1384" s="37"/>
      <c r="F1384" s="40"/>
      <c r="G1384" s="40"/>
      <c r="H1384" s="7"/>
      <c r="I1384" s="253"/>
      <c r="J1384" s="253"/>
      <c r="K1384" s="606"/>
      <c r="L1384" s="39"/>
      <c r="M1384" s="39"/>
      <c r="N1384" s="39" t="str">
        <f>IF(AND('331-CT'!$E$7=TH!H1384,OR(L1384="331",M1384="331")),"331",IF(AND(OR(L1384="131",M1384="131"),H1384='131-CT'!$E$7),"131",""))</f>
        <v/>
      </c>
      <c r="O1384" s="39" t="str">
        <f>IF(AND($B1384&gt;='111'!$N$11,$B1384&lt;='111'!$O$11,OR($L1384=$O$7,$M1384=$O$7)),"x","")</f>
        <v/>
      </c>
      <c r="P1384" s="39" t="str">
        <f>IF(AND($L1384=$O$7,$B1384&lt;'111'!$N$11),"x","")</f>
        <v/>
      </c>
      <c r="Q1384" s="39" t="str">
        <f>IF(AND($M1384=$O$7,$B1384&lt;'111'!$N$11),"x","")</f>
        <v/>
      </c>
      <c r="R1384" s="39" t="str">
        <f>IF(ISERROR(FIND('112'!$M$9,G1384,1)),"",IF((AND(FIND('112'!$M$9,G1384,1)&gt;=1,$B1384&gt;='112'!$N$8,$B1384&lt;='112'!$O$8,OR($L1384='112'!$I$6,$M1384='112'!$I$6))),"x",""))</f>
        <v/>
      </c>
      <c r="S1384" s="39" t="str">
        <f>IF(ISERROR(FIND('112'!$M$9,G1384,1)),"",IF((AND(LEFT(G1384,2)=LEFT('112'!$M$9,2),B1384&lt;'112'!$N$8,$L1384='112'!$I$6)),"x",""))</f>
        <v/>
      </c>
      <c r="T1384" s="39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39" t="str">
        <f>IF(OR(TH!L1384=TH!$V$7,M1384=TH!$V$7),"x","")</f>
        <v/>
      </c>
      <c r="W1384" s="39" t="str">
        <f>IF(AND(B1384&gt;='IN-NX'!$P$3,B1384&lt;='IN-NX'!$Q$3,'IN-NX'!$D$7=D1384,OR(LEFT(L1384,2)="15",AND(LEFT(M1384,2)&lt;&gt;"15",LEFT(M1384,2)&lt;&gt;"33"))),"x","")</f>
        <v/>
      </c>
      <c r="X1384" s="39" t="str">
        <f>IF(AND(OR(LEFT(TH!L1384,2)="15",LEFT(TH!M1384,2)="15"),'152-CT'!$J$8=TH!F1384),"x","")</f>
        <v/>
      </c>
      <c r="Y1384" s="39" t="str">
        <f>IF(AND(OR(LEFT(TH!L1384,2)="15",LEFT(TH!M1384,2)="15"),TK!$E$7=TH!F1384),"x","")</f>
        <v/>
      </c>
      <c r="Z1384" s="39" t="str">
        <f>IF(AND(B1384&lt;=NKC!$N$8,B1384&gt;=NKC!$M$8),"x","")</f>
        <v/>
      </c>
      <c r="AA1384" s="894"/>
    </row>
    <row r="1385" spans="1:27" ht="15.75" customHeight="1">
      <c r="A1385" s="199" t="str">
        <f>IF(B1385&lt;&gt;"",IF(AND(B1385&gt;=_TM1,B1385&lt;=_TM2,OR(TH!L1385="1111",TH!M1385="1111")),TH!D1385,""),"")</f>
        <v/>
      </c>
      <c r="B1385" s="36" t="str">
        <f t="shared" si="47"/>
        <v/>
      </c>
      <c r="C1385" s="37"/>
      <c r="D1385" s="37"/>
      <c r="E1385" s="37"/>
      <c r="F1385" s="40"/>
      <c r="G1385" s="40"/>
      <c r="H1385" s="7"/>
      <c r="I1385" s="253"/>
      <c r="J1385" s="253"/>
      <c r="K1385" s="606"/>
      <c r="L1385" s="39"/>
      <c r="M1385" s="39"/>
      <c r="N1385" s="39" t="str">
        <f>IF(AND('331-CT'!$E$7=TH!H1385,OR(L1385="331",M1385="331")),"331",IF(AND(OR(L1385="131",M1385="131"),H1385='131-CT'!$E$7),"131",""))</f>
        <v/>
      </c>
      <c r="O1385" s="39" t="str">
        <f>IF(AND($B1385&gt;='111'!$N$11,$B1385&lt;='111'!$O$11,OR($L1385=$O$7,$M1385=$O$7)),"x","")</f>
        <v/>
      </c>
      <c r="P1385" s="39" t="str">
        <f>IF(AND($L1385=$O$7,$B1385&lt;'111'!$N$11),"x","")</f>
        <v/>
      </c>
      <c r="Q1385" s="39" t="str">
        <f>IF(AND($M1385=$O$7,$B1385&lt;'111'!$N$11),"x","")</f>
        <v/>
      </c>
      <c r="R1385" s="39" t="str">
        <f>IF(ISERROR(FIND('112'!$M$9,G1385,1)),"",IF((AND(FIND('112'!$M$9,G1385,1)&gt;=1,$B1385&gt;='112'!$N$8,$B1385&lt;='112'!$O$8,OR($L1385='112'!$I$6,$M1385='112'!$I$6))),"x",""))</f>
        <v/>
      </c>
      <c r="S1385" s="39" t="str">
        <f>IF(ISERROR(FIND('112'!$M$9,G1385,1)),"",IF((AND(LEFT(G1385,2)=LEFT('112'!$M$9,2),B1385&lt;'112'!$N$8,$L1385='112'!$I$6)),"x",""))</f>
        <v/>
      </c>
      <c r="T1385" s="39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39" t="str">
        <f>IF(OR(TH!L1385=TH!$V$7,M1385=TH!$V$7),"x","")</f>
        <v/>
      </c>
      <c r="W1385" s="39" t="str">
        <f>IF(AND(B1385&gt;='IN-NX'!$P$3,B1385&lt;='IN-NX'!$Q$3,'IN-NX'!$D$7=D1385,OR(LEFT(L1385,2)="15",AND(LEFT(M1385,2)&lt;&gt;"15",LEFT(M1385,2)&lt;&gt;"33"))),"x","")</f>
        <v/>
      </c>
      <c r="X1385" s="39" t="str">
        <f>IF(AND(OR(LEFT(TH!L1385,2)="15",LEFT(TH!M1385,2)="15"),'152-CT'!$J$8=TH!F1385),"x","")</f>
        <v/>
      </c>
      <c r="Y1385" s="39" t="str">
        <f>IF(AND(OR(LEFT(TH!L1385,2)="15",LEFT(TH!M1385,2)="15"),TK!$E$7=TH!F1385),"x","")</f>
        <v/>
      </c>
      <c r="Z1385" s="39" t="str">
        <f>IF(AND(B1385&lt;=NKC!$N$8,B1385&gt;=NKC!$M$8),"x","")</f>
        <v/>
      </c>
      <c r="AA1385" s="894"/>
    </row>
    <row r="1386" spans="1:27" ht="15.75" customHeight="1">
      <c r="A1386" s="199" t="str">
        <f>IF(B1386&lt;&gt;"",IF(AND(B1386&gt;=_TM1,B1386&lt;=_TM2,OR(TH!L1386="1111",TH!M1386="1111")),TH!D1386,""),"")</f>
        <v/>
      </c>
      <c r="B1386" s="36" t="str">
        <f t="shared" si="47"/>
        <v/>
      </c>
      <c r="C1386" s="37"/>
      <c r="D1386" s="37"/>
      <c r="E1386" s="37"/>
      <c r="F1386" s="40"/>
      <c r="G1386" s="40"/>
      <c r="H1386" s="7"/>
      <c r="I1386" s="253"/>
      <c r="J1386" s="253"/>
      <c r="K1386" s="606"/>
      <c r="L1386" s="39"/>
      <c r="M1386" s="39"/>
      <c r="N1386" s="39" t="str">
        <f>IF(AND('331-CT'!$E$7=TH!H1386,OR(L1386="331",M1386="331")),"331",IF(AND(OR(L1386="131",M1386="131"),H1386='131-CT'!$E$7),"131",""))</f>
        <v/>
      </c>
      <c r="O1386" s="39" t="str">
        <f>IF(AND($B1386&gt;='111'!$N$11,$B1386&lt;='111'!$O$11,OR($L1386=$O$7,$M1386=$O$7)),"x","")</f>
        <v/>
      </c>
      <c r="P1386" s="39" t="str">
        <f>IF(AND($L1386=$O$7,$B1386&lt;'111'!$N$11),"x","")</f>
        <v/>
      </c>
      <c r="Q1386" s="39" t="str">
        <f>IF(AND($M1386=$O$7,$B1386&lt;'111'!$N$11),"x","")</f>
        <v/>
      </c>
      <c r="R1386" s="39" t="str">
        <f>IF(ISERROR(FIND('112'!$M$9,G1386,1)),"",IF((AND(FIND('112'!$M$9,G1386,1)&gt;=1,$B1386&gt;='112'!$N$8,$B1386&lt;='112'!$O$8,OR($L1386='112'!$I$6,$M1386='112'!$I$6))),"x",""))</f>
        <v/>
      </c>
      <c r="S1386" s="39" t="str">
        <f>IF(ISERROR(FIND('112'!$M$9,G1386,1)),"",IF((AND(LEFT(G1386,2)=LEFT('112'!$M$9,2),B1386&lt;'112'!$N$8,$L1386='112'!$I$6)),"x",""))</f>
        <v/>
      </c>
      <c r="T1386" s="39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39" t="str">
        <f>IF(OR(TH!L1386=TH!$V$7,M1386=TH!$V$7),"x","")</f>
        <v/>
      </c>
      <c r="W1386" s="39" t="str">
        <f>IF(AND(B1386&gt;='IN-NX'!$P$3,B1386&lt;='IN-NX'!$Q$3,'IN-NX'!$D$7=D1386,OR(LEFT(L1386,2)="15",AND(LEFT(M1386,2)&lt;&gt;"15",LEFT(M1386,2)&lt;&gt;"33"))),"x","")</f>
        <v/>
      </c>
      <c r="X1386" s="39" t="str">
        <f>IF(AND(OR(LEFT(TH!L1386,2)="15",LEFT(TH!M1386,2)="15"),'152-CT'!$J$8=TH!F1386),"x","")</f>
        <v/>
      </c>
      <c r="Y1386" s="39" t="str">
        <f>IF(AND(OR(LEFT(TH!L1386,2)="15",LEFT(TH!M1386,2)="15"),TK!$E$7=TH!F1386),"x","")</f>
        <v/>
      </c>
      <c r="Z1386" s="39" t="str">
        <f>IF(AND(B1386&lt;=NKC!$N$8,B1386&gt;=NKC!$M$8),"x","")</f>
        <v/>
      </c>
      <c r="AA1386" s="894"/>
    </row>
    <row r="1387" spans="1:27" ht="15.75" customHeight="1">
      <c r="A1387" s="199" t="str">
        <f>IF(B1387&lt;&gt;"",IF(AND(B1387&gt;=_TM1,B1387&lt;=_TM2,OR(TH!L1387="1111",TH!M1387="1111")),TH!D1387,""),"")</f>
        <v/>
      </c>
      <c r="B1387" s="36" t="str">
        <f t="shared" si="47"/>
        <v/>
      </c>
      <c r="C1387" s="190"/>
      <c r="D1387" s="190"/>
      <c r="E1387" s="190"/>
      <c r="F1387" s="191"/>
      <c r="G1387" s="491"/>
      <c r="H1387" s="7"/>
      <c r="I1387" s="253"/>
      <c r="J1387" s="253"/>
      <c r="K1387" s="606"/>
      <c r="L1387" s="193"/>
      <c r="M1387" s="193"/>
      <c r="N1387" s="39" t="str">
        <f>IF(AND('331-CT'!$E$7=TH!H1387,OR(L1387="331",M1387="331")),"331",IF(AND(OR(L1387="131",M1387="131"),H1387='131-CT'!$E$7),"131",""))</f>
        <v/>
      </c>
      <c r="O1387" s="39" t="str">
        <f>IF(AND($B1387&gt;='111'!$N$11,$B1387&lt;='111'!$O$11,OR($L1387=$O$7,$M1387=$O$7)),"x","")</f>
        <v/>
      </c>
      <c r="P1387" s="39" t="str">
        <f>IF(AND($L1387=$O$7,$B1387&lt;'111'!$N$11),"x","")</f>
        <v/>
      </c>
      <c r="Q1387" s="39" t="str">
        <f>IF(AND($M1387=$O$7,$B1387&lt;'111'!$N$11),"x","")</f>
        <v/>
      </c>
      <c r="R1387" s="39" t="str">
        <f>IF(ISERROR(FIND('112'!$M$9,G1387,1)),"",IF((AND(FIND('112'!$M$9,G1387,1)&gt;=1,$B1387&gt;='112'!$N$8,$B1387&lt;='112'!$O$8,OR($L1387='112'!$I$6,$M1387='112'!$I$6))),"x",""))</f>
        <v/>
      </c>
      <c r="S1387" s="39" t="str">
        <f>IF(ISERROR(FIND('112'!$M$9,G1387,1)),"",IF((AND(LEFT(G1387,2)=LEFT('112'!$M$9,2),B1387&lt;'112'!$N$8,$L1387='112'!$I$6)),"x",""))</f>
        <v/>
      </c>
      <c r="T1387" s="39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39" t="str">
        <f>IF(OR(TH!L1387=TH!$V$7,M1387=TH!$V$7),"x","")</f>
        <v/>
      </c>
      <c r="W1387" s="39" t="str">
        <f>IF(AND(B1387&gt;='IN-NX'!$P$3,B1387&lt;='IN-NX'!$Q$3,'IN-NX'!$D$7=D1387,OR(LEFT(L1387,2)="15",AND(LEFT(M1387,2)&lt;&gt;"15",LEFT(M1387,2)&lt;&gt;"33"))),"x","")</f>
        <v/>
      </c>
      <c r="X1387" s="39" t="str">
        <f>IF(AND(OR(LEFT(TH!L1387,2)="15",LEFT(TH!M1387,2)="15"),'152-CT'!$J$8=TH!F1387),"x","")</f>
        <v/>
      </c>
      <c r="Y1387" s="39" t="str">
        <f>IF(AND(OR(LEFT(TH!L1387,2)="15",LEFT(TH!M1387,2)="15"),TK!$E$7=TH!F1387),"x","")</f>
        <v/>
      </c>
      <c r="Z1387" s="39" t="str">
        <f>IF(AND(B1387&lt;=NKC!$N$8,B1387&gt;=NKC!$M$8),"x","")</f>
        <v/>
      </c>
      <c r="AA1387" s="894"/>
    </row>
    <row r="1388" spans="1:27" ht="15.75" customHeight="1">
      <c r="A1388" s="199" t="str">
        <f>IF(B1388&lt;&gt;"",IF(AND(B1388&gt;=_TM1,B1388&lt;=_TM2,OR(TH!L1388="1111",TH!M1388="1111")),TH!D1388,""),"")</f>
        <v/>
      </c>
      <c r="B1388" s="36" t="str">
        <f t="shared" si="47"/>
        <v/>
      </c>
      <c r="C1388" s="190"/>
      <c r="D1388" s="190"/>
      <c r="E1388" s="190"/>
      <c r="F1388" s="191"/>
      <c r="G1388" s="491"/>
      <c r="H1388" s="7"/>
      <c r="I1388" s="253"/>
      <c r="J1388" s="253"/>
      <c r="K1388" s="606"/>
      <c r="L1388" s="193"/>
      <c r="M1388" s="193"/>
      <c r="N1388" s="39" t="str">
        <f>IF(AND('331-CT'!$E$7=TH!H1388,OR(L1388="331",M1388="331")),"331",IF(AND(OR(L1388="131",M1388="131"),H1388='131-CT'!$E$7),"131",""))</f>
        <v/>
      </c>
      <c r="O1388" s="39" t="str">
        <f>IF(AND($B1388&gt;='111'!$N$11,$B1388&lt;='111'!$O$11,OR($L1388=$O$7,$M1388=$O$7)),"x","")</f>
        <v/>
      </c>
      <c r="P1388" s="39" t="str">
        <f>IF(AND($L1388=$O$7,$B1388&lt;'111'!$N$11),"x","")</f>
        <v/>
      </c>
      <c r="Q1388" s="39" t="str">
        <f>IF(AND($M1388=$O$7,$B1388&lt;'111'!$N$11),"x","")</f>
        <v/>
      </c>
      <c r="R1388" s="39" t="str">
        <f>IF(ISERROR(FIND('112'!$M$9,G1388,1)),"",IF((AND(FIND('112'!$M$9,G1388,1)&gt;=1,$B1388&gt;='112'!$N$8,$B1388&lt;='112'!$O$8,OR($L1388='112'!$I$6,$M1388='112'!$I$6))),"x",""))</f>
        <v/>
      </c>
      <c r="S1388" s="39" t="str">
        <f>IF(ISERROR(FIND('112'!$M$9,G1388,1)),"",IF((AND(LEFT(G1388,2)=LEFT('112'!$M$9,2),B1388&lt;'112'!$N$8,$L1388='112'!$I$6)),"x",""))</f>
        <v/>
      </c>
      <c r="T1388" s="39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39" t="str">
        <f>IF(OR(TH!L1388=TH!$V$7,M1388=TH!$V$7),"x","")</f>
        <v/>
      </c>
      <c r="W1388" s="39" t="str">
        <f>IF(AND(B1388&gt;='IN-NX'!$P$3,B1388&lt;='IN-NX'!$Q$3,'IN-NX'!$D$7=D1388,OR(LEFT(L1388,2)="15",AND(LEFT(M1388,2)&lt;&gt;"15",LEFT(M1388,2)&lt;&gt;"33"))),"x","")</f>
        <v/>
      </c>
      <c r="X1388" s="39" t="str">
        <f>IF(AND(OR(LEFT(TH!L1388,2)="15",LEFT(TH!M1388,2)="15"),'152-CT'!$J$8=TH!F1388),"x","")</f>
        <v/>
      </c>
      <c r="Y1388" s="39" t="str">
        <f>IF(AND(OR(LEFT(TH!L1388,2)="15",LEFT(TH!M1388,2)="15"),TK!$E$7=TH!F1388),"x","")</f>
        <v/>
      </c>
      <c r="Z1388" s="39" t="str">
        <f>IF(AND(B1388&lt;=NKC!$N$8,B1388&gt;=NKC!$M$8),"x","")</f>
        <v/>
      </c>
      <c r="AA1388" s="894"/>
    </row>
    <row r="1389" spans="1:27" ht="15.75" customHeight="1">
      <c r="A1389" s="199" t="str">
        <f>IF(B1389&lt;&gt;"",IF(AND(B1389&gt;=_TM1,B1389&lt;=_TM2,OR(TH!L1389="1111",TH!M1389="1111")),TH!D1389,""),"")</f>
        <v/>
      </c>
      <c r="B1389" s="36" t="str">
        <f t="shared" si="47"/>
        <v/>
      </c>
      <c r="C1389" s="190"/>
      <c r="D1389" s="190"/>
      <c r="E1389" s="190"/>
      <c r="F1389" s="191"/>
      <c r="G1389" s="491"/>
      <c r="H1389" s="7"/>
      <c r="I1389" s="253"/>
      <c r="J1389" s="253"/>
      <c r="K1389" s="606"/>
      <c r="L1389" s="193"/>
      <c r="M1389" s="193"/>
      <c r="N1389" s="39" t="str">
        <f>IF(AND('331-CT'!$E$7=TH!H1389,OR(L1389="331",M1389="331")),"331",IF(AND(OR(L1389="131",M1389="131"),H1389='131-CT'!$E$7),"131",""))</f>
        <v/>
      </c>
      <c r="O1389" s="39" t="str">
        <f>IF(AND($B1389&gt;='111'!$N$11,$B1389&lt;='111'!$O$11,OR($L1389=$O$7,$M1389=$O$7)),"x","")</f>
        <v/>
      </c>
      <c r="P1389" s="39" t="str">
        <f>IF(AND($L1389=$O$7,$B1389&lt;'111'!$N$11),"x","")</f>
        <v/>
      </c>
      <c r="Q1389" s="39" t="str">
        <f>IF(AND($M1389=$O$7,$B1389&lt;'111'!$N$11),"x","")</f>
        <v/>
      </c>
      <c r="R1389" s="39" t="str">
        <f>IF(ISERROR(FIND('112'!$M$9,G1389,1)),"",IF((AND(FIND('112'!$M$9,G1389,1)&gt;=1,$B1389&gt;='112'!$N$8,$B1389&lt;='112'!$O$8,OR($L1389='112'!$I$6,$M1389='112'!$I$6))),"x",""))</f>
        <v/>
      </c>
      <c r="S1389" s="39" t="str">
        <f>IF(ISERROR(FIND('112'!$M$9,G1389,1)),"",IF((AND(LEFT(G1389,2)=LEFT('112'!$M$9,2),B1389&lt;'112'!$N$8,$L1389='112'!$I$6)),"x",""))</f>
        <v/>
      </c>
      <c r="T1389" s="39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39" t="str">
        <f>IF(OR(TH!L1389=TH!$V$7,M1389=TH!$V$7),"x","")</f>
        <v/>
      </c>
      <c r="W1389" s="39" t="str">
        <f>IF(AND(B1389&gt;='IN-NX'!$P$3,B1389&lt;='IN-NX'!$Q$3,'IN-NX'!$D$7=D1389,OR(LEFT(L1389,2)="15",AND(LEFT(M1389,2)&lt;&gt;"15",LEFT(M1389,2)&lt;&gt;"33"))),"x","")</f>
        <v/>
      </c>
      <c r="X1389" s="39" t="str">
        <f>IF(AND(OR(LEFT(TH!L1389,2)="15",LEFT(TH!M1389,2)="15"),'152-CT'!$J$8=TH!F1389),"x","")</f>
        <v/>
      </c>
      <c r="Y1389" s="39" t="str">
        <f>IF(AND(OR(LEFT(TH!L1389,2)="15",LEFT(TH!M1389,2)="15"),TK!$E$7=TH!F1389),"x","")</f>
        <v/>
      </c>
      <c r="Z1389" s="39" t="str">
        <f>IF(AND(B1389&lt;=NKC!$N$8,B1389&gt;=NKC!$M$8),"x","")</f>
        <v/>
      </c>
      <c r="AA1389" s="894"/>
    </row>
    <row r="1390" spans="1:27" ht="15.75" customHeight="1">
      <c r="A1390" s="199" t="str">
        <f>IF(B1390&lt;&gt;"",IF(AND(B1390&gt;=_TM1,B1390&lt;=_TM2,OR(TH!L1390="1111",TH!M1390="1111")),TH!D1390,""),"")</f>
        <v/>
      </c>
      <c r="B1390" s="36" t="str">
        <f t="shared" si="47"/>
        <v/>
      </c>
      <c r="C1390" s="190"/>
      <c r="D1390" s="190"/>
      <c r="E1390" s="190"/>
      <c r="F1390" s="191"/>
      <c r="G1390" s="491"/>
      <c r="H1390" s="7"/>
      <c r="I1390" s="253"/>
      <c r="J1390" s="253"/>
      <c r="K1390" s="606"/>
      <c r="L1390" s="193"/>
      <c r="M1390" s="193"/>
      <c r="N1390" s="39" t="str">
        <f>IF(AND('331-CT'!$E$7=TH!H1390,OR(L1390="331",M1390="331")),"331",IF(AND(OR(L1390="131",M1390="131"),H1390='131-CT'!$E$7),"131",""))</f>
        <v/>
      </c>
      <c r="O1390" s="39" t="str">
        <f>IF(AND($B1390&gt;='111'!$N$11,$B1390&lt;='111'!$O$11,OR($L1390=$O$7,$M1390=$O$7)),"x","")</f>
        <v/>
      </c>
      <c r="P1390" s="39" t="str">
        <f>IF(AND($L1390=$O$7,$B1390&lt;'111'!$N$11),"x","")</f>
        <v/>
      </c>
      <c r="Q1390" s="39" t="str">
        <f>IF(AND($M1390=$O$7,$B1390&lt;'111'!$N$11),"x","")</f>
        <v/>
      </c>
      <c r="R1390" s="39" t="str">
        <f>IF(ISERROR(FIND('112'!$M$9,G1390,1)),"",IF((AND(FIND('112'!$M$9,G1390,1)&gt;=1,$B1390&gt;='112'!$N$8,$B1390&lt;='112'!$O$8,OR($L1390='112'!$I$6,$M1390='112'!$I$6))),"x",""))</f>
        <v/>
      </c>
      <c r="S1390" s="39" t="str">
        <f>IF(ISERROR(FIND('112'!$M$9,G1390,1)),"",IF((AND(LEFT(G1390,2)=LEFT('112'!$M$9,2),B1390&lt;'112'!$N$8,$L1390='112'!$I$6)),"x",""))</f>
        <v/>
      </c>
      <c r="T1390" s="39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39" t="str">
        <f>IF(OR(TH!L1390=TH!$V$7,M1390=TH!$V$7),"x","")</f>
        <v/>
      </c>
      <c r="W1390" s="39" t="str">
        <f>IF(AND(B1390&gt;='IN-NX'!$P$3,B1390&lt;='IN-NX'!$Q$3,'IN-NX'!$D$7=D1390,OR(LEFT(L1390,2)="15",AND(LEFT(M1390,2)&lt;&gt;"15",LEFT(M1390,2)&lt;&gt;"33"))),"x","")</f>
        <v/>
      </c>
      <c r="X1390" s="39" t="str">
        <f>IF(AND(OR(LEFT(TH!L1390,2)="15",LEFT(TH!M1390,2)="15"),'152-CT'!$J$8=TH!F1390),"x","")</f>
        <v/>
      </c>
      <c r="Y1390" s="39" t="str">
        <f>IF(AND(OR(LEFT(TH!L1390,2)="15",LEFT(TH!M1390,2)="15"),TK!$E$7=TH!F1390),"x","")</f>
        <v/>
      </c>
      <c r="Z1390" s="39" t="str">
        <f>IF(AND(B1390&lt;=NKC!$N$8,B1390&gt;=NKC!$M$8),"x","")</f>
        <v/>
      </c>
      <c r="AA1390" s="894"/>
    </row>
    <row r="1391" spans="1:27" ht="15.75" customHeight="1">
      <c r="A1391" s="199" t="str">
        <f>IF(B1391&lt;&gt;"",IF(AND(B1391&gt;=_TM1,B1391&lt;=_TM2,OR(TH!L1391="1111",TH!M1391="1111")),TH!D1391,""),"")</f>
        <v/>
      </c>
      <c r="B1391" s="36" t="str">
        <f t="shared" si="47"/>
        <v/>
      </c>
      <c r="C1391" s="190"/>
      <c r="D1391" s="190"/>
      <c r="E1391" s="190"/>
      <c r="F1391" s="191"/>
      <c r="G1391" s="491"/>
      <c r="H1391" s="7"/>
      <c r="I1391" s="253"/>
      <c r="J1391" s="253"/>
      <c r="K1391" s="606"/>
      <c r="L1391" s="193"/>
      <c r="M1391" s="193"/>
      <c r="N1391" s="39" t="str">
        <f>IF(AND('331-CT'!$E$7=TH!H1391,OR(L1391="331",M1391="331")),"331",IF(AND(OR(L1391="131",M1391="131"),H1391='131-CT'!$E$7),"131",""))</f>
        <v/>
      </c>
      <c r="O1391" s="39" t="str">
        <f>IF(AND($B1391&gt;='111'!$N$11,$B1391&lt;='111'!$O$11,OR($L1391=$O$7,$M1391=$O$7)),"x","")</f>
        <v/>
      </c>
      <c r="P1391" s="39" t="str">
        <f>IF(AND($L1391=$O$7,$B1391&lt;'111'!$N$11),"x","")</f>
        <v/>
      </c>
      <c r="Q1391" s="39" t="str">
        <f>IF(AND($M1391=$O$7,$B1391&lt;'111'!$N$11),"x","")</f>
        <v/>
      </c>
      <c r="R1391" s="39" t="str">
        <f>IF(ISERROR(FIND('112'!$M$9,G1391,1)),"",IF((AND(FIND('112'!$M$9,G1391,1)&gt;=1,$B1391&gt;='112'!$N$8,$B1391&lt;='112'!$O$8,OR($L1391='112'!$I$6,$M1391='112'!$I$6))),"x",""))</f>
        <v/>
      </c>
      <c r="S1391" s="39" t="str">
        <f>IF(ISERROR(FIND('112'!$M$9,G1391,1)),"",IF((AND(LEFT(G1391,2)=LEFT('112'!$M$9,2),B1391&lt;'112'!$N$8,$L1391='112'!$I$6)),"x",""))</f>
        <v/>
      </c>
      <c r="T1391" s="39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39" t="str">
        <f>IF(OR(TH!L1391=TH!$V$7,M1391=TH!$V$7),"x","")</f>
        <v/>
      </c>
      <c r="W1391" s="39" t="str">
        <f>IF(AND(B1391&gt;='IN-NX'!$P$3,B1391&lt;='IN-NX'!$Q$3,'IN-NX'!$D$7=D1391,OR(LEFT(L1391,2)="15",AND(LEFT(M1391,2)&lt;&gt;"15",LEFT(M1391,2)&lt;&gt;"33"))),"x","")</f>
        <v/>
      </c>
      <c r="X1391" s="39" t="str">
        <f>IF(AND(OR(LEFT(TH!L1391,2)="15",LEFT(TH!M1391,2)="15"),'152-CT'!$J$8=TH!F1391),"x","")</f>
        <v/>
      </c>
      <c r="Y1391" s="39" t="str">
        <f>IF(AND(OR(LEFT(TH!L1391,2)="15",LEFT(TH!M1391,2)="15"),TK!$E$7=TH!F1391),"x","")</f>
        <v/>
      </c>
      <c r="Z1391" s="39" t="str">
        <f>IF(AND(B1391&lt;=NKC!$N$8,B1391&gt;=NKC!$M$8),"x","")</f>
        <v/>
      </c>
      <c r="AA1391" s="894"/>
    </row>
    <row r="1392" spans="1:27" ht="15.75" customHeight="1">
      <c r="A1392" s="199" t="str">
        <f>IF(B1392&lt;&gt;"",IF(AND(B1392&gt;=_TM1,B1392&lt;=_TM2,OR(TH!L1392="1111",TH!M1392="1111")),TH!D1392,""),"")</f>
        <v/>
      </c>
      <c r="B1392" s="36" t="str">
        <f t="shared" si="47"/>
        <v/>
      </c>
      <c r="C1392" s="190"/>
      <c r="D1392" s="190"/>
      <c r="E1392" s="190"/>
      <c r="F1392" s="191"/>
      <c r="G1392" s="491"/>
      <c r="H1392" s="7"/>
      <c r="I1392" s="253"/>
      <c r="J1392" s="253"/>
      <c r="K1392" s="606"/>
      <c r="L1392" s="193"/>
      <c r="M1392" s="193"/>
      <c r="N1392" s="39" t="str">
        <f>IF(AND('331-CT'!$E$7=TH!H1392,OR(L1392="331",M1392="331")),"331",IF(AND(OR(L1392="131",M1392="131"),H1392='131-CT'!$E$7),"131",""))</f>
        <v/>
      </c>
      <c r="O1392" s="39" t="str">
        <f>IF(AND($B1392&gt;='111'!$N$11,$B1392&lt;='111'!$O$11,OR($L1392=$O$7,$M1392=$O$7)),"x","")</f>
        <v/>
      </c>
      <c r="P1392" s="39" t="str">
        <f>IF(AND($L1392=$O$7,$B1392&lt;'111'!$N$11),"x","")</f>
        <v/>
      </c>
      <c r="Q1392" s="39" t="str">
        <f>IF(AND($M1392=$O$7,$B1392&lt;'111'!$N$11),"x","")</f>
        <v/>
      </c>
      <c r="R1392" s="39" t="str">
        <f>IF(ISERROR(FIND('112'!$M$9,G1392,1)),"",IF((AND(FIND('112'!$M$9,G1392,1)&gt;=1,$B1392&gt;='112'!$N$8,$B1392&lt;='112'!$O$8,OR($L1392='112'!$I$6,$M1392='112'!$I$6))),"x",""))</f>
        <v/>
      </c>
      <c r="S1392" s="39" t="str">
        <f>IF(ISERROR(FIND('112'!$M$9,G1392,1)),"",IF((AND(LEFT(G1392,2)=LEFT('112'!$M$9,2),B1392&lt;'112'!$N$8,$L1392='112'!$I$6)),"x",""))</f>
        <v/>
      </c>
      <c r="T1392" s="39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39" t="str">
        <f>IF(OR(TH!L1392=TH!$V$7,M1392=TH!$V$7),"x","")</f>
        <v/>
      </c>
      <c r="W1392" s="39" t="str">
        <f>IF(AND(B1392&gt;='IN-NX'!$P$3,B1392&lt;='IN-NX'!$Q$3,'IN-NX'!$D$7=D1392,OR(LEFT(L1392,2)="15",AND(LEFT(M1392,2)&lt;&gt;"15",LEFT(M1392,2)&lt;&gt;"33"))),"x","")</f>
        <v/>
      </c>
      <c r="X1392" s="39" t="str">
        <f>IF(AND(OR(LEFT(TH!L1392,2)="15",LEFT(TH!M1392,2)="15"),'152-CT'!$J$8=TH!F1392),"x","")</f>
        <v/>
      </c>
      <c r="Y1392" s="39" t="str">
        <f>IF(AND(OR(LEFT(TH!L1392,2)="15",LEFT(TH!M1392,2)="15"),TK!$E$7=TH!F1392),"x","")</f>
        <v/>
      </c>
      <c r="Z1392" s="39" t="str">
        <f>IF(AND(B1392&lt;=NKC!$N$8,B1392&gt;=NKC!$M$8),"x","")</f>
        <v/>
      </c>
      <c r="AA1392" s="894"/>
    </row>
    <row r="1393" spans="1:27" ht="15.75" customHeight="1">
      <c r="A1393" s="199" t="str">
        <f>IF(B1393&lt;&gt;"",IF(AND(B1393&gt;=_TM1,B1393&lt;=_TM2,OR(TH!L1393="1111",TH!M1393="1111")),TH!D1393,""),"")</f>
        <v/>
      </c>
      <c r="B1393" s="36" t="str">
        <f t="shared" si="47"/>
        <v/>
      </c>
      <c r="C1393" s="190"/>
      <c r="D1393" s="190"/>
      <c r="E1393" s="190"/>
      <c r="F1393" s="191"/>
      <c r="G1393" s="491"/>
      <c r="H1393" s="7"/>
      <c r="I1393" s="253"/>
      <c r="J1393" s="253"/>
      <c r="K1393" s="606"/>
      <c r="L1393" s="193"/>
      <c r="M1393" s="193"/>
      <c r="N1393" s="39" t="str">
        <f>IF(AND('331-CT'!$E$7=TH!H1393,OR(L1393="331",M1393="331")),"331",IF(AND(OR(L1393="131",M1393="131"),H1393='131-CT'!$E$7),"131",""))</f>
        <v/>
      </c>
      <c r="O1393" s="39" t="str">
        <f>IF(AND($B1393&gt;='111'!$N$11,$B1393&lt;='111'!$O$11,OR($L1393=$O$7,$M1393=$O$7)),"x","")</f>
        <v/>
      </c>
      <c r="P1393" s="39" t="str">
        <f>IF(AND($L1393=$O$7,$B1393&lt;'111'!$N$11),"x","")</f>
        <v/>
      </c>
      <c r="Q1393" s="39" t="str">
        <f>IF(AND($M1393=$O$7,$B1393&lt;'111'!$N$11),"x","")</f>
        <v/>
      </c>
      <c r="R1393" s="39" t="str">
        <f>IF(ISERROR(FIND('112'!$M$9,G1393,1)),"",IF((AND(FIND('112'!$M$9,G1393,1)&gt;=1,$B1393&gt;='112'!$N$8,$B1393&lt;='112'!$O$8,OR($L1393='112'!$I$6,$M1393='112'!$I$6))),"x",""))</f>
        <v/>
      </c>
      <c r="S1393" s="39" t="str">
        <f>IF(ISERROR(FIND('112'!$M$9,G1393,1)),"",IF((AND(LEFT(G1393,2)=LEFT('112'!$M$9,2),B1393&lt;'112'!$N$8,$L1393='112'!$I$6)),"x",""))</f>
        <v/>
      </c>
      <c r="T1393" s="39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39" t="str">
        <f>IF(OR(TH!L1393=TH!$V$7,M1393=TH!$V$7),"x","")</f>
        <v/>
      </c>
      <c r="W1393" s="39" t="str">
        <f>IF(AND(B1393&gt;='IN-NX'!$P$3,B1393&lt;='IN-NX'!$Q$3,'IN-NX'!$D$7=D1393,OR(LEFT(L1393,2)="15",AND(LEFT(M1393,2)&lt;&gt;"15",LEFT(M1393,2)&lt;&gt;"33"))),"x","")</f>
        <v/>
      </c>
      <c r="X1393" s="39" t="str">
        <f>IF(AND(OR(LEFT(TH!L1393,2)="15",LEFT(TH!M1393,2)="15"),'152-CT'!$J$8=TH!F1393),"x","")</f>
        <v/>
      </c>
      <c r="Y1393" s="39" t="str">
        <f>IF(AND(OR(LEFT(TH!L1393,2)="15",LEFT(TH!M1393,2)="15"),TK!$E$7=TH!F1393),"x","")</f>
        <v/>
      </c>
      <c r="Z1393" s="39" t="str">
        <f>IF(AND(B1393&lt;=NKC!$N$8,B1393&gt;=NKC!$M$8),"x","")</f>
        <v/>
      </c>
      <c r="AA1393" s="894"/>
    </row>
    <row r="1394" spans="1:27" ht="15.75" customHeight="1">
      <c r="A1394" s="199" t="str">
        <f>IF(B1394&lt;&gt;"",IF(AND(B1394&gt;=_TM1,B1394&lt;=_TM2,OR(TH!L1394="1111",TH!M1394="1111")),TH!D1394,""),"")</f>
        <v/>
      </c>
      <c r="B1394" s="36" t="str">
        <f t="shared" si="47"/>
        <v/>
      </c>
      <c r="C1394" s="190"/>
      <c r="D1394" s="190"/>
      <c r="E1394" s="190"/>
      <c r="F1394" s="188"/>
      <c r="G1394" s="491"/>
      <c r="H1394" s="7"/>
      <c r="I1394" s="253"/>
      <c r="J1394" s="253"/>
      <c r="K1394" s="606"/>
      <c r="L1394" s="193"/>
      <c r="M1394" s="193"/>
      <c r="N1394" s="39" t="str">
        <f>IF(AND('331-CT'!$E$7=TH!H1394,OR(L1394="331",M1394="331")),"331",IF(AND(OR(L1394="131",M1394="131"),H1394='131-CT'!$E$7),"131",""))</f>
        <v/>
      </c>
      <c r="O1394" s="39" t="str">
        <f>IF(AND($B1394&gt;='111'!$N$11,$B1394&lt;='111'!$O$11,OR($L1394=$O$7,$M1394=$O$7)),"x","")</f>
        <v/>
      </c>
      <c r="P1394" s="39" t="str">
        <f>IF(AND($L1394=$O$7,$B1394&lt;'111'!$N$11),"x","")</f>
        <v/>
      </c>
      <c r="Q1394" s="39" t="str">
        <f>IF(AND($M1394=$O$7,$B1394&lt;'111'!$N$11),"x","")</f>
        <v/>
      </c>
      <c r="R1394" s="39" t="str">
        <f>IF(ISERROR(FIND('112'!$M$9,G1394,1)),"",IF((AND(FIND('112'!$M$9,G1394,1)&gt;=1,$B1394&gt;='112'!$N$8,$B1394&lt;='112'!$O$8,OR($L1394='112'!$I$6,$M1394='112'!$I$6))),"x",""))</f>
        <v/>
      </c>
      <c r="S1394" s="39" t="str">
        <f>IF(ISERROR(FIND('112'!$M$9,G1394,1)),"",IF((AND(LEFT(G1394,2)=LEFT('112'!$M$9,2),B1394&lt;'112'!$N$8,$L1394='112'!$I$6)),"x",""))</f>
        <v/>
      </c>
      <c r="T1394" s="39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39" t="str">
        <f>IF(OR(TH!L1394=TH!$V$7,M1394=TH!$V$7),"x","")</f>
        <v/>
      </c>
      <c r="W1394" s="39" t="str">
        <f>IF(AND(B1394&gt;='IN-NX'!$P$3,B1394&lt;='IN-NX'!$Q$3,'IN-NX'!$D$7=D1394,OR(LEFT(L1394,2)="15",AND(LEFT(M1394,2)&lt;&gt;"15",LEFT(M1394,2)&lt;&gt;"33"))),"x","")</f>
        <v/>
      </c>
      <c r="X1394" s="39" t="str">
        <f>IF(AND(OR(LEFT(TH!L1394,2)="15",LEFT(TH!M1394,2)="15"),'152-CT'!$J$8=TH!F1394),"x","")</f>
        <v/>
      </c>
      <c r="Y1394" s="39" t="str">
        <f>IF(AND(OR(LEFT(TH!L1394,2)="15",LEFT(TH!M1394,2)="15"),TK!$E$7=TH!F1394),"x","")</f>
        <v/>
      </c>
      <c r="Z1394" s="39" t="str">
        <f>IF(AND(B1394&lt;=NKC!$N$8,B1394&gt;=NKC!$M$8),"x","")</f>
        <v/>
      </c>
      <c r="AA1394" s="894"/>
    </row>
    <row r="1395" spans="1:27" ht="15.75" customHeight="1">
      <c r="A1395" s="199" t="str">
        <f>IF(B1395&lt;&gt;"",IF(AND(B1395&gt;=_TM1,B1395&lt;=_TM2,OR(TH!L1395="1111",TH!M1395="1111")),TH!D1395,""),"")</f>
        <v/>
      </c>
      <c r="B1395" s="36" t="str">
        <f t="shared" si="47"/>
        <v/>
      </c>
      <c r="C1395" s="190"/>
      <c r="D1395" s="190"/>
      <c r="E1395" s="190"/>
      <c r="F1395" s="191"/>
      <c r="G1395" s="491"/>
      <c r="H1395" s="7"/>
      <c r="I1395" s="253"/>
      <c r="J1395" s="253"/>
      <c r="K1395" s="38"/>
      <c r="L1395" s="193"/>
      <c r="M1395" s="193"/>
      <c r="N1395" s="39" t="str">
        <f>IF(AND('331-CT'!$E$7=TH!H1395,OR(L1395="331",M1395="331")),"331",IF(AND(OR(L1395="131",M1395="131"),H1395='131-CT'!$E$7),"131",""))</f>
        <v/>
      </c>
      <c r="O1395" s="39" t="str">
        <f>IF(AND($B1395&gt;='111'!$N$11,$B1395&lt;='111'!$O$11,OR($L1395=$O$7,$M1395=$O$7)),"x","")</f>
        <v/>
      </c>
      <c r="P1395" s="39" t="str">
        <f>IF(AND($L1395=$O$7,$B1395&lt;'111'!$N$11),"x","")</f>
        <v/>
      </c>
      <c r="Q1395" s="39" t="str">
        <f>IF(AND($M1395=$O$7,$B1395&lt;'111'!$N$11),"x","")</f>
        <v/>
      </c>
      <c r="R1395" s="39" t="str">
        <f>IF(ISERROR(FIND('112'!$M$9,G1395,1)),"",IF((AND(FIND('112'!$M$9,G1395,1)&gt;=1,$B1395&gt;='112'!$N$8,$B1395&lt;='112'!$O$8,OR($L1395='112'!$I$6,$M1395='112'!$I$6))),"x",""))</f>
        <v/>
      </c>
      <c r="S1395" s="39" t="str">
        <f>IF(ISERROR(FIND('112'!$M$9,G1395,1)),"",IF((AND(LEFT(G1395,2)=LEFT('112'!$M$9,2),B1395&lt;'112'!$N$8,$L1395='112'!$I$6)),"x",""))</f>
        <v/>
      </c>
      <c r="T1395" s="39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39" t="str">
        <f>IF(OR(TH!L1395=TH!$V$7,M1395=TH!$V$7),"x","")</f>
        <v/>
      </c>
      <c r="W1395" s="39" t="str">
        <f>IF(AND(B1395&gt;='IN-NX'!$P$3,B1395&lt;='IN-NX'!$Q$3,'IN-NX'!$D$7=D1395,OR(LEFT(L1395,2)="15",AND(LEFT(M1395,2)&lt;&gt;"15",LEFT(M1395,2)&lt;&gt;"33"))),"x","")</f>
        <v/>
      </c>
      <c r="X1395" s="39" t="str">
        <f>IF(AND(OR(LEFT(TH!L1395,2)="15",LEFT(TH!M1395,2)="15"),'152-CT'!$J$8=TH!F1395),"x","")</f>
        <v/>
      </c>
      <c r="Y1395" s="39" t="str">
        <f>IF(AND(OR(LEFT(TH!L1395,2)="15",LEFT(TH!M1395,2)="15"),TK!$E$7=TH!F1395),"x","")</f>
        <v/>
      </c>
      <c r="Z1395" s="39" t="str">
        <f>IF(AND(B1395&lt;=NKC!$N$8,B1395&gt;=NKC!$M$8),"x","")</f>
        <v/>
      </c>
      <c r="AA1395" s="894"/>
    </row>
    <row r="1396" spans="1:27" ht="15.75" customHeight="1">
      <c r="A1396" s="199" t="str">
        <f>IF(B1396&lt;&gt;"",IF(AND(B1396&gt;=_TM1,B1396&lt;=_TM2,OR(TH!L1396="1111",TH!M1396="1111")),TH!D1396,""),"")</f>
        <v/>
      </c>
      <c r="B1396" s="36" t="str">
        <f t="shared" si="47"/>
        <v/>
      </c>
      <c r="C1396" s="37"/>
      <c r="D1396" s="37"/>
      <c r="E1396" s="37"/>
      <c r="F1396" s="40"/>
      <c r="G1396" s="40"/>
      <c r="H1396" s="7"/>
      <c r="I1396" s="253"/>
      <c r="J1396" s="253"/>
      <c r="K1396" s="606"/>
      <c r="L1396" s="39"/>
      <c r="M1396" s="39"/>
      <c r="N1396" s="39" t="str">
        <f>IF(AND('331-CT'!$E$7=TH!H1396,OR(L1396="331",M1396="331")),"331",IF(AND(OR(L1396="131",M1396="131"),H1396='131-CT'!$E$7),"131",""))</f>
        <v/>
      </c>
      <c r="O1396" s="39" t="str">
        <f>IF(AND($B1396&gt;='111'!$N$11,$B1396&lt;='111'!$O$11,OR($L1396=$O$7,$M1396=$O$7)),"x","")</f>
        <v/>
      </c>
      <c r="P1396" s="39" t="str">
        <f>IF(AND($L1396=$O$7,$B1396&lt;'111'!$N$11),"x","")</f>
        <v/>
      </c>
      <c r="Q1396" s="39" t="str">
        <f>IF(AND($M1396=$O$7,$B1396&lt;'111'!$N$11),"x","")</f>
        <v/>
      </c>
      <c r="R1396" s="39" t="str">
        <f>IF(ISERROR(FIND('112'!$M$9,G1396,1)),"",IF((AND(FIND('112'!$M$9,G1396,1)&gt;=1,$B1396&gt;='112'!$N$8,$B1396&lt;='112'!$O$8,OR($L1396='112'!$I$6,$M1396='112'!$I$6))),"x",""))</f>
        <v/>
      </c>
      <c r="S1396" s="39" t="str">
        <f>IF(ISERROR(FIND('112'!$M$9,G1396,1)),"",IF((AND(LEFT(G1396,2)=LEFT('112'!$M$9,2),B1396&lt;'112'!$N$8,$L1396='112'!$I$6)),"x",""))</f>
        <v/>
      </c>
      <c r="T1396" s="39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39" t="str">
        <f>IF(OR(TH!L1396=TH!$V$7,M1396=TH!$V$7),"x","")</f>
        <v/>
      </c>
      <c r="W1396" s="39" t="str">
        <f>IF(AND(B1396&gt;='IN-NX'!$P$3,B1396&lt;='IN-NX'!$Q$3,'IN-NX'!$D$7=D1396,OR(LEFT(L1396,2)="15",AND(LEFT(M1396,2)&lt;&gt;"15",LEFT(M1396,2)&lt;&gt;"33"))),"x","")</f>
        <v/>
      </c>
      <c r="X1396" s="39" t="str">
        <f>IF(AND(OR(LEFT(TH!L1396,2)="15",LEFT(TH!M1396,2)="15"),'152-CT'!$J$8=TH!F1396),"x","")</f>
        <v/>
      </c>
      <c r="Y1396" s="39" t="str">
        <f>IF(AND(OR(LEFT(TH!L1396,2)="15",LEFT(TH!M1396,2)="15"),TK!$E$7=TH!F1396),"x","")</f>
        <v/>
      </c>
      <c r="Z1396" s="39" t="str">
        <f>IF(AND(B1396&lt;=NKC!$N$8,B1396&gt;=NKC!$M$8),"x","")</f>
        <v/>
      </c>
      <c r="AA1396" s="894"/>
    </row>
    <row r="1397" spans="1:27" ht="15.75" customHeight="1">
      <c r="A1397" s="199" t="str">
        <f>IF(B1397&lt;&gt;"",IF(AND(B1397&gt;=_TM1,B1397&lt;=_TM2,OR(TH!L1397="1111",TH!M1397="1111")),TH!D1397,""),"")</f>
        <v/>
      </c>
      <c r="B1397" s="36" t="str">
        <f t="shared" si="47"/>
        <v/>
      </c>
      <c r="C1397" s="37"/>
      <c r="D1397" s="37"/>
      <c r="E1397" s="37"/>
      <c r="F1397" s="40"/>
      <c r="G1397" s="40"/>
      <c r="H1397" s="7"/>
      <c r="I1397" s="253"/>
      <c r="J1397" s="253"/>
      <c r="K1397" s="606"/>
      <c r="L1397" s="39"/>
      <c r="M1397" s="39"/>
      <c r="N1397" s="39" t="str">
        <f>IF(AND('331-CT'!$E$7=TH!H1397,OR(L1397="331",M1397="331")),"331",IF(AND(OR(L1397="131",M1397="131"),H1397='131-CT'!$E$7),"131",""))</f>
        <v/>
      </c>
      <c r="O1397" s="39" t="str">
        <f>IF(AND($B1397&gt;='111'!$N$11,$B1397&lt;='111'!$O$11,OR($L1397=$O$7,$M1397=$O$7)),"x","")</f>
        <v/>
      </c>
      <c r="P1397" s="39" t="str">
        <f>IF(AND($L1397=$O$7,$B1397&lt;'111'!$N$11),"x","")</f>
        <v/>
      </c>
      <c r="Q1397" s="39" t="str">
        <f>IF(AND($M1397=$O$7,$B1397&lt;'111'!$N$11),"x","")</f>
        <v/>
      </c>
      <c r="R1397" s="39" t="str">
        <f>IF(ISERROR(FIND('112'!$M$9,G1397,1)),"",IF((AND(FIND('112'!$M$9,G1397,1)&gt;=1,$B1397&gt;='112'!$N$8,$B1397&lt;='112'!$O$8,OR($L1397='112'!$I$6,$M1397='112'!$I$6))),"x",""))</f>
        <v/>
      </c>
      <c r="S1397" s="39" t="str">
        <f>IF(ISERROR(FIND('112'!$M$9,G1397,1)),"",IF((AND(LEFT(G1397,2)=LEFT('112'!$M$9,2),B1397&lt;'112'!$N$8,$L1397='112'!$I$6)),"x",""))</f>
        <v/>
      </c>
      <c r="T1397" s="39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39" t="str">
        <f>IF(OR(TH!L1397=TH!$V$7,M1397=TH!$V$7),"x","")</f>
        <v/>
      </c>
      <c r="W1397" s="39" t="str">
        <f>IF(AND(B1397&gt;='IN-NX'!$P$3,B1397&lt;='IN-NX'!$Q$3,'IN-NX'!$D$7=D1397,OR(LEFT(L1397,2)="15",AND(LEFT(M1397,2)&lt;&gt;"15",LEFT(M1397,2)&lt;&gt;"33"))),"x","")</f>
        <v/>
      </c>
      <c r="X1397" s="39" t="str">
        <f>IF(AND(OR(LEFT(TH!L1397,2)="15",LEFT(TH!M1397,2)="15"),'152-CT'!$J$8=TH!F1397),"x","")</f>
        <v/>
      </c>
      <c r="Y1397" s="39" t="str">
        <f>IF(AND(OR(LEFT(TH!L1397,2)="15",LEFT(TH!M1397,2)="15"),TK!$E$7=TH!F1397),"x","")</f>
        <v/>
      </c>
      <c r="Z1397" s="39" t="str">
        <f>IF(AND(B1397&lt;=NKC!$N$8,B1397&gt;=NKC!$M$8),"x","")</f>
        <v/>
      </c>
      <c r="AA1397" s="894"/>
    </row>
    <row r="1398" spans="1:27" ht="15.75" customHeight="1">
      <c r="A1398" s="199" t="str">
        <f>IF(B1398&lt;&gt;"",IF(AND(B1398&gt;=_TM1,B1398&lt;=_TM2,OR(TH!L1398="1111",TH!M1398="1111")),TH!D1398,""),"")</f>
        <v/>
      </c>
      <c r="B1398" s="36" t="str">
        <f t="shared" si="47"/>
        <v/>
      </c>
      <c r="C1398" s="37"/>
      <c r="D1398" s="37"/>
      <c r="E1398" s="37"/>
      <c r="F1398" s="40"/>
      <c r="G1398" s="40"/>
      <c r="H1398" s="7"/>
      <c r="I1398" s="253"/>
      <c r="J1398" s="253"/>
      <c r="K1398" s="606"/>
      <c r="L1398" s="39"/>
      <c r="M1398" s="39"/>
      <c r="N1398" s="39" t="str">
        <f>IF(AND('331-CT'!$E$7=TH!H1398,OR(L1398="331",M1398="331")),"331",IF(AND(OR(L1398="131",M1398="131"),H1398='131-CT'!$E$7),"131",""))</f>
        <v/>
      </c>
      <c r="O1398" s="39" t="str">
        <f>IF(AND($B1398&gt;='111'!$N$11,$B1398&lt;='111'!$O$11,OR($L1398=$O$7,$M1398=$O$7)),"x","")</f>
        <v/>
      </c>
      <c r="P1398" s="39" t="str">
        <f>IF(AND($L1398=$O$7,$B1398&lt;'111'!$N$11),"x","")</f>
        <v/>
      </c>
      <c r="Q1398" s="39" t="str">
        <f>IF(AND($M1398=$O$7,$B1398&lt;'111'!$N$11),"x","")</f>
        <v/>
      </c>
      <c r="R1398" s="39" t="str">
        <f>IF(ISERROR(FIND('112'!$M$9,G1398,1)),"",IF((AND(FIND('112'!$M$9,G1398,1)&gt;=1,$B1398&gt;='112'!$N$8,$B1398&lt;='112'!$O$8,OR($L1398='112'!$I$6,$M1398='112'!$I$6))),"x",""))</f>
        <v/>
      </c>
      <c r="S1398" s="39" t="str">
        <f>IF(ISERROR(FIND('112'!$M$9,G1398,1)),"",IF((AND(LEFT(G1398,2)=LEFT('112'!$M$9,2),B1398&lt;'112'!$N$8,$L1398='112'!$I$6)),"x",""))</f>
        <v/>
      </c>
      <c r="T1398" s="39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39" t="str">
        <f>IF(OR(TH!L1398=TH!$V$7,M1398=TH!$V$7),"x","")</f>
        <v/>
      </c>
      <c r="W1398" s="39" t="str">
        <f>IF(AND(B1398&gt;='IN-NX'!$P$3,B1398&lt;='IN-NX'!$Q$3,'IN-NX'!$D$7=D1398,OR(LEFT(L1398,2)="15",AND(LEFT(M1398,2)&lt;&gt;"15",LEFT(M1398,2)&lt;&gt;"33"))),"x","")</f>
        <v/>
      </c>
      <c r="X1398" s="39" t="str">
        <f>IF(AND(OR(LEFT(TH!L1398,2)="15",LEFT(TH!M1398,2)="15"),'152-CT'!$J$8=TH!F1398),"x","")</f>
        <v/>
      </c>
      <c r="Y1398" s="39" t="str">
        <f>IF(AND(OR(LEFT(TH!L1398,2)="15",LEFT(TH!M1398,2)="15"),TK!$E$7=TH!F1398),"x","")</f>
        <v/>
      </c>
      <c r="Z1398" s="39" t="str">
        <f>IF(AND(B1398&lt;=NKC!$N$8,B1398&gt;=NKC!$M$8),"x","")</f>
        <v/>
      </c>
      <c r="AA1398" s="894"/>
    </row>
    <row r="1399" spans="1:27" ht="15.75" customHeight="1">
      <c r="A1399" s="199" t="str">
        <f>IF(B1399&lt;&gt;"",IF(AND(B1399&gt;=_TM1,B1399&lt;=_TM2,OR(TH!L1399="1111",TH!M1399="1111")),TH!D1399,""),"")</f>
        <v/>
      </c>
      <c r="B1399" s="36" t="str">
        <f t="shared" si="47"/>
        <v/>
      </c>
      <c r="C1399" s="37"/>
      <c r="D1399" s="37"/>
      <c r="E1399" s="37"/>
      <c r="F1399" s="40"/>
      <c r="G1399" s="40"/>
      <c r="H1399" s="7"/>
      <c r="I1399" s="253"/>
      <c r="J1399" s="253"/>
      <c r="K1399" s="606"/>
      <c r="L1399" s="39"/>
      <c r="M1399" s="39"/>
      <c r="N1399" s="39" t="str">
        <f>IF(AND('331-CT'!$E$7=TH!H1399,OR(L1399="331",M1399="331")),"331",IF(AND(OR(L1399="131",M1399="131"),H1399='131-CT'!$E$7),"131",""))</f>
        <v/>
      </c>
      <c r="O1399" s="39" t="str">
        <f>IF(AND($B1399&gt;='111'!$N$11,$B1399&lt;='111'!$O$11,OR($L1399=$O$7,$M1399=$O$7)),"x","")</f>
        <v/>
      </c>
      <c r="P1399" s="39" t="str">
        <f>IF(AND($L1399=$O$7,$B1399&lt;'111'!$N$11),"x","")</f>
        <v/>
      </c>
      <c r="Q1399" s="39" t="str">
        <f>IF(AND($M1399=$O$7,$B1399&lt;'111'!$N$11),"x","")</f>
        <v/>
      </c>
      <c r="R1399" s="39" t="str">
        <f>IF(ISERROR(FIND('112'!$M$9,G1399,1)),"",IF((AND(FIND('112'!$M$9,G1399,1)&gt;=1,$B1399&gt;='112'!$N$8,$B1399&lt;='112'!$O$8,OR($L1399='112'!$I$6,$M1399='112'!$I$6))),"x",""))</f>
        <v/>
      </c>
      <c r="S1399" s="39" t="str">
        <f>IF(ISERROR(FIND('112'!$M$9,G1399,1)),"",IF((AND(LEFT(G1399,2)=LEFT('112'!$M$9,2),B1399&lt;'112'!$N$8,$L1399='112'!$I$6)),"x",""))</f>
        <v/>
      </c>
      <c r="T1399" s="39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39" t="str">
        <f>IF(OR(TH!L1399=TH!$V$7,M1399=TH!$V$7),"x","")</f>
        <v/>
      </c>
      <c r="W1399" s="39" t="str">
        <f>IF(AND(B1399&gt;='IN-NX'!$P$3,B1399&lt;='IN-NX'!$Q$3,'IN-NX'!$D$7=D1399,OR(LEFT(L1399,2)="15",AND(LEFT(M1399,2)&lt;&gt;"15",LEFT(M1399,2)&lt;&gt;"33"))),"x","")</f>
        <v/>
      </c>
      <c r="X1399" s="39" t="str">
        <f>IF(AND(OR(LEFT(TH!L1399,2)="15",LEFT(TH!M1399,2)="15"),'152-CT'!$J$8=TH!F1399),"x","")</f>
        <v/>
      </c>
      <c r="Y1399" s="39" t="str">
        <f>IF(AND(OR(LEFT(TH!L1399,2)="15",LEFT(TH!M1399,2)="15"),TK!$E$7=TH!F1399),"x","")</f>
        <v/>
      </c>
      <c r="Z1399" s="39" t="str">
        <f>IF(AND(B1399&lt;=NKC!$N$8,B1399&gt;=NKC!$M$8),"x","")</f>
        <v/>
      </c>
      <c r="AA1399" s="894"/>
    </row>
    <row r="1400" spans="1:27" ht="15.75" customHeight="1">
      <c r="A1400" s="199" t="str">
        <f>IF(B1400&lt;&gt;"",IF(AND(B1400&gt;=_TM1,B1400&lt;=_TM2,OR(TH!L1400="1111",TH!M1400="1111")),TH!D1400,""),"")</f>
        <v/>
      </c>
      <c r="B1400" s="36" t="str">
        <f t="shared" si="47"/>
        <v/>
      </c>
      <c r="C1400" s="37"/>
      <c r="D1400" s="37"/>
      <c r="E1400" s="37"/>
      <c r="F1400" s="40"/>
      <c r="G1400" s="40"/>
      <c r="H1400" s="7"/>
      <c r="I1400" s="253"/>
      <c r="J1400" s="253"/>
      <c r="K1400" s="606"/>
      <c r="L1400" s="39"/>
      <c r="M1400" s="39"/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94"/>
    </row>
    <row r="1401" spans="1:27" ht="15.75" customHeight="1">
      <c r="A1401" s="199" t="str">
        <f>IF(B1401&lt;&gt;"",IF(AND(B1401&gt;=_TM1,B1401&lt;=_TM2,OR(TH!L1401="1111",TH!M1401="1111")),TH!D1401,""),"")</f>
        <v/>
      </c>
      <c r="B1401" s="36" t="str">
        <f t="shared" si="47"/>
        <v/>
      </c>
      <c r="C1401" s="37"/>
      <c r="D1401" s="37"/>
      <c r="E1401" s="37"/>
      <c r="F1401" s="40"/>
      <c r="G1401" s="40"/>
      <c r="H1401" s="7"/>
      <c r="I1401" s="253"/>
      <c r="J1401" s="253"/>
      <c r="K1401" s="606"/>
      <c r="L1401" s="39"/>
      <c r="M1401" s="39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94"/>
    </row>
    <row r="1402" spans="1:27" ht="15.75" customHeight="1">
      <c r="A1402" s="199" t="str">
        <f>IF(B1402&lt;&gt;"",IF(AND(B1402&gt;=_TM1,B1402&lt;=_TM2,OR(TH!L1402="1111",TH!M1402="1111")),TH!D1402,""),"")</f>
        <v/>
      </c>
      <c r="B1402" s="36" t="str">
        <f t="shared" si="47"/>
        <v/>
      </c>
      <c r="C1402" s="37"/>
      <c r="D1402" s="37"/>
      <c r="E1402" s="37"/>
      <c r="F1402" s="40"/>
      <c r="G1402" s="40"/>
      <c r="H1402" s="7"/>
      <c r="I1402" s="253"/>
      <c r="J1402" s="253"/>
      <c r="K1402" s="606"/>
      <c r="L1402" s="39"/>
      <c r="M1402" s="39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94"/>
    </row>
    <row r="1403" spans="1:27" ht="15.75" customHeight="1">
      <c r="A1403" s="199" t="str">
        <f>IF(B1403&lt;&gt;"",IF(AND(B1403&gt;=_TM1,B1403&lt;=_TM2,OR(TH!L1403="1111",TH!M1403="1111")),TH!D1403,""),"")</f>
        <v/>
      </c>
      <c r="B1403" s="36" t="str">
        <f t="shared" si="47"/>
        <v/>
      </c>
      <c r="C1403" s="37"/>
      <c r="D1403" s="37"/>
      <c r="E1403" s="37"/>
      <c r="F1403" s="191"/>
      <c r="G1403" s="40"/>
      <c r="H1403" s="7"/>
      <c r="I1403" s="253"/>
      <c r="J1403" s="253"/>
      <c r="K1403" s="606"/>
      <c r="L1403" s="39"/>
      <c r="M1403" s="39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94"/>
    </row>
    <row r="1404" spans="1:27" ht="15.75" customHeight="1">
      <c r="A1404" s="199" t="str">
        <f>IF(B1404&lt;&gt;"",IF(AND(B1404&gt;=_TM1,B1404&lt;=_TM2,OR(TH!L1404="1111",TH!M1404="1111")),TH!D1404,""),"")</f>
        <v/>
      </c>
      <c r="B1404" s="36" t="str">
        <f t="shared" si="47"/>
        <v/>
      </c>
      <c r="C1404" s="37"/>
      <c r="D1404" s="37"/>
      <c r="E1404" s="37"/>
      <c r="F1404" s="40"/>
      <c r="G1404" s="40"/>
      <c r="H1404" s="7"/>
      <c r="I1404" s="253"/>
      <c r="J1404" s="253"/>
      <c r="K1404" s="606"/>
      <c r="L1404" s="39"/>
      <c r="M1404" s="39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94"/>
    </row>
    <row r="1405" spans="1:27" ht="15.75" customHeight="1">
      <c r="A1405" s="199" t="str">
        <f>IF(B1405&lt;&gt;"",IF(AND(B1405&gt;=_TM1,B1405&lt;=_TM2,OR(TH!L1405="1111",TH!M1405="1111")),TH!D1405,""),"")</f>
        <v/>
      </c>
      <c r="B1405" s="36" t="str">
        <f t="shared" si="47"/>
        <v/>
      </c>
      <c r="C1405" s="37"/>
      <c r="D1405" s="37"/>
      <c r="E1405" s="37"/>
      <c r="F1405" s="40"/>
      <c r="G1405" s="40"/>
      <c r="H1405" s="7"/>
      <c r="I1405" s="253"/>
      <c r="J1405" s="253"/>
      <c r="K1405" s="606"/>
      <c r="L1405" s="39"/>
      <c r="M1405" s="39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94"/>
    </row>
    <row r="1406" spans="1:27" ht="15.75" customHeight="1">
      <c r="A1406" s="199" t="str">
        <f>IF(B1406&lt;&gt;"",IF(AND(B1406&gt;=_TM1,B1406&lt;=_TM2,OR(TH!L1406="1111",TH!M1406="1111")),TH!D1406,""),"")</f>
        <v/>
      </c>
      <c r="B1406" s="36" t="str">
        <f t="shared" si="47"/>
        <v/>
      </c>
      <c r="C1406" s="37"/>
      <c r="D1406" s="37"/>
      <c r="E1406" s="37"/>
      <c r="F1406" s="40"/>
      <c r="G1406" s="40"/>
      <c r="H1406" s="7"/>
      <c r="I1406" s="253"/>
      <c r="J1406" s="253"/>
      <c r="K1406" s="606"/>
      <c r="L1406" s="39"/>
      <c r="M1406" s="39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94"/>
    </row>
    <row r="1407" spans="1:27" ht="15.75" customHeight="1">
      <c r="A1407" s="199" t="str">
        <f>IF(B1407&lt;&gt;"",IF(AND(B1407&gt;=_TM1,B1407&lt;=_TM2,OR(TH!L1407="1111",TH!M1407="1111")),TH!D1407,""),"")</f>
        <v/>
      </c>
      <c r="B1407" s="36" t="str">
        <f t="shared" si="47"/>
        <v/>
      </c>
      <c r="C1407" s="37"/>
      <c r="D1407" s="37"/>
      <c r="E1407" s="37"/>
      <c r="F1407" s="40"/>
      <c r="G1407" s="40"/>
      <c r="H1407" s="7"/>
      <c r="I1407" s="253"/>
      <c r="J1407" s="253"/>
      <c r="K1407" s="606"/>
      <c r="L1407" s="39"/>
      <c r="M1407" s="39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94"/>
    </row>
    <row r="1408" spans="1:27" ht="15.75" customHeight="1">
      <c r="A1408" s="199" t="str">
        <f>IF(B1408&lt;&gt;"",IF(AND(B1408&gt;=_TM1,B1408&lt;=_TM2,OR(TH!L1408="1111",TH!M1408="1111")),TH!D1408,""),"")</f>
        <v/>
      </c>
      <c r="B1408" s="36" t="str">
        <f t="shared" si="47"/>
        <v/>
      </c>
      <c r="C1408" s="37"/>
      <c r="D1408" s="37"/>
      <c r="E1408" s="37"/>
      <c r="F1408" s="40"/>
      <c r="G1408" s="40"/>
      <c r="H1408" s="7"/>
      <c r="I1408" s="253"/>
      <c r="J1408" s="253"/>
      <c r="K1408" s="606"/>
      <c r="L1408" s="39"/>
      <c r="M1408" s="39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94"/>
    </row>
    <row r="1409" spans="1:27" ht="15.75" customHeight="1">
      <c r="A1409" s="199" t="str">
        <f>IF(B1409&lt;&gt;"",IF(AND(B1409&gt;=_TM1,B1409&lt;=_TM2,OR(TH!L1409="1111",TH!M1409="1111")),TH!D1409,""),"")</f>
        <v/>
      </c>
      <c r="B1409" s="36" t="str">
        <f t="shared" si="47"/>
        <v/>
      </c>
      <c r="C1409" s="37"/>
      <c r="D1409" s="37"/>
      <c r="E1409" s="37"/>
      <c r="F1409" s="40"/>
      <c r="G1409" s="40"/>
      <c r="H1409" s="7"/>
      <c r="I1409" s="253"/>
      <c r="J1409" s="253"/>
      <c r="K1409" s="606"/>
      <c r="L1409" s="39"/>
      <c r="M1409" s="39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94"/>
    </row>
    <row r="1410" spans="1:27" ht="15.75" customHeight="1">
      <c r="A1410" s="199" t="str">
        <f>IF(B1410&lt;&gt;"",IF(AND(B1410&gt;=_TM1,B1410&lt;=_TM2,OR(TH!L1410="1111",TH!M1410="1111")),TH!D1410,""),"")</f>
        <v/>
      </c>
      <c r="B1410" s="36" t="str">
        <f t="shared" si="47"/>
        <v/>
      </c>
      <c r="C1410" s="37"/>
      <c r="D1410" s="37"/>
      <c r="E1410" s="37"/>
      <c r="F1410" s="40"/>
      <c r="G1410" s="40"/>
      <c r="H1410" s="7"/>
      <c r="I1410" s="253"/>
      <c r="J1410" s="253"/>
      <c r="K1410" s="606"/>
      <c r="L1410" s="39"/>
      <c r="M1410" s="39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94"/>
    </row>
    <row r="1411" spans="1:27" ht="15.75" customHeight="1">
      <c r="A1411" s="199" t="str">
        <f>IF(B1411&lt;&gt;"",IF(AND(B1411&gt;=_TM1,B1411&lt;=_TM2,OR(TH!L1411="1111",TH!M1411="1111")),TH!D1411,""),"")</f>
        <v/>
      </c>
      <c r="B1411" s="36" t="str">
        <f t="shared" si="47"/>
        <v/>
      </c>
      <c r="C1411" s="37"/>
      <c r="D1411" s="37"/>
      <c r="E1411" s="37"/>
      <c r="F1411" s="191"/>
      <c r="G1411" s="40"/>
      <c r="H1411" s="7"/>
      <c r="I1411" s="253"/>
      <c r="J1411" s="253"/>
      <c r="K1411" s="606"/>
      <c r="L1411" s="39"/>
      <c r="M1411" s="39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94"/>
    </row>
    <row r="1412" spans="1:27" ht="15.75" customHeight="1">
      <c r="A1412" s="199" t="str">
        <f>IF(B1412&lt;&gt;"",IF(AND(B1412&gt;=_TM1,B1412&lt;=_TM2,OR(TH!L1412="1111",TH!M1412="1111")),TH!D1412,""),"")</f>
        <v/>
      </c>
      <c r="B1412" s="36" t="str">
        <f t="shared" si="47"/>
        <v/>
      </c>
      <c r="C1412" s="190"/>
      <c r="D1412" s="183"/>
      <c r="E1412" s="190"/>
      <c r="F1412" s="191"/>
      <c r="G1412" s="491"/>
      <c r="H1412" s="45"/>
      <c r="I1412" s="253"/>
      <c r="J1412" s="253"/>
      <c r="K1412" s="606"/>
      <c r="L1412" s="193"/>
      <c r="M1412" s="193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94"/>
    </row>
    <row r="1413" spans="1:27" ht="15.75" customHeight="1">
      <c r="A1413" s="199" t="str">
        <f>IF(B1413&lt;&gt;"",IF(AND(B1413&gt;=_TM1,B1413&lt;=_TM2,OR(TH!L1413="1111",TH!M1413="1111")),TH!D1413,""),"")</f>
        <v/>
      </c>
      <c r="B1413" s="36" t="str">
        <f t="shared" si="47"/>
        <v/>
      </c>
      <c r="C1413" s="190"/>
      <c r="D1413" s="183"/>
      <c r="E1413" s="190"/>
      <c r="F1413" s="191"/>
      <c r="G1413" s="491"/>
      <c r="H1413" s="45"/>
      <c r="I1413" s="253"/>
      <c r="J1413" s="253"/>
      <c r="K1413" s="38"/>
      <c r="L1413" s="193"/>
      <c r="M1413" s="193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94"/>
    </row>
    <row r="1414" spans="1:27" ht="15.75" customHeight="1">
      <c r="A1414" s="199" t="str">
        <f>IF(B1414&lt;&gt;"",IF(AND(B1414&gt;=_TM1,B1414&lt;=_TM2,OR(TH!L1414="1111",TH!M1414="1111")),TH!D1414,""),"")</f>
        <v/>
      </c>
      <c r="B1414" s="36" t="str">
        <f t="shared" si="47"/>
        <v/>
      </c>
      <c r="C1414" s="190"/>
      <c r="D1414" s="183"/>
      <c r="E1414" s="190"/>
      <c r="F1414" s="191"/>
      <c r="G1414" s="489"/>
      <c r="H1414" s="45"/>
      <c r="I1414" s="254"/>
      <c r="J1414" s="253"/>
      <c r="K1414" s="38"/>
      <c r="L1414" s="193"/>
      <c r="M1414" s="607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94"/>
    </row>
    <row r="1415" spans="1:27" ht="15.75" customHeight="1">
      <c r="A1415" s="199" t="str">
        <f>IF(B1415&lt;&gt;"",IF(AND(B1415&gt;=_TM1,B1415&lt;=_TM2,OR(TH!L1415="1111",TH!M1415="1111")),TH!D1415,""),"")</f>
        <v/>
      </c>
      <c r="B1415" s="36" t="str">
        <f t="shared" si="47"/>
        <v/>
      </c>
      <c r="C1415" s="190"/>
      <c r="D1415" s="183"/>
      <c r="E1415" s="190"/>
      <c r="F1415" s="191"/>
      <c r="G1415" s="489"/>
      <c r="H1415" s="45"/>
      <c r="I1415" s="254"/>
      <c r="J1415" s="253"/>
      <c r="K1415" s="38"/>
      <c r="L1415" s="193"/>
      <c r="M1415" s="607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94"/>
    </row>
    <row r="1416" spans="1:27" ht="15.75" customHeight="1">
      <c r="A1416" s="199" t="str">
        <f>IF(B1416&lt;&gt;"",IF(AND(B1416&gt;=_TM1,B1416&lt;=_TM2,OR(TH!L1416="1111",TH!M1416="1111")),TH!D1416,""),"")</f>
        <v/>
      </c>
      <c r="B1416" s="36" t="str">
        <f t="shared" si="47"/>
        <v/>
      </c>
      <c r="C1416" s="37"/>
      <c r="D1416" s="37"/>
      <c r="E1416" s="776"/>
      <c r="F1416" s="40"/>
      <c r="G1416" s="40"/>
      <c r="H1416" s="7"/>
      <c r="I1416" s="253"/>
      <c r="J1416" s="253"/>
      <c r="K1416" s="606"/>
      <c r="L1416" s="39"/>
      <c r="M1416" s="39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94"/>
    </row>
    <row r="1417" spans="1:27" ht="15.75" customHeight="1">
      <c r="A1417" s="199" t="str">
        <f>IF(B1417&lt;&gt;"",IF(AND(B1417&gt;=_TM1,B1417&lt;=_TM2,OR(TH!L1417="1111",TH!M1417="1111")),TH!D1417,""),"")</f>
        <v/>
      </c>
      <c r="B1417" s="36" t="str">
        <f t="shared" si="47"/>
        <v/>
      </c>
      <c r="C1417" s="37"/>
      <c r="D1417" s="37"/>
      <c r="E1417" s="776"/>
      <c r="F1417" s="188"/>
      <c r="G1417" s="40"/>
      <c r="H1417" s="7"/>
      <c r="I1417" s="253"/>
      <c r="J1417" s="253"/>
      <c r="K1417" s="606"/>
      <c r="L1417" s="39"/>
      <c r="M1417" s="39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94"/>
    </row>
    <row r="1418" spans="1:27" ht="15.75" customHeight="1">
      <c r="A1418" s="199" t="str">
        <f>IF(B1418&lt;&gt;"",IF(AND(B1418&gt;=_TM1,B1418&lt;=_TM2,OR(TH!L1418="1111",TH!M1418="1111")),TH!D1418,""),"")</f>
        <v/>
      </c>
      <c r="B1418" s="36" t="str">
        <f t="shared" si="47"/>
        <v/>
      </c>
      <c r="C1418" s="37"/>
      <c r="D1418" s="37"/>
      <c r="E1418" s="776"/>
      <c r="F1418" s="188"/>
      <c r="G1418" s="40"/>
      <c r="H1418" s="7"/>
      <c r="I1418" s="253"/>
      <c r="J1418" s="253"/>
      <c r="K1418" s="606"/>
      <c r="L1418" s="39"/>
      <c r="M1418" s="39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94"/>
    </row>
    <row r="1419" spans="1:27" ht="15.75" customHeight="1">
      <c r="A1419" s="199" t="str">
        <f>IF(B1419&lt;&gt;"",IF(AND(B1419&gt;=_TM1,B1419&lt;=_TM2,OR(TH!L1419="1111",TH!M1419="1111")),TH!D1419,""),"")</f>
        <v/>
      </c>
      <c r="B1419" s="36" t="str">
        <f t="shared" si="47"/>
        <v/>
      </c>
      <c r="C1419" s="37"/>
      <c r="D1419" s="37"/>
      <c r="E1419" s="776"/>
      <c r="F1419" s="188"/>
      <c r="G1419" s="40"/>
      <c r="H1419" s="7"/>
      <c r="I1419" s="253"/>
      <c r="J1419" s="253"/>
      <c r="K1419" s="606"/>
      <c r="L1419" s="39"/>
      <c r="M1419" s="39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94"/>
    </row>
    <row r="1420" spans="1:27" ht="15.75" customHeight="1">
      <c r="A1420" s="199" t="str">
        <f>IF(B1420&lt;&gt;"",IF(AND(B1420&gt;=_TM1,B1420&lt;=_TM2,OR(TH!L1420="1111",TH!M1420="1111")),TH!D1420,""),"")</f>
        <v/>
      </c>
      <c r="B1420" s="36" t="str">
        <f t="shared" si="47"/>
        <v/>
      </c>
      <c r="C1420" s="37"/>
      <c r="D1420" s="37"/>
      <c r="E1420" s="776"/>
      <c r="F1420" s="188"/>
      <c r="G1420" s="40"/>
      <c r="H1420" s="7"/>
      <c r="I1420" s="821"/>
      <c r="J1420" s="253"/>
      <c r="K1420" s="606"/>
      <c r="L1420" s="39"/>
      <c r="M1420" s="39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94"/>
    </row>
    <row r="1421" spans="1:27" ht="15.75" customHeight="1">
      <c r="A1421" s="199" t="str">
        <f>IF(B1421&lt;&gt;"",IF(AND(B1421&gt;=_TM1,B1421&lt;=_TM2,OR(TH!L1421="1111",TH!M1421="1111")),TH!D1421,""),"")</f>
        <v/>
      </c>
      <c r="B1421" s="36" t="str">
        <f t="shared" si="47"/>
        <v/>
      </c>
      <c r="C1421" s="37"/>
      <c r="D1421" s="37"/>
      <c r="E1421" s="776"/>
      <c r="F1421" s="293"/>
      <c r="G1421" s="40"/>
      <c r="H1421" s="7"/>
      <c r="I1421" s="253"/>
      <c r="J1421" s="253"/>
      <c r="K1421" s="606"/>
      <c r="L1421" s="39"/>
      <c r="M1421" s="39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94"/>
    </row>
    <row r="1422" spans="1:27" ht="15.75" customHeight="1">
      <c r="A1422" s="199" t="str">
        <f>IF(B1422&lt;&gt;"",IF(AND(B1422&gt;=_TM1,B1422&lt;=_TM2,OR(TH!L1422="1111",TH!M1422="1111")),TH!D1422,""),"")</f>
        <v/>
      </c>
      <c r="B1422" s="36" t="str">
        <f t="shared" si="47"/>
        <v/>
      </c>
      <c r="C1422" s="37"/>
      <c r="D1422" s="37"/>
      <c r="E1422" s="776"/>
      <c r="F1422" s="293"/>
      <c r="G1422" s="40"/>
      <c r="H1422" s="7"/>
      <c r="I1422" s="253"/>
      <c r="J1422" s="253"/>
      <c r="K1422" s="606"/>
      <c r="L1422" s="39"/>
      <c r="M1422" s="39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94"/>
    </row>
    <row r="1423" spans="1:27" ht="15.75" customHeight="1">
      <c r="A1423" s="199" t="str">
        <f>IF(B1423&lt;&gt;"",IF(AND(B1423&gt;=_TM1,B1423&lt;=_TM2,OR(TH!L1423="1111",TH!M1423="1111")),TH!D1423,""),"")</f>
        <v/>
      </c>
      <c r="B1423" s="36" t="str">
        <f t="shared" si="47"/>
        <v/>
      </c>
      <c r="C1423" s="183"/>
      <c r="D1423" s="183"/>
      <c r="E1423" s="183"/>
      <c r="F1423" s="188"/>
      <c r="G1423" s="608"/>
      <c r="H1423" s="7"/>
      <c r="I1423" s="253"/>
      <c r="J1423" s="253"/>
      <c r="K1423" s="606"/>
      <c r="L1423" s="607"/>
      <c r="M1423" s="607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94"/>
    </row>
    <row r="1424" spans="1:27" ht="15.75" customHeight="1">
      <c r="A1424" s="199" t="str">
        <f>IF(B1424&lt;&gt;"",IF(AND(B1424&gt;=_TM1,B1424&lt;=_TM2,OR(TH!L1424="1111",TH!M1424="1111")),TH!D1424,""),"")</f>
        <v/>
      </c>
      <c r="B1424" s="36" t="str">
        <f t="shared" si="47"/>
        <v/>
      </c>
      <c r="C1424" s="190"/>
      <c r="D1424" s="190"/>
      <c r="E1424" s="190"/>
      <c r="F1424" s="191"/>
      <c r="G1424" s="491"/>
      <c r="H1424" s="192"/>
      <c r="I1424" s="253"/>
      <c r="J1424" s="253"/>
      <c r="K1424" s="606"/>
      <c r="L1424" s="193"/>
      <c r="M1424" s="193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94"/>
    </row>
    <row r="1425" spans="1:27" ht="15.75" customHeight="1">
      <c r="A1425" s="199" t="str">
        <f>IF(B1425&lt;&gt;"",IF(AND(B1425&gt;=_TM1,B1425&lt;=_TM2,OR(TH!L1425="1111",TH!M1425="1111")),TH!D1425,""),"")</f>
        <v/>
      </c>
      <c r="B1425" s="36" t="str">
        <f t="shared" si="47"/>
        <v/>
      </c>
      <c r="C1425" s="190"/>
      <c r="D1425" s="190"/>
      <c r="E1425" s="190"/>
      <c r="F1425" s="191"/>
      <c r="G1425" s="491"/>
      <c r="H1425" s="192"/>
      <c r="I1425" s="253"/>
      <c r="J1425" s="253"/>
      <c r="K1425" s="606"/>
      <c r="L1425" s="193"/>
      <c r="M1425" s="193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94"/>
    </row>
    <row r="1426" spans="1:27" ht="15.75" customHeight="1">
      <c r="A1426" s="199" t="str">
        <f>IF(B1426&lt;&gt;"",IF(AND(B1426&gt;=_TM1,B1426&lt;=_TM2,OR(TH!L1426="1111",TH!M1426="1111")),TH!D1426,""),"")</f>
        <v/>
      </c>
      <c r="B1426" s="36" t="str">
        <f t="shared" si="47"/>
        <v/>
      </c>
      <c r="C1426" s="190"/>
      <c r="D1426" s="190"/>
      <c r="E1426" s="190"/>
      <c r="F1426" s="191"/>
      <c r="G1426" s="491"/>
      <c r="H1426" s="192"/>
      <c r="I1426" s="254"/>
      <c r="J1426" s="254"/>
      <c r="K1426" s="606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94"/>
    </row>
    <row r="1427" spans="1:27" ht="15.75" customHeight="1">
      <c r="A1427" s="199" t="str">
        <f>IF(B1427&lt;&gt;"",IF(AND(B1427&gt;=_TM1,B1427&lt;=_TM2,OR(TH!L1427="1111",TH!M1427="1111")),TH!D1427,""),"")</f>
        <v/>
      </c>
      <c r="B1427" s="36" t="str">
        <f t="shared" si="47"/>
        <v/>
      </c>
      <c r="C1427" s="37"/>
      <c r="D1427" s="37"/>
      <c r="E1427" s="37"/>
      <c r="F1427" s="40"/>
      <c r="G1427" s="40"/>
      <c r="H1427" s="7"/>
      <c r="I1427" s="253"/>
      <c r="J1427" s="253"/>
      <c r="K1427" s="606"/>
      <c r="L1427" s="39"/>
      <c r="M1427" s="39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94"/>
    </row>
    <row r="1428" spans="1:27" ht="15.75" customHeight="1">
      <c r="A1428" s="199" t="str">
        <f>IF(B1428&lt;&gt;"",IF(AND(B1428&gt;=_TM1,B1428&lt;=_TM2,OR(TH!L1428="1111",TH!M1428="1111")),TH!D1428,""),"")</f>
        <v/>
      </c>
      <c r="B1428" s="36" t="str">
        <f t="shared" si="47"/>
        <v/>
      </c>
      <c r="C1428" s="37"/>
      <c r="D1428" s="37"/>
      <c r="E1428" s="37"/>
      <c r="F1428" s="40"/>
      <c r="G1428" s="40"/>
      <c r="H1428" s="7"/>
      <c r="I1428" s="253"/>
      <c r="J1428" s="253"/>
      <c r="K1428" s="606"/>
      <c r="L1428" s="39"/>
      <c r="M1428" s="39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94"/>
    </row>
    <row r="1429" spans="1:27" ht="15.75" customHeight="1">
      <c r="A1429" s="199" t="str">
        <f>IF(B1429&lt;&gt;"",IF(AND(B1429&gt;=_TM1,B1429&lt;=_TM2,OR(TH!L1429="1111",TH!M1429="1111")),TH!D1429,""),"")</f>
        <v/>
      </c>
      <c r="B1429" s="36" t="str">
        <f t="shared" si="47"/>
        <v/>
      </c>
      <c r="C1429" s="190"/>
      <c r="D1429" s="190"/>
      <c r="E1429" s="190"/>
      <c r="F1429" s="191"/>
      <c r="G1429" s="491"/>
      <c r="H1429" s="7"/>
      <c r="I1429" s="253"/>
      <c r="J1429" s="253"/>
      <c r="K1429" s="606"/>
      <c r="L1429" s="193"/>
      <c r="M1429" s="193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94"/>
    </row>
    <row r="1430" spans="1:27" ht="15.75" customHeight="1">
      <c r="A1430" s="199" t="str">
        <f>IF(B1430&lt;&gt;"",IF(AND(B1430&gt;=_TM1,B1430&lt;=_TM2,OR(TH!L1430="1111",TH!M1430="1111")),TH!D1430,""),"")</f>
        <v/>
      </c>
      <c r="B1430" s="36" t="str">
        <f t="shared" si="47"/>
        <v/>
      </c>
      <c r="C1430" s="190"/>
      <c r="D1430" s="190"/>
      <c r="E1430" s="190"/>
      <c r="F1430" s="191"/>
      <c r="G1430" s="491"/>
      <c r="H1430" s="7"/>
      <c r="I1430" s="253"/>
      <c r="J1430" s="253"/>
      <c r="K1430" s="606"/>
      <c r="L1430" s="193"/>
      <c r="M1430" s="193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94"/>
    </row>
    <row r="1431" spans="1:27" ht="15.75" customHeight="1">
      <c r="A1431" s="199" t="str">
        <f>IF(B1431&lt;&gt;"",IF(AND(B1431&gt;=_TM1,B1431&lt;=_TM2,OR(TH!L1431="1111",TH!M1431="1111")),TH!D1431,""),"")</f>
        <v/>
      </c>
      <c r="B1431" s="36" t="str">
        <f t="shared" si="47"/>
        <v/>
      </c>
      <c r="C1431" s="190"/>
      <c r="D1431" s="190"/>
      <c r="E1431" s="190"/>
      <c r="F1431" s="191"/>
      <c r="G1431" s="491"/>
      <c r="H1431" s="7"/>
      <c r="I1431" s="253"/>
      <c r="J1431" s="253"/>
      <c r="K1431" s="606"/>
      <c r="L1431" s="193"/>
      <c r="M1431" s="193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94"/>
    </row>
    <row r="1432" spans="1:27" ht="15.75" customHeight="1">
      <c r="A1432" s="199" t="str">
        <f>IF(B1432&lt;&gt;"",IF(AND(B1432&gt;=_TM1,B1432&lt;=_TM2,OR(TH!L1432="1111",TH!M1432="1111")),TH!D1432,""),"")</f>
        <v/>
      </c>
      <c r="B1432" s="36" t="str">
        <f t="shared" si="47"/>
        <v/>
      </c>
      <c r="C1432" s="190"/>
      <c r="D1432" s="190"/>
      <c r="E1432" s="190"/>
      <c r="F1432" s="191"/>
      <c r="G1432" s="491"/>
      <c r="H1432" s="7"/>
      <c r="I1432" s="253"/>
      <c r="J1432" s="253"/>
      <c r="K1432" s="606"/>
      <c r="L1432" s="193"/>
      <c r="M1432" s="193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94"/>
    </row>
    <row r="1433" spans="1:27" ht="15.75" customHeight="1">
      <c r="A1433" s="199" t="str">
        <f>IF(B1433&lt;&gt;"",IF(AND(B1433&gt;=_TM1,B1433&lt;=_TM2,OR(TH!L1433="1111",TH!M1433="1111")),TH!D1433,""),"")</f>
        <v/>
      </c>
      <c r="B1433" s="36" t="str">
        <f t="shared" ref="B1433:B1496" si="48">IF(C1433&lt;&gt;"",MONTH(C1433),"")</f>
        <v/>
      </c>
      <c r="C1433" s="190"/>
      <c r="D1433" s="190"/>
      <c r="E1433" s="190"/>
      <c r="F1433" s="191"/>
      <c r="G1433" s="491"/>
      <c r="H1433" s="7"/>
      <c r="I1433" s="253"/>
      <c r="J1433" s="253"/>
      <c r="K1433" s="606"/>
      <c r="L1433" s="193"/>
      <c r="M1433" s="193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94"/>
    </row>
    <row r="1434" spans="1:27" ht="15.75" customHeight="1">
      <c r="A1434" s="199" t="str">
        <f>IF(B1434&lt;&gt;"",IF(AND(B1434&gt;=_TM1,B1434&lt;=_TM2,OR(TH!L1434="1111",TH!M1434="1111")),TH!D1434,""),"")</f>
        <v/>
      </c>
      <c r="B1434" s="36" t="str">
        <f t="shared" si="48"/>
        <v/>
      </c>
      <c r="C1434" s="190"/>
      <c r="D1434" s="190"/>
      <c r="E1434" s="190"/>
      <c r="F1434" s="191"/>
      <c r="G1434" s="491"/>
      <c r="H1434" s="7"/>
      <c r="I1434" s="253"/>
      <c r="J1434" s="253"/>
      <c r="K1434" s="606"/>
      <c r="L1434" s="193"/>
      <c r="M1434" s="193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94"/>
    </row>
    <row r="1435" spans="1:27" ht="15.75" customHeight="1">
      <c r="A1435" s="199" t="str">
        <f>IF(B1435&lt;&gt;"",IF(AND(B1435&gt;=_TM1,B1435&lt;=_TM2,OR(TH!L1435="1111",TH!M1435="1111")),TH!D1435,""),"")</f>
        <v/>
      </c>
      <c r="B1435" s="36" t="str">
        <f t="shared" si="48"/>
        <v/>
      </c>
      <c r="C1435" s="190"/>
      <c r="D1435" s="190"/>
      <c r="E1435" s="190"/>
      <c r="F1435" s="191"/>
      <c r="G1435" s="491"/>
      <c r="H1435" s="7"/>
      <c r="I1435" s="253"/>
      <c r="J1435" s="253"/>
      <c r="K1435" s="606"/>
      <c r="L1435" s="193"/>
      <c r="M1435" s="193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94"/>
    </row>
    <row r="1436" spans="1:27" ht="15.75" customHeight="1">
      <c r="A1436" s="199" t="str">
        <f>IF(B1436&lt;&gt;"",IF(AND(B1436&gt;=_TM1,B1436&lt;=_TM2,OR(TH!L1436="1111",TH!M1436="1111")),TH!D1436,""),"")</f>
        <v/>
      </c>
      <c r="B1436" s="36" t="str">
        <f t="shared" si="48"/>
        <v/>
      </c>
      <c r="C1436" s="190"/>
      <c r="D1436" s="190"/>
      <c r="E1436" s="190"/>
      <c r="F1436" s="191"/>
      <c r="G1436" s="491"/>
      <c r="H1436" s="7"/>
      <c r="I1436" s="253"/>
      <c r="J1436" s="253"/>
      <c r="K1436" s="38"/>
      <c r="L1436" s="193"/>
      <c r="M1436" s="193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94"/>
    </row>
    <row r="1437" spans="1:27" ht="15.75" customHeight="1">
      <c r="A1437" s="199" t="str">
        <f>IF(B1437&lt;&gt;"",IF(AND(B1437&gt;=_TM1,B1437&lt;=_TM2,OR(TH!L1437="1111",TH!M1437="1111")),TH!D1437,""),"")</f>
        <v/>
      </c>
      <c r="B1437" s="36" t="str">
        <f t="shared" si="48"/>
        <v/>
      </c>
      <c r="C1437" s="190"/>
      <c r="D1437" s="190"/>
      <c r="E1437" s="190"/>
      <c r="F1437" s="191"/>
      <c r="G1437" s="491"/>
      <c r="H1437" s="7"/>
      <c r="I1437" s="253"/>
      <c r="J1437" s="253"/>
      <c r="K1437" s="606"/>
      <c r="L1437" s="193"/>
      <c r="M1437" s="193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94"/>
    </row>
    <row r="1438" spans="1:27" ht="15.75" customHeight="1">
      <c r="A1438" s="199" t="str">
        <f>IF(B1438&lt;&gt;"",IF(AND(B1438&gt;=_TM1,B1438&lt;=_TM2,OR(TH!L1438="1111",TH!M1438="1111")),TH!D1438,""),"")</f>
        <v/>
      </c>
      <c r="B1438" s="36" t="str">
        <f t="shared" si="48"/>
        <v/>
      </c>
      <c r="C1438" s="190"/>
      <c r="D1438" s="190"/>
      <c r="E1438" s="190"/>
      <c r="F1438" s="191"/>
      <c r="G1438" s="491"/>
      <c r="H1438" s="7"/>
      <c r="I1438" s="253"/>
      <c r="J1438" s="253"/>
      <c r="K1438" s="606"/>
      <c r="L1438" s="193"/>
      <c r="M1438" s="193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94"/>
    </row>
    <row r="1439" spans="1:27" ht="15.75" customHeight="1">
      <c r="A1439" s="199" t="str">
        <f>IF(B1439&lt;&gt;"",IF(AND(B1439&gt;=_TM1,B1439&lt;=_TM2,OR(TH!L1439="1111",TH!M1439="1111")),TH!D1439,""),"")</f>
        <v/>
      </c>
      <c r="B1439" s="36" t="str">
        <f t="shared" si="48"/>
        <v/>
      </c>
      <c r="C1439" s="190"/>
      <c r="D1439" s="190"/>
      <c r="E1439" s="190"/>
      <c r="F1439" s="191"/>
      <c r="G1439" s="491"/>
      <c r="H1439" s="7"/>
      <c r="I1439" s="254"/>
      <c r="J1439" s="254"/>
      <c r="K1439" s="606"/>
      <c r="L1439" s="193"/>
      <c r="M1439" s="193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94"/>
    </row>
    <row r="1440" spans="1:27" ht="15.75" customHeight="1">
      <c r="A1440" s="199" t="str">
        <f>IF(B1440&lt;&gt;"",IF(AND(B1440&gt;=_TM1,B1440&lt;=_TM2,OR(TH!L1440="1111",TH!M1440="1111")),TH!D1440,""),"")</f>
        <v/>
      </c>
      <c r="B1440" s="36" t="str">
        <f t="shared" si="48"/>
        <v/>
      </c>
      <c r="C1440" s="190"/>
      <c r="D1440" s="190"/>
      <c r="E1440" s="190"/>
      <c r="F1440" s="191"/>
      <c r="G1440" s="491"/>
      <c r="H1440" s="7"/>
      <c r="I1440" s="253"/>
      <c r="J1440" s="253"/>
      <c r="K1440" s="606"/>
      <c r="L1440" s="193"/>
      <c r="M1440" s="193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94"/>
    </row>
    <row r="1441" spans="1:27" ht="15.75" customHeight="1">
      <c r="A1441" s="199" t="str">
        <f>IF(B1441&lt;&gt;"",IF(AND(B1441&gt;=_TM1,B1441&lt;=_TM2,OR(TH!L1441="1111",TH!M1441="1111")),TH!D1441,""),"")</f>
        <v/>
      </c>
      <c r="B1441" s="36" t="str">
        <f t="shared" si="48"/>
        <v/>
      </c>
      <c r="C1441" s="190"/>
      <c r="D1441" s="190"/>
      <c r="E1441" s="190"/>
      <c r="F1441" s="191"/>
      <c r="G1441" s="491"/>
      <c r="H1441" s="7"/>
      <c r="I1441" s="253"/>
      <c r="J1441" s="253"/>
      <c r="K1441" s="606"/>
      <c r="L1441" s="193"/>
      <c r="M1441" s="193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94"/>
    </row>
    <row r="1442" spans="1:27" ht="15.75" customHeight="1">
      <c r="A1442" s="199" t="str">
        <f>IF(B1442&lt;&gt;"",IF(AND(B1442&gt;=_TM1,B1442&lt;=_TM2,OR(TH!L1442="1111",TH!M1442="1111")),TH!D1442,""),"")</f>
        <v/>
      </c>
      <c r="B1442" s="36" t="str">
        <f t="shared" si="48"/>
        <v/>
      </c>
      <c r="C1442" s="190"/>
      <c r="D1442" s="190"/>
      <c r="E1442" s="190"/>
      <c r="F1442" s="191"/>
      <c r="G1442" s="491"/>
      <c r="H1442" s="7"/>
      <c r="I1442" s="254"/>
      <c r="J1442" s="254"/>
      <c r="K1442" s="606"/>
      <c r="L1442" s="193"/>
      <c r="M1442" s="193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94"/>
    </row>
    <row r="1443" spans="1:27" ht="15.75" customHeight="1">
      <c r="A1443" s="199" t="str">
        <f>IF(B1443&lt;&gt;"",IF(AND(B1443&gt;=_TM1,B1443&lt;=_TM2,OR(TH!L1443="1111",TH!M1443="1111")),TH!D1443,""),"")</f>
        <v/>
      </c>
      <c r="B1443" s="36" t="str">
        <f t="shared" si="48"/>
        <v/>
      </c>
      <c r="C1443" s="190"/>
      <c r="D1443" s="190"/>
      <c r="E1443" s="190"/>
      <c r="F1443" s="191"/>
      <c r="G1443" s="491"/>
      <c r="H1443" s="7"/>
      <c r="I1443" s="253"/>
      <c r="J1443" s="253"/>
      <c r="K1443" s="606"/>
      <c r="L1443" s="193"/>
      <c r="M1443" s="193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94"/>
    </row>
    <row r="1444" spans="1:27" ht="15.75" customHeight="1">
      <c r="A1444" s="199" t="str">
        <f>IF(B1444&lt;&gt;"",IF(AND(B1444&gt;=_TM1,B1444&lt;=_TM2,OR(TH!L1444="1111",TH!M1444="1111")),TH!D1444,""),"")</f>
        <v/>
      </c>
      <c r="B1444" s="36" t="str">
        <f t="shared" si="48"/>
        <v/>
      </c>
      <c r="C1444" s="190"/>
      <c r="D1444" s="190"/>
      <c r="E1444" s="190"/>
      <c r="F1444" s="191"/>
      <c r="G1444" s="491"/>
      <c r="H1444" s="7"/>
      <c r="I1444" s="253"/>
      <c r="J1444" s="253"/>
      <c r="K1444" s="606"/>
      <c r="L1444" s="193"/>
      <c r="M1444" s="193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94"/>
    </row>
    <row r="1445" spans="1:27" ht="15.75" customHeight="1">
      <c r="A1445" s="199" t="str">
        <f>IF(B1445&lt;&gt;"",IF(AND(B1445&gt;=_TM1,B1445&lt;=_TM2,OR(TH!L1445="1111",TH!M1445="1111")),TH!D1445,""),"")</f>
        <v/>
      </c>
      <c r="B1445" s="36" t="str">
        <f t="shared" si="48"/>
        <v/>
      </c>
      <c r="C1445" s="190"/>
      <c r="D1445" s="190"/>
      <c r="E1445" s="190"/>
      <c r="F1445" s="191"/>
      <c r="G1445" s="491"/>
      <c r="H1445" s="7"/>
      <c r="I1445" s="253"/>
      <c r="J1445" s="253"/>
      <c r="K1445" s="38"/>
      <c r="L1445" s="193"/>
      <c r="M1445" s="193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94"/>
    </row>
    <row r="1446" spans="1:27" ht="15.75" customHeight="1">
      <c r="A1446" s="199" t="str">
        <f>IF(B1446&lt;&gt;"",IF(AND(B1446&gt;=_TM1,B1446&lt;=_TM2,OR(TH!L1446="1111",TH!M1446="1111")),TH!D1446,""),"")</f>
        <v/>
      </c>
      <c r="B1446" s="36" t="str">
        <f t="shared" si="48"/>
        <v/>
      </c>
      <c r="C1446" s="37"/>
      <c r="D1446" s="37"/>
      <c r="E1446" s="37"/>
      <c r="F1446" s="40"/>
      <c r="G1446" s="40"/>
      <c r="H1446" s="7"/>
      <c r="I1446" s="253"/>
      <c r="J1446" s="253"/>
      <c r="K1446" s="606"/>
      <c r="L1446" s="39"/>
      <c r="M1446" s="39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94"/>
    </row>
    <row r="1447" spans="1:27" ht="15.75" customHeight="1">
      <c r="A1447" s="199" t="str">
        <f>IF(B1447&lt;&gt;"",IF(AND(B1447&gt;=_TM1,B1447&lt;=_TM2,OR(TH!L1447="1111",TH!M1447="1111")),TH!D1447,""),"")</f>
        <v/>
      </c>
      <c r="B1447" s="36" t="str">
        <f t="shared" si="48"/>
        <v/>
      </c>
      <c r="C1447" s="37"/>
      <c r="D1447" s="37"/>
      <c r="E1447" s="37"/>
      <c r="F1447" s="40"/>
      <c r="G1447" s="40"/>
      <c r="H1447" s="7"/>
      <c r="I1447" s="253"/>
      <c r="J1447" s="253"/>
      <c r="K1447" s="606"/>
      <c r="L1447" s="39"/>
      <c r="M1447" s="39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94"/>
    </row>
    <row r="1448" spans="1:27" ht="15.75" customHeight="1">
      <c r="A1448" s="199" t="str">
        <f>IF(B1448&lt;&gt;"",IF(AND(B1448&gt;=_TM1,B1448&lt;=_TM2,OR(TH!L1448="1111",TH!M1448="1111")),TH!D1448,""),"")</f>
        <v/>
      </c>
      <c r="B1448" s="36" t="str">
        <f t="shared" si="48"/>
        <v/>
      </c>
      <c r="C1448" s="37"/>
      <c r="D1448" s="37"/>
      <c r="E1448" s="37"/>
      <c r="F1448" s="40"/>
      <c r="G1448" s="40"/>
      <c r="H1448" s="7"/>
      <c r="I1448" s="253"/>
      <c r="J1448" s="253"/>
      <c r="K1448" s="606"/>
      <c r="L1448" s="39"/>
      <c r="M1448" s="39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94"/>
    </row>
    <row r="1449" spans="1:27" ht="15.75" customHeight="1">
      <c r="A1449" s="199" t="str">
        <f>IF(B1449&lt;&gt;"",IF(AND(B1449&gt;=_TM1,B1449&lt;=_TM2,OR(TH!L1449="1111",TH!M1449="1111")),TH!D1449,""),"")</f>
        <v/>
      </c>
      <c r="B1449" s="36" t="str">
        <f t="shared" si="48"/>
        <v/>
      </c>
      <c r="C1449" s="37"/>
      <c r="D1449" s="37"/>
      <c r="E1449" s="37"/>
      <c r="F1449" s="40"/>
      <c r="G1449" s="40"/>
      <c r="H1449" s="7"/>
      <c r="I1449" s="253"/>
      <c r="J1449" s="253"/>
      <c r="K1449" s="606"/>
      <c r="L1449" s="39"/>
      <c r="M1449" s="39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94"/>
    </row>
    <row r="1450" spans="1:27" ht="15.75" customHeight="1">
      <c r="A1450" s="199" t="str">
        <f>IF(B1450&lt;&gt;"",IF(AND(B1450&gt;=_TM1,B1450&lt;=_TM2,OR(TH!L1450="1111",TH!M1450="1111")),TH!D1450,""),"")</f>
        <v/>
      </c>
      <c r="B1450" s="36" t="str">
        <f t="shared" si="48"/>
        <v/>
      </c>
      <c r="C1450" s="37"/>
      <c r="D1450" s="37"/>
      <c r="E1450" s="37"/>
      <c r="F1450" s="40"/>
      <c r="G1450" s="40"/>
      <c r="H1450" s="7"/>
      <c r="I1450" s="253"/>
      <c r="J1450" s="253"/>
      <c r="K1450" s="606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94"/>
    </row>
    <row r="1451" spans="1:27" ht="15.75" customHeight="1">
      <c r="A1451" s="199" t="str">
        <f>IF(B1451&lt;&gt;"",IF(AND(B1451&gt;=_TM1,B1451&lt;=_TM2,OR(TH!L1451="1111",TH!M1451="1111")),TH!D1451,""),"")</f>
        <v/>
      </c>
      <c r="B1451" s="36" t="str">
        <f t="shared" si="48"/>
        <v/>
      </c>
      <c r="C1451" s="37"/>
      <c r="D1451" s="37"/>
      <c r="E1451" s="37"/>
      <c r="F1451" s="40"/>
      <c r="G1451" s="40"/>
      <c r="H1451" s="7"/>
      <c r="I1451" s="253"/>
      <c r="J1451" s="253"/>
      <c r="K1451" s="606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94"/>
    </row>
    <row r="1452" spans="1:27" ht="15.75" customHeight="1">
      <c r="A1452" s="199" t="str">
        <f>IF(B1452&lt;&gt;"",IF(AND(B1452&gt;=_TM1,B1452&lt;=_TM2,OR(TH!L1452="1111",TH!M1452="1111")),TH!D1452,""),"")</f>
        <v/>
      </c>
      <c r="B1452" s="36" t="str">
        <f t="shared" si="48"/>
        <v/>
      </c>
      <c r="C1452" s="37"/>
      <c r="D1452" s="37"/>
      <c r="E1452" s="37"/>
      <c r="F1452" s="40"/>
      <c r="G1452" s="40"/>
      <c r="H1452" s="7"/>
      <c r="I1452" s="253"/>
      <c r="J1452" s="253"/>
      <c r="K1452" s="606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94"/>
    </row>
    <row r="1453" spans="1:27" ht="15.75" customHeight="1">
      <c r="A1453" s="199" t="str">
        <f>IF(B1453&lt;&gt;"",IF(AND(B1453&gt;=_TM1,B1453&lt;=_TM2,OR(TH!L1453="1111",TH!M1453="1111")),TH!D1453,""),"")</f>
        <v/>
      </c>
      <c r="B1453" s="36" t="str">
        <f t="shared" si="48"/>
        <v/>
      </c>
      <c r="C1453" s="37"/>
      <c r="D1453" s="37"/>
      <c r="E1453" s="37"/>
      <c r="F1453" s="40"/>
      <c r="G1453" s="40"/>
      <c r="H1453" s="7"/>
      <c r="I1453" s="253"/>
      <c r="J1453" s="253"/>
      <c r="K1453" s="606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94"/>
    </row>
    <row r="1454" spans="1:27" ht="15.75" customHeight="1">
      <c r="A1454" s="199" t="str">
        <f>IF(B1454&lt;&gt;"",IF(AND(B1454&gt;=_TM1,B1454&lt;=_TM2,OR(TH!L1454="1111",TH!M1454="1111")),TH!D1454,""),"")</f>
        <v/>
      </c>
      <c r="B1454" s="36" t="str">
        <f t="shared" si="48"/>
        <v/>
      </c>
      <c r="C1454" s="37"/>
      <c r="D1454" s="37"/>
      <c r="E1454" s="37"/>
      <c r="F1454" s="40"/>
      <c r="G1454" s="40"/>
      <c r="H1454" s="7"/>
      <c r="I1454" s="253"/>
      <c r="J1454" s="253"/>
      <c r="K1454" s="606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94"/>
    </row>
    <row r="1455" spans="1:27" ht="15.75" customHeight="1">
      <c r="A1455" s="199" t="str">
        <f>IF(B1455&lt;&gt;"",IF(AND(B1455&gt;=_TM1,B1455&lt;=_TM2,OR(TH!L1455="1111",TH!M1455="1111")),TH!D1455,""),"")</f>
        <v/>
      </c>
      <c r="B1455" s="36" t="str">
        <f t="shared" si="48"/>
        <v/>
      </c>
      <c r="C1455" s="37"/>
      <c r="D1455" s="37"/>
      <c r="E1455" s="37"/>
      <c r="F1455" s="40"/>
      <c r="G1455" s="40"/>
      <c r="H1455" s="7"/>
      <c r="I1455" s="253"/>
      <c r="J1455" s="253"/>
      <c r="K1455" s="606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94"/>
    </row>
    <row r="1456" spans="1:27" ht="15.75" customHeight="1">
      <c r="A1456" s="199" t="str">
        <f>IF(B1456&lt;&gt;"",IF(AND(B1456&gt;=_TM1,B1456&lt;=_TM2,OR(TH!L1456="1111",TH!M1456="1111")),TH!D1456,""),"")</f>
        <v/>
      </c>
      <c r="B1456" s="36" t="str">
        <f t="shared" si="48"/>
        <v/>
      </c>
      <c r="C1456" s="37"/>
      <c r="D1456" s="37"/>
      <c r="E1456" s="37"/>
      <c r="F1456" s="40"/>
      <c r="G1456" s="40"/>
      <c r="H1456" s="7"/>
      <c r="I1456" s="253"/>
      <c r="J1456" s="253"/>
      <c r="K1456" s="606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94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48"/>
        <v/>
      </c>
      <c r="C1457" s="37"/>
      <c r="D1457" s="37"/>
      <c r="E1457" s="37"/>
      <c r="F1457" s="40"/>
      <c r="G1457" s="40"/>
      <c r="H1457" s="7"/>
      <c r="I1457" s="253"/>
      <c r="J1457" s="253"/>
      <c r="K1457" s="606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94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48"/>
        <v/>
      </c>
      <c r="C1458" s="37"/>
      <c r="D1458" s="37"/>
      <c r="E1458" s="37"/>
      <c r="F1458" s="40"/>
      <c r="G1458" s="40"/>
      <c r="H1458" s="7"/>
      <c r="I1458" s="253"/>
      <c r="J1458" s="253"/>
      <c r="K1458" s="606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94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48"/>
        <v/>
      </c>
      <c r="C1459" s="37"/>
      <c r="D1459" s="37"/>
      <c r="E1459" s="37"/>
      <c r="F1459" s="40"/>
      <c r="G1459" s="40"/>
      <c r="H1459" s="7"/>
      <c r="I1459" s="253"/>
      <c r="J1459" s="253"/>
      <c r="K1459" s="606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94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48"/>
        <v/>
      </c>
      <c r="C1460" s="37"/>
      <c r="D1460" s="37"/>
      <c r="E1460" s="37"/>
      <c r="F1460" s="40"/>
      <c r="G1460" s="40"/>
      <c r="H1460" s="7"/>
      <c r="I1460" s="253"/>
      <c r="J1460" s="253"/>
      <c r="K1460" s="606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94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48"/>
        <v/>
      </c>
      <c r="C1461" s="37"/>
      <c r="D1461" s="37"/>
      <c r="E1461" s="37"/>
      <c r="F1461" s="40"/>
      <c r="G1461" s="40"/>
      <c r="H1461" s="7"/>
      <c r="I1461" s="253"/>
      <c r="J1461" s="253"/>
      <c r="K1461" s="606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94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48"/>
        <v/>
      </c>
      <c r="C1462" s="37"/>
      <c r="D1462" s="37"/>
      <c r="E1462" s="37"/>
      <c r="F1462" s="40"/>
      <c r="G1462" s="40"/>
      <c r="H1462" s="7"/>
      <c r="I1462" s="253"/>
      <c r="J1462" s="253"/>
      <c r="K1462" s="606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94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si="48"/>
        <v/>
      </c>
      <c r="C1463" s="37"/>
      <c r="D1463" s="37"/>
      <c r="E1463" s="37"/>
      <c r="F1463" s="40"/>
      <c r="G1463" s="40"/>
      <c r="H1463" s="7"/>
      <c r="I1463" s="253"/>
      <c r="J1463" s="253"/>
      <c r="K1463" s="606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94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si="48"/>
        <v/>
      </c>
      <c r="C1464" s="37"/>
      <c r="D1464" s="37"/>
      <c r="E1464" s="37"/>
      <c r="F1464" s="40"/>
      <c r="G1464" s="40"/>
      <c r="H1464" s="7"/>
      <c r="I1464" s="253"/>
      <c r="J1464" s="253"/>
      <c r="K1464" s="606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94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48"/>
        <v/>
      </c>
      <c r="C1465" s="37"/>
      <c r="D1465" s="37"/>
      <c r="E1465" s="37"/>
      <c r="F1465" s="40"/>
      <c r="G1465" s="40"/>
      <c r="H1465" s="7"/>
      <c r="I1465" s="253"/>
      <c r="J1465" s="253"/>
      <c r="K1465" s="606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94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si="48"/>
        <v/>
      </c>
      <c r="C1466" s="37"/>
      <c r="D1466" s="37"/>
      <c r="E1466" s="37"/>
      <c r="F1466" s="40"/>
      <c r="G1466" s="40"/>
      <c r="H1466" s="7"/>
      <c r="I1466" s="253"/>
      <c r="J1466" s="253"/>
      <c r="K1466" s="606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94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si="48"/>
        <v/>
      </c>
      <c r="C1467" s="37"/>
      <c r="D1467" s="37"/>
      <c r="E1467" s="37"/>
      <c r="F1467" s="40"/>
      <c r="G1467" s="40"/>
      <c r="H1467" s="7"/>
      <c r="I1467" s="253"/>
      <c r="J1467" s="253"/>
      <c r="K1467" s="606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94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48"/>
        <v/>
      </c>
      <c r="C1468" s="37"/>
      <c r="D1468" s="37"/>
      <c r="E1468" s="37"/>
      <c r="F1468" s="40"/>
      <c r="G1468" s="40"/>
      <c r="H1468" s="7"/>
      <c r="I1468" s="253"/>
      <c r="J1468" s="253"/>
      <c r="K1468" s="606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94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si="48"/>
        <v/>
      </c>
      <c r="C1469" s="37"/>
      <c r="D1469" s="37"/>
      <c r="E1469" s="37"/>
      <c r="F1469" s="40"/>
      <c r="G1469" s="40"/>
      <c r="H1469" s="7"/>
      <c r="I1469" s="253"/>
      <c r="J1469" s="253"/>
      <c r="K1469" s="606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94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48"/>
        <v/>
      </c>
      <c r="C1470" s="37"/>
      <c r="D1470" s="37"/>
      <c r="E1470" s="37"/>
      <c r="F1470" s="40"/>
      <c r="G1470" s="40"/>
      <c r="H1470" s="7"/>
      <c r="I1470" s="253"/>
      <c r="J1470" s="253"/>
      <c r="K1470" s="606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94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48"/>
        <v/>
      </c>
      <c r="C1471" s="37"/>
      <c r="D1471" s="37"/>
      <c r="E1471" s="37"/>
      <c r="F1471" s="40"/>
      <c r="G1471" s="40"/>
      <c r="H1471" s="7"/>
      <c r="I1471" s="253"/>
      <c r="J1471" s="253"/>
      <c r="K1471" s="606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94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48"/>
        <v/>
      </c>
      <c r="C1472" s="37"/>
      <c r="D1472" s="37"/>
      <c r="E1472" s="37"/>
      <c r="F1472" s="40"/>
      <c r="G1472" s="40"/>
      <c r="H1472" s="7"/>
      <c r="I1472" s="253"/>
      <c r="J1472" s="253"/>
      <c r="K1472" s="606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94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48"/>
        <v/>
      </c>
      <c r="C1473" s="37"/>
      <c r="D1473" s="37"/>
      <c r="E1473" s="37"/>
      <c r="F1473" s="40"/>
      <c r="G1473" s="40"/>
      <c r="H1473" s="7"/>
      <c r="I1473" s="253"/>
      <c r="J1473" s="253"/>
      <c r="K1473" s="606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94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48"/>
        <v/>
      </c>
      <c r="C1474" s="37"/>
      <c r="D1474" s="37"/>
      <c r="E1474" s="37"/>
      <c r="F1474" s="40"/>
      <c r="G1474" s="40"/>
      <c r="H1474" s="7"/>
      <c r="I1474" s="253"/>
      <c r="J1474" s="253"/>
      <c r="K1474" s="606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94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48"/>
        <v/>
      </c>
      <c r="C1475" s="37"/>
      <c r="D1475" s="37"/>
      <c r="E1475" s="37"/>
      <c r="F1475" s="40"/>
      <c r="G1475" s="40"/>
      <c r="H1475" s="7"/>
      <c r="I1475" s="253"/>
      <c r="J1475" s="253"/>
      <c r="K1475" s="606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94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48"/>
        <v/>
      </c>
      <c r="C1476" s="190"/>
      <c r="D1476" s="190"/>
      <c r="E1476" s="190"/>
      <c r="F1476" s="191"/>
      <c r="G1476" s="491"/>
      <c r="H1476" s="7"/>
      <c r="I1476" s="253"/>
      <c r="J1476" s="253"/>
      <c r="K1476" s="606"/>
      <c r="L1476" s="193"/>
      <c r="M1476" s="193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94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48"/>
        <v/>
      </c>
      <c r="C1477" s="190"/>
      <c r="D1477" s="190"/>
      <c r="E1477" s="190"/>
      <c r="F1477" s="191"/>
      <c r="G1477" s="491"/>
      <c r="H1477" s="7"/>
      <c r="I1477" s="253"/>
      <c r="J1477" s="253"/>
      <c r="K1477" s="606"/>
      <c r="L1477" s="193"/>
      <c r="M1477" s="193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94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48"/>
        <v/>
      </c>
      <c r="C1478" s="190"/>
      <c r="D1478" s="190"/>
      <c r="E1478" s="190"/>
      <c r="F1478" s="191"/>
      <c r="G1478" s="491"/>
      <c r="H1478" s="7"/>
      <c r="I1478" s="253"/>
      <c r="J1478" s="253"/>
      <c r="K1478" s="606"/>
      <c r="L1478" s="193"/>
      <c r="M1478" s="193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94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48"/>
        <v/>
      </c>
      <c r="C1479" s="190"/>
      <c r="D1479" s="190"/>
      <c r="E1479" s="190"/>
      <c r="F1479" s="191"/>
      <c r="G1479" s="491"/>
      <c r="H1479" s="7"/>
      <c r="I1479" s="253"/>
      <c r="J1479" s="253"/>
      <c r="K1479" s="606"/>
      <c r="L1479" s="193"/>
      <c r="M1479" s="193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94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48"/>
        <v/>
      </c>
      <c r="C1480" s="190"/>
      <c r="D1480" s="190"/>
      <c r="E1480" s="190"/>
      <c r="F1480" s="191"/>
      <c r="G1480" s="491"/>
      <c r="H1480" s="7"/>
      <c r="I1480" s="254"/>
      <c r="J1480" s="254"/>
      <c r="K1480" s="606"/>
      <c r="L1480" s="193"/>
      <c r="M1480" s="193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94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48"/>
        <v/>
      </c>
      <c r="C1481" s="190"/>
      <c r="D1481" s="190"/>
      <c r="E1481" s="190"/>
      <c r="F1481" s="191"/>
      <c r="G1481" s="491"/>
      <c r="H1481" s="7"/>
      <c r="I1481" s="254"/>
      <c r="J1481" s="254"/>
      <c r="K1481" s="606"/>
      <c r="L1481" s="193"/>
      <c r="M1481" s="193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94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48"/>
        <v/>
      </c>
      <c r="C1482" s="190"/>
      <c r="D1482" s="190"/>
      <c r="E1482" s="190"/>
      <c r="F1482" s="191"/>
      <c r="G1482" s="491"/>
      <c r="H1482" s="7"/>
      <c r="I1482" s="253"/>
      <c r="J1482" s="253"/>
      <c r="K1482" s="606"/>
      <c r="L1482" s="193"/>
      <c r="M1482" s="193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94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48"/>
        <v/>
      </c>
      <c r="C1483" s="190"/>
      <c r="D1483" s="190"/>
      <c r="E1483" s="190"/>
      <c r="F1483" s="191"/>
      <c r="G1483" s="491"/>
      <c r="H1483" s="7"/>
      <c r="I1483" s="253"/>
      <c r="J1483" s="253"/>
      <c r="K1483" s="38"/>
      <c r="L1483" s="193"/>
      <c r="M1483" s="193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94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48"/>
        <v/>
      </c>
      <c r="C1484" s="37"/>
      <c r="D1484" s="37"/>
      <c r="E1484" s="37"/>
      <c r="F1484" s="40"/>
      <c r="G1484" s="40"/>
      <c r="H1484" s="7"/>
      <c r="I1484" s="253"/>
      <c r="J1484" s="253"/>
      <c r="K1484" s="606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94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si="48"/>
        <v/>
      </c>
      <c r="C1485" s="37"/>
      <c r="D1485" s="37"/>
      <c r="E1485" s="37"/>
      <c r="F1485" s="40"/>
      <c r="G1485" s="40"/>
      <c r="H1485" s="7"/>
      <c r="I1485" s="253"/>
      <c r="J1485" s="253"/>
      <c r="K1485" s="606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94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48"/>
        <v/>
      </c>
      <c r="C1486" s="37"/>
      <c r="D1486" s="37"/>
      <c r="E1486" s="37"/>
      <c r="F1486" s="40"/>
      <c r="G1486" s="40"/>
      <c r="H1486" s="7"/>
      <c r="I1486" s="253"/>
      <c r="J1486" s="253"/>
      <c r="K1486" s="606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94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48"/>
        <v/>
      </c>
      <c r="C1487" s="37"/>
      <c r="D1487" s="37"/>
      <c r="E1487" s="37"/>
      <c r="F1487" s="40"/>
      <c r="G1487" s="40"/>
      <c r="H1487" s="7"/>
      <c r="I1487" s="253"/>
      <c r="J1487" s="253"/>
      <c r="K1487" s="606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94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48"/>
        <v/>
      </c>
      <c r="C1488" s="37"/>
      <c r="D1488" s="37"/>
      <c r="E1488" s="37"/>
      <c r="F1488" s="40"/>
      <c r="G1488" s="40"/>
      <c r="H1488" s="7"/>
      <c r="I1488" s="253"/>
      <c r="J1488" s="253"/>
      <c r="K1488" s="606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94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48"/>
        <v/>
      </c>
      <c r="C1489" s="37"/>
      <c r="D1489" s="37"/>
      <c r="E1489" s="37"/>
      <c r="F1489" s="40"/>
      <c r="G1489" s="40"/>
      <c r="H1489" s="7"/>
      <c r="I1489" s="253"/>
      <c r="J1489" s="253"/>
      <c r="K1489" s="606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94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48"/>
        <v/>
      </c>
      <c r="C1490" s="37"/>
      <c r="D1490" s="37"/>
      <c r="E1490" s="37"/>
      <c r="F1490" s="40"/>
      <c r="G1490" s="40"/>
      <c r="H1490" s="7"/>
      <c r="I1490" s="253"/>
      <c r="J1490" s="253"/>
      <c r="K1490" s="606"/>
      <c r="L1490" s="39"/>
      <c r="M1490" s="39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94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48"/>
        <v/>
      </c>
      <c r="C1491" s="37"/>
      <c r="D1491" s="37"/>
      <c r="E1491" s="37"/>
      <c r="F1491" s="40"/>
      <c r="G1491" s="40"/>
      <c r="H1491" s="7"/>
      <c r="I1491" s="253"/>
      <c r="J1491" s="253"/>
      <c r="K1491" s="606"/>
      <c r="L1491" s="39"/>
      <c r="M1491" s="39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94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48"/>
        <v/>
      </c>
      <c r="C1492" s="37"/>
      <c r="D1492" s="37"/>
      <c r="E1492" s="37"/>
      <c r="F1492" s="40"/>
      <c r="G1492" s="40"/>
      <c r="H1492" s="7"/>
      <c r="I1492" s="253"/>
      <c r="J1492" s="253"/>
      <c r="K1492" s="606"/>
      <c r="L1492" s="39"/>
      <c r="M1492" s="39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94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48"/>
        <v/>
      </c>
      <c r="C1493" s="37"/>
      <c r="D1493" s="37"/>
      <c r="E1493" s="37"/>
      <c r="F1493" s="40"/>
      <c r="G1493" s="40"/>
      <c r="H1493" s="7"/>
      <c r="I1493" s="253"/>
      <c r="J1493" s="253"/>
      <c r="K1493" s="606"/>
      <c r="L1493" s="39"/>
      <c r="M1493" s="39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94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48"/>
        <v/>
      </c>
      <c r="C1494" s="37"/>
      <c r="D1494" s="37"/>
      <c r="E1494" s="37"/>
      <c r="F1494" s="40"/>
      <c r="G1494" s="40"/>
      <c r="H1494" s="7"/>
      <c r="I1494" s="253"/>
      <c r="J1494" s="253"/>
      <c r="K1494" s="606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94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48"/>
        <v/>
      </c>
      <c r="C1495" s="37"/>
      <c r="D1495" s="37"/>
      <c r="E1495" s="37"/>
      <c r="F1495" s="40"/>
      <c r="G1495" s="40"/>
      <c r="H1495" s="7"/>
      <c r="I1495" s="253"/>
      <c r="J1495" s="253"/>
      <c r="K1495" s="606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94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48"/>
        <v/>
      </c>
      <c r="C1496" s="37"/>
      <c r="D1496" s="37"/>
      <c r="E1496" s="37"/>
      <c r="F1496" s="40"/>
      <c r="G1496" s="40"/>
      <c r="H1496" s="7"/>
      <c r="I1496" s="253"/>
      <c r="J1496" s="253"/>
      <c r="K1496" s="606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94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ref="B1497:B1560" si="49">IF(C1497&lt;&gt;"",MONTH(C1497),"")</f>
        <v/>
      </c>
      <c r="C1497" s="37"/>
      <c r="D1497" s="37"/>
      <c r="E1497" s="37"/>
      <c r="F1497" s="40"/>
      <c r="G1497" s="40"/>
      <c r="H1497" s="7"/>
      <c r="I1497" s="253"/>
      <c r="J1497" s="253"/>
      <c r="K1497" s="606"/>
      <c r="L1497" s="39"/>
      <c r="M1497" s="3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94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si="49"/>
        <v/>
      </c>
      <c r="C1498" s="183"/>
      <c r="D1498" s="183"/>
      <c r="E1498" s="190"/>
      <c r="F1498" s="188"/>
      <c r="G1498" s="608"/>
      <c r="H1498" s="7"/>
      <c r="I1498" s="253"/>
      <c r="J1498" s="253"/>
      <c r="K1498" s="606"/>
      <c r="L1498" s="607"/>
      <c r="M1498" s="607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94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49"/>
        <v/>
      </c>
      <c r="C1499" s="183"/>
      <c r="D1499" s="183"/>
      <c r="E1499" s="190"/>
      <c r="F1499" s="188"/>
      <c r="G1499" s="608"/>
      <c r="H1499" s="7"/>
      <c r="I1499" s="253"/>
      <c r="J1499" s="253"/>
      <c r="K1499" s="606"/>
      <c r="L1499" s="607"/>
      <c r="M1499" s="607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94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49"/>
        <v/>
      </c>
      <c r="C1500" s="183"/>
      <c r="D1500" s="183"/>
      <c r="E1500" s="190"/>
      <c r="F1500" s="188"/>
      <c r="G1500" s="608"/>
      <c r="H1500" s="7"/>
      <c r="I1500" s="253"/>
      <c r="J1500" s="253"/>
      <c r="K1500" s="606"/>
      <c r="L1500" s="607"/>
      <c r="M1500" s="607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94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49"/>
        <v/>
      </c>
      <c r="C1501" s="37"/>
      <c r="D1501" s="37"/>
      <c r="E1501" s="776"/>
      <c r="F1501" s="188"/>
      <c r="G1501" s="40"/>
      <c r="H1501" s="7"/>
      <c r="I1501" s="253"/>
      <c r="J1501" s="253"/>
      <c r="K1501" s="606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94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49"/>
        <v/>
      </c>
      <c r="C1502" s="37"/>
      <c r="D1502" s="37"/>
      <c r="E1502" s="776"/>
      <c r="F1502" s="40"/>
      <c r="G1502" s="40"/>
      <c r="H1502" s="7"/>
      <c r="I1502" s="821"/>
      <c r="J1502" s="253"/>
      <c r="K1502" s="606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94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49"/>
        <v/>
      </c>
      <c r="C1503" s="37"/>
      <c r="D1503" s="37"/>
      <c r="E1503" s="776"/>
      <c r="F1503" s="188"/>
      <c r="G1503" s="40"/>
      <c r="H1503" s="7"/>
      <c r="I1503" s="253"/>
      <c r="J1503" s="253"/>
      <c r="K1503" s="606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94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49"/>
        <v/>
      </c>
      <c r="C1504" s="37"/>
      <c r="D1504" s="37"/>
      <c r="E1504" s="776"/>
      <c r="F1504" s="293"/>
      <c r="G1504" s="40"/>
      <c r="H1504" s="7"/>
      <c r="I1504" s="253"/>
      <c r="J1504" s="253"/>
      <c r="K1504" s="606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94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49"/>
        <v/>
      </c>
      <c r="C1505" s="37"/>
      <c r="D1505" s="37"/>
      <c r="E1505" s="776"/>
      <c r="F1505" s="40"/>
      <c r="G1505" s="40"/>
      <c r="H1505" s="7"/>
      <c r="I1505" s="253"/>
      <c r="J1505" s="253"/>
      <c r="K1505" s="606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94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49"/>
        <v/>
      </c>
      <c r="C1506" s="37"/>
      <c r="D1506" s="37"/>
      <c r="E1506" s="776"/>
      <c r="F1506" s="188"/>
      <c r="G1506" s="40"/>
      <c r="H1506" s="7"/>
      <c r="I1506" s="821"/>
      <c r="J1506" s="253"/>
      <c r="K1506" s="606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94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49"/>
        <v/>
      </c>
      <c r="C1507" s="37"/>
      <c r="D1507" s="37"/>
      <c r="E1507" s="776"/>
      <c r="F1507" s="40"/>
      <c r="G1507" s="40"/>
      <c r="H1507" s="7"/>
      <c r="I1507" s="821"/>
      <c r="J1507" s="253"/>
      <c r="K1507" s="606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94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49"/>
        <v/>
      </c>
      <c r="C1508" s="37"/>
      <c r="D1508" s="37"/>
      <c r="E1508" s="776"/>
      <c r="F1508" s="188"/>
      <c r="G1508" s="40"/>
      <c r="H1508" s="7"/>
      <c r="I1508" s="253"/>
      <c r="J1508" s="253"/>
      <c r="K1508" s="606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94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49"/>
        <v/>
      </c>
      <c r="C1509" s="37"/>
      <c r="D1509" s="37"/>
      <c r="E1509" s="776"/>
      <c r="F1509" s="188"/>
      <c r="G1509" s="40"/>
      <c r="H1509" s="7"/>
      <c r="I1509" s="253"/>
      <c r="J1509" s="253"/>
      <c r="K1509" s="606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94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49"/>
        <v/>
      </c>
      <c r="C1510" s="183"/>
      <c r="D1510" s="183"/>
      <c r="E1510" s="183"/>
      <c r="F1510" s="188"/>
      <c r="G1510" s="608"/>
      <c r="H1510" s="192"/>
      <c r="I1510" s="253"/>
      <c r="J1510" s="253"/>
      <c r="K1510" s="606"/>
      <c r="L1510" s="607"/>
      <c r="M1510" s="607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94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si="49"/>
        <v/>
      </c>
      <c r="C1511" s="37"/>
      <c r="D1511" s="37"/>
      <c r="E1511" s="776"/>
      <c r="F1511" s="40"/>
      <c r="G1511" s="40"/>
      <c r="H1511" s="7"/>
      <c r="I1511" s="253"/>
      <c r="J1511" s="253"/>
      <c r="K1511" s="606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94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49"/>
        <v/>
      </c>
      <c r="C1512" s="37"/>
      <c r="D1512" s="37"/>
      <c r="E1512" s="776"/>
      <c r="F1512" s="188"/>
      <c r="G1512" s="40"/>
      <c r="H1512" s="7"/>
      <c r="I1512" s="253"/>
      <c r="J1512" s="253"/>
      <c r="K1512" s="606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94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49"/>
        <v/>
      </c>
      <c r="C1513" s="37"/>
      <c r="D1513" s="37"/>
      <c r="E1513" s="776"/>
      <c r="F1513" s="188"/>
      <c r="G1513" s="40"/>
      <c r="H1513" s="7"/>
      <c r="I1513" s="253"/>
      <c r="J1513" s="253"/>
      <c r="K1513" s="606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94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49"/>
        <v/>
      </c>
      <c r="C1514" s="37"/>
      <c r="D1514" s="37"/>
      <c r="E1514" s="776"/>
      <c r="F1514" s="188"/>
      <c r="G1514" s="40"/>
      <c r="H1514" s="7"/>
      <c r="I1514" s="821"/>
      <c r="J1514" s="253"/>
      <c r="K1514" s="606"/>
      <c r="L1514" s="39"/>
      <c r="M1514" s="39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94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49"/>
        <v/>
      </c>
      <c r="C1515" s="37"/>
      <c r="D1515" s="37"/>
      <c r="E1515" s="776"/>
      <c r="F1515" s="188"/>
      <c r="G1515" s="40"/>
      <c r="H1515" s="7"/>
      <c r="I1515" s="253"/>
      <c r="J1515" s="253"/>
      <c r="K1515" s="606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94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49"/>
        <v/>
      </c>
      <c r="C1516" s="37"/>
      <c r="D1516" s="37"/>
      <c r="E1516" s="776"/>
      <c r="F1516" s="188"/>
      <c r="G1516" s="40"/>
      <c r="H1516" s="7"/>
      <c r="I1516" s="253"/>
      <c r="J1516" s="253"/>
      <c r="K1516" s="606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94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49"/>
        <v/>
      </c>
      <c r="C1517" s="37"/>
      <c r="D1517" s="37"/>
      <c r="E1517" s="776"/>
      <c r="F1517" s="188"/>
      <c r="G1517" s="40"/>
      <c r="H1517" s="7"/>
      <c r="I1517" s="253"/>
      <c r="J1517" s="253"/>
      <c r="K1517" s="606"/>
      <c r="L1517" s="39"/>
      <c r="M1517" s="39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94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49"/>
        <v/>
      </c>
      <c r="C1518" s="37"/>
      <c r="D1518" s="37"/>
      <c r="E1518" s="776"/>
      <c r="F1518" s="188"/>
      <c r="G1518" s="40"/>
      <c r="H1518" s="7"/>
      <c r="I1518" s="253"/>
      <c r="J1518" s="253"/>
      <c r="K1518" s="606"/>
      <c r="L1518" s="39"/>
      <c r="M1518" s="39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94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49"/>
        <v/>
      </c>
      <c r="C1519" s="37"/>
      <c r="D1519" s="37"/>
      <c r="E1519" s="776"/>
      <c r="F1519" s="188"/>
      <c r="G1519" s="40"/>
      <c r="H1519" s="7"/>
      <c r="I1519" s="253"/>
      <c r="J1519" s="253"/>
      <c r="K1519" s="606"/>
      <c r="L1519" s="39"/>
      <c r="M1519" s="39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94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49"/>
        <v/>
      </c>
      <c r="C1520" s="37"/>
      <c r="D1520" s="37"/>
      <c r="E1520" s="776"/>
      <c r="F1520" s="188"/>
      <c r="G1520" s="40"/>
      <c r="H1520" s="7"/>
      <c r="I1520" s="253"/>
      <c r="J1520" s="253"/>
      <c r="K1520" s="606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94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49"/>
        <v/>
      </c>
      <c r="C1521" s="37"/>
      <c r="D1521" s="37"/>
      <c r="E1521" s="776"/>
      <c r="F1521" s="188"/>
      <c r="G1521" s="40"/>
      <c r="H1521" s="7"/>
      <c r="I1521" s="253"/>
      <c r="J1521" s="253"/>
      <c r="K1521" s="606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94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49"/>
        <v/>
      </c>
      <c r="C1522" s="183"/>
      <c r="D1522" s="183"/>
      <c r="E1522" s="183"/>
      <c r="F1522" s="188"/>
      <c r="G1522" s="608"/>
      <c r="H1522" s="192"/>
      <c r="I1522" s="253"/>
      <c r="J1522" s="253"/>
      <c r="K1522" s="606"/>
      <c r="L1522" s="607"/>
      <c r="M1522" s="193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94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49"/>
        <v/>
      </c>
      <c r="C1523" s="190"/>
      <c r="D1523" s="183"/>
      <c r="E1523" s="190"/>
      <c r="F1523" s="191"/>
      <c r="G1523" s="491"/>
      <c r="H1523" s="192"/>
      <c r="I1523" s="253"/>
      <c r="J1523" s="253"/>
      <c r="K1523" s="38"/>
      <c r="L1523" s="193"/>
      <c r="M1523" s="193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94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49"/>
        <v/>
      </c>
      <c r="C1524" s="190"/>
      <c r="D1524" s="183"/>
      <c r="E1524" s="190"/>
      <c r="F1524" s="191"/>
      <c r="G1524" s="491"/>
      <c r="H1524" s="192"/>
      <c r="I1524" s="253"/>
      <c r="J1524" s="253"/>
      <c r="K1524" s="38"/>
      <c r="L1524" s="193"/>
      <c r="M1524" s="193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94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49"/>
        <v/>
      </c>
      <c r="C1525" s="190"/>
      <c r="D1525" s="190"/>
      <c r="E1525" s="190"/>
      <c r="F1525" s="191"/>
      <c r="G1525" s="491"/>
      <c r="H1525" s="192"/>
      <c r="I1525" s="253"/>
      <c r="J1525" s="253"/>
      <c r="K1525" s="606"/>
      <c r="L1525" s="193"/>
      <c r="M1525" s="193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94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49"/>
        <v/>
      </c>
      <c r="C1526" s="190"/>
      <c r="D1526" s="190"/>
      <c r="E1526" s="190"/>
      <c r="F1526" s="191"/>
      <c r="G1526" s="491"/>
      <c r="H1526" s="192"/>
      <c r="I1526" s="253"/>
      <c r="J1526" s="253"/>
      <c r="K1526" s="606"/>
      <c r="L1526" s="193"/>
      <c r="M1526" s="193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94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si="49"/>
        <v/>
      </c>
      <c r="C1527" s="190"/>
      <c r="D1527" s="190"/>
      <c r="E1527" s="190"/>
      <c r="F1527" s="191"/>
      <c r="G1527" s="491"/>
      <c r="H1527" s="192"/>
      <c r="I1527" s="253"/>
      <c r="J1527" s="253"/>
      <c r="K1527" s="606"/>
      <c r="L1527" s="193"/>
      <c r="M1527" s="193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94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si="49"/>
        <v/>
      </c>
      <c r="C1528" s="37"/>
      <c r="D1528" s="37"/>
      <c r="E1528" s="37"/>
      <c r="F1528" s="40"/>
      <c r="G1528" s="40"/>
      <c r="H1528" s="7"/>
      <c r="I1528" s="253"/>
      <c r="J1528" s="253"/>
      <c r="K1528" s="606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94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49"/>
        <v/>
      </c>
      <c r="C1529" s="37"/>
      <c r="D1529" s="37"/>
      <c r="E1529" s="37"/>
      <c r="F1529" s="40"/>
      <c r="G1529" s="40"/>
      <c r="H1529" s="7"/>
      <c r="I1529" s="253"/>
      <c r="J1529" s="253"/>
      <c r="K1529" s="606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94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si="49"/>
        <v/>
      </c>
      <c r="C1530" s="183"/>
      <c r="D1530" s="183"/>
      <c r="E1530" s="183"/>
      <c r="F1530" s="188"/>
      <c r="G1530" s="608"/>
      <c r="H1530" s="192"/>
      <c r="I1530" s="253"/>
      <c r="J1530" s="253"/>
      <c r="K1530" s="606"/>
      <c r="L1530" s="607"/>
      <c r="M1530" s="607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94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si="49"/>
        <v/>
      </c>
      <c r="C1531" s="183"/>
      <c r="D1531" s="183"/>
      <c r="E1531" s="183"/>
      <c r="F1531" s="188"/>
      <c r="G1531" s="608"/>
      <c r="H1531" s="7"/>
      <c r="I1531" s="253"/>
      <c r="J1531" s="253"/>
      <c r="K1531" s="606"/>
      <c r="L1531" s="607"/>
      <c r="M1531" s="607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94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49"/>
        <v/>
      </c>
      <c r="C1532" s="183"/>
      <c r="D1532" s="183"/>
      <c r="E1532" s="183"/>
      <c r="F1532" s="188"/>
      <c r="G1532" s="608"/>
      <c r="H1532" s="7"/>
      <c r="I1532" s="253"/>
      <c r="J1532" s="253"/>
      <c r="K1532" s="606"/>
      <c r="L1532" s="607"/>
      <c r="M1532" s="607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94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si="49"/>
        <v/>
      </c>
      <c r="C1533" s="183"/>
      <c r="D1533" s="183"/>
      <c r="E1533" s="183"/>
      <c r="F1533" s="188"/>
      <c r="G1533" s="608"/>
      <c r="H1533" s="7"/>
      <c r="I1533" s="253"/>
      <c r="J1533" s="253"/>
      <c r="K1533" s="606"/>
      <c r="L1533" s="607"/>
      <c r="M1533" s="607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94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49"/>
        <v/>
      </c>
      <c r="C1534" s="183"/>
      <c r="D1534" s="183"/>
      <c r="E1534" s="183"/>
      <c r="F1534" s="188"/>
      <c r="G1534" s="608"/>
      <c r="H1534" s="7"/>
      <c r="I1534" s="253"/>
      <c r="J1534" s="253"/>
      <c r="K1534" s="606"/>
      <c r="L1534" s="607"/>
      <c r="M1534" s="607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94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49"/>
        <v/>
      </c>
      <c r="C1535" s="183"/>
      <c r="D1535" s="183"/>
      <c r="E1535" s="183"/>
      <c r="F1535" s="188"/>
      <c r="G1535" s="608"/>
      <c r="H1535" s="7"/>
      <c r="I1535" s="253"/>
      <c r="J1535" s="253"/>
      <c r="K1535" s="606"/>
      <c r="L1535" s="607"/>
      <c r="M1535" s="607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94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49"/>
        <v/>
      </c>
      <c r="C1536" s="183"/>
      <c r="D1536" s="183"/>
      <c r="E1536" s="183"/>
      <c r="F1536" s="188"/>
      <c r="G1536" s="608"/>
      <c r="H1536" s="7"/>
      <c r="I1536" s="253"/>
      <c r="J1536" s="253"/>
      <c r="K1536" s="606"/>
      <c r="L1536" s="607"/>
      <c r="M1536" s="607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94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49"/>
        <v/>
      </c>
      <c r="C1537" s="190"/>
      <c r="D1537" s="183"/>
      <c r="E1537" s="190"/>
      <c r="F1537" s="191"/>
      <c r="G1537" s="491"/>
      <c r="H1537" s="45"/>
      <c r="I1537" s="253"/>
      <c r="J1537" s="253"/>
      <c r="K1537" s="606"/>
      <c r="L1537" s="193"/>
      <c r="M1537" s="193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94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49"/>
        <v/>
      </c>
      <c r="C1538" s="190"/>
      <c r="D1538" s="183"/>
      <c r="E1538" s="190"/>
      <c r="F1538" s="191"/>
      <c r="G1538" s="491"/>
      <c r="H1538" s="45"/>
      <c r="I1538" s="253"/>
      <c r="J1538" s="253"/>
      <c r="K1538" s="38"/>
      <c r="L1538" s="193"/>
      <c r="M1538" s="193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94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49"/>
        <v/>
      </c>
      <c r="C1539" s="37"/>
      <c r="D1539" s="37"/>
      <c r="E1539" s="776"/>
      <c r="F1539" s="188"/>
      <c r="G1539" s="40"/>
      <c r="H1539" s="7"/>
      <c r="I1539" s="253"/>
      <c r="J1539" s="253"/>
      <c r="K1539" s="606"/>
      <c r="L1539" s="39"/>
      <c r="M1539" s="39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94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49"/>
        <v/>
      </c>
      <c r="C1540" s="37"/>
      <c r="D1540" s="37"/>
      <c r="E1540" s="776"/>
      <c r="F1540" s="293"/>
      <c r="G1540" s="40"/>
      <c r="H1540" s="7"/>
      <c r="I1540" s="253"/>
      <c r="J1540" s="253"/>
      <c r="K1540" s="606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94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49"/>
        <v/>
      </c>
      <c r="C1541" s="37"/>
      <c r="D1541" s="37"/>
      <c r="E1541" s="776"/>
      <c r="F1541" s="188"/>
      <c r="G1541" s="40"/>
      <c r="H1541" s="7"/>
      <c r="I1541" s="821"/>
      <c r="J1541" s="253"/>
      <c r="K1541" s="606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94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49"/>
        <v/>
      </c>
      <c r="C1542" s="37"/>
      <c r="D1542" s="37"/>
      <c r="E1542" s="776"/>
      <c r="F1542" s="40"/>
      <c r="G1542" s="40"/>
      <c r="H1542" s="7"/>
      <c r="I1542" s="253"/>
      <c r="J1542" s="253"/>
      <c r="K1542" s="606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94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49"/>
        <v/>
      </c>
      <c r="C1543" s="37"/>
      <c r="D1543" s="37"/>
      <c r="E1543" s="776"/>
      <c r="F1543" s="188"/>
      <c r="G1543" s="40"/>
      <c r="H1543" s="7"/>
      <c r="I1543" s="253"/>
      <c r="J1543" s="253"/>
      <c r="K1543" s="606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94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49"/>
        <v/>
      </c>
      <c r="C1544" s="37"/>
      <c r="D1544" s="37"/>
      <c r="E1544" s="776"/>
      <c r="F1544" s="188"/>
      <c r="G1544" s="40"/>
      <c r="H1544" s="7"/>
      <c r="I1544" s="821"/>
      <c r="J1544" s="253"/>
      <c r="K1544" s="606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94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49"/>
        <v/>
      </c>
      <c r="C1545" s="37"/>
      <c r="D1545" s="37"/>
      <c r="E1545" s="776"/>
      <c r="F1545" s="188"/>
      <c r="G1545" s="40"/>
      <c r="H1545" s="7"/>
      <c r="I1545" s="821"/>
      <c r="J1545" s="253"/>
      <c r="K1545" s="606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94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49"/>
        <v/>
      </c>
      <c r="C1546" s="37"/>
      <c r="D1546" s="37"/>
      <c r="E1546" s="776"/>
      <c r="F1546" s="188"/>
      <c r="G1546" s="40"/>
      <c r="H1546" s="7"/>
      <c r="I1546" s="821"/>
      <c r="J1546" s="253"/>
      <c r="K1546" s="606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94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49"/>
        <v/>
      </c>
      <c r="C1547" s="190"/>
      <c r="D1547" s="190"/>
      <c r="E1547" s="190"/>
      <c r="F1547" s="191"/>
      <c r="G1547" s="491"/>
      <c r="H1547" s="192"/>
      <c r="I1547" s="253"/>
      <c r="J1547" s="253"/>
      <c r="K1547" s="606"/>
      <c r="L1547" s="193"/>
      <c r="M1547" s="193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94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49"/>
        <v/>
      </c>
      <c r="C1548" s="190"/>
      <c r="D1548" s="190"/>
      <c r="E1548" s="190"/>
      <c r="F1548" s="191"/>
      <c r="G1548" s="491"/>
      <c r="H1548" s="192"/>
      <c r="I1548" s="253"/>
      <c r="J1548" s="253"/>
      <c r="K1548" s="606"/>
      <c r="L1548" s="193"/>
      <c r="M1548" s="193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94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si="49"/>
        <v/>
      </c>
      <c r="C1549" s="190"/>
      <c r="D1549" s="190"/>
      <c r="E1549" s="190"/>
      <c r="F1549" s="191"/>
      <c r="G1549" s="491"/>
      <c r="H1549" s="192"/>
      <c r="I1549" s="253"/>
      <c r="J1549" s="253"/>
      <c r="K1549" s="606"/>
      <c r="L1549" s="193"/>
      <c r="M1549" s="193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94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49"/>
        <v/>
      </c>
      <c r="C1550" s="190"/>
      <c r="D1550" s="190"/>
      <c r="E1550" s="190"/>
      <c r="F1550" s="191"/>
      <c r="G1550" s="491"/>
      <c r="H1550" s="192"/>
      <c r="I1550" s="253"/>
      <c r="J1550" s="253"/>
      <c r="K1550" s="606"/>
      <c r="L1550" s="193"/>
      <c r="M1550" s="193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94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49"/>
        <v/>
      </c>
      <c r="C1551" s="190"/>
      <c r="D1551" s="190"/>
      <c r="E1551" s="190"/>
      <c r="F1551" s="191"/>
      <c r="G1551" s="491"/>
      <c r="H1551" s="192"/>
      <c r="I1551" s="253"/>
      <c r="J1551" s="253"/>
      <c r="K1551" s="606"/>
      <c r="L1551" s="193"/>
      <c r="M1551" s="193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94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49"/>
        <v/>
      </c>
      <c r="C1552" s="190"/>
      <c r="D1552" s="190"/>
      <c r="E1552" s="190"/>
      <c r="F1552" s="191"/>
      <c r="G1552" s="491"/>
      <c r="H1552" s="192"/>
      <c r="I1552" s="253"/>
      <c r="J1552" s="253"/>
      <c r="K1552" s="606"/>
      <c r="L1552" s="193"/>
      <c r="M1552" s="193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94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49"/>
        <v/>
      </c>
      <c r="C1553" s="190"/>
      <c r="D1553" s="190"/>
      <c r="E1553" s="190"/>
      <c r="F1553" s="191"/>
      <c r="G1553" s="491"/>
      <c r="H1553" s="192"/>
      <c r="I1553" s="253"/>
      <c r="J1553" s="253"/>
      <c r="K1553" s="606"/>
      <c r="L1553" s="193"/>
      <c r="M1553" s="193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94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49"/>
        <v/>
      </c>
      <c r="C1554" s="190"/>
      <c r="D1554" s="190"/>
      <c r="E1554" s="190"/>
      <c r="F1554" s="191"/>
      <c r="G1554" s="491"/>
      <c r="H1554" s="192"/>
      <c r="I1554" s="253"/>
      <c r="J1554" s="253"/>
      <c r="K1554" s="606"/>
      <c r="L1554" s="193"/>
      <c r="M1554" s="193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94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49"/>
        <v/>
      </c>
      <c r="C1555" s="190"/>
      <c r="D1555" s="190"/>
      <c r="E1555" s="190"/>
      <c r="F1555" s="191"/>
      <c r="G1555" s="491"/>
      <c r="H1555" s="192"/>
      <c r="I1555" s="253"/>
      <c r="J1555" s="253"/>
      <c r="K1555" s="606"/>
      <c r="L1555" s="193"/>
      <c r="M1555" s="193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94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49"/>
        <v/>
      </c>
      <c r="C1556" s="37"/>
      <c r="D1556" s="37"/>
      <c r="E1556" s="37"/>
      <c r="F1556" s="40"/>
      <c r="G1556" s="40"/>
      <c r="H1556" s="7"/>
      <c r="I1556" s="253"/>
      <c r="J1556" s="253"/>
      <c r="K1556" s="606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94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49"/>
        <v/>
      </c>
      <c r="C1557" s="37"/>
      <c r="D1557" s="37"/>
      <c r="E1557" s="37"/>
      <c r="F1557" s="40"/>
      <c r="G1557" s="40"/>
      <c r="H1557" s="7"/>
      <c r="I1557" s="253"/>
      <c r="J1557" s="253"/>
      <c r="K1557" s="606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94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49"/>
        <v/>
      </c>
      <c r="C1558" s="37"/>
      <c r="D1558" s="37"/>
      <c r="E1558" s="37"/>
      <c r="F1558" s="191"/>
      <c r="G1558" s="40"/>
      <c r="H1558" s="7"/>
      <c r="I1558" s="253"/>
      <c r="J1558" s="253"/>
      <c r="K1558" s="606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94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49"/>
        <v/>
      </c>
      <c r="C1559" s="37"/>
      <c r="D1559" s="37"/>
      <c r="E1559" s="37"/>
      <c r="F1559" s="40"/>
      <c r="G1559" s="40"/>
      <c r="H1559" s="7"/>
      <c r="I1559" s="253"/>
      <c r="J1559" s="253"/>
      <c r="K1559" s="606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94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49"/>
        <v/>
      </c>
      <c r="C1560" s="37"/>
      <c r="D1560" s="37"/>
      <c r="E1560" s="37"/>
      <c r="F1560" s="191"/>
      <c r="G1560" s="40"/>
      <c r="H1560" s="7"/>
      <c r="I1560" s="253"/>
      <c r="J1560" s="253"/>
      <c r="K1560" s="606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94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ref="B1561:B1624" si="50">IF(C1561&lt;&gt;"",MONTH(C1561),"")</f>
        <v/>
      </c>
      <c r="C1561" s="37"/>
      <c r="D1561" s="37"/>
      <c r="E1561" s="37"/>
      <c r="F1561" s="40"/>
      <c r="G1561" s="40"/>
      <c r="H1561" s="7"/>
      <c r="I1561" s="253"/>
      <c r="J1561" s="253"/>
      <c r="K1561" s="606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94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50"/>
        <v/>
      </c>
      <c r="C1562" s="37"/>
      <c r="D1562" s="37"/>
      <c r="E1562" s="37"/>
      <c r="F1562" s="40"/>
      <c r="G1562" s="40"/>
      <c r="H1562" s="7"/>
      <c r="I1562" s="253"/>
      <c r="J1562" s="253"/>
      <c r="K1562" s="606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94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50"/>
        <v/>
      </c>
      <c r="C1563" s="37"/>
      <c r="D1563" s="37"/>
      <c r="E1563" s="37"/>
      <c r="F1563" s="40"/>
      <c r="G1563" s="40"/>
      <c r="H1563" s="7"/>
      <c r="I1563" s="253"/>
      <c r="J1563" s="253"/>
      <c r="K1563" s="606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94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50"/>
        <v/>
      </c>
      <c r="C1564" s="37"/>
      <c r="D1564" s="37"/>
      <c r="E1564" s="37"/>
      <c r="F1564" s="40"/>
      <c r="G1564" s="40"/>
      <c r="H1564" s="7"/>
      <c r="I1564" s="253"/>
      <c r="J1564" s="253"/>
      <c r="K1564" s="606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94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50"/>
        <v/>
      </c>
      <c r="C1565" s="37"/>
      <c r="D1565" s="37"/>
      <c r="E1565" s="37"/>
      <c r="F1565" s="40"/>
      <c r="G1565" s="40"/>
      <c r="H1565" s="7"/>
      <c r="I1565" s="253"/>
      <c r="J1565" s="253"/>
      <c r="K1565" s="606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94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50"/>
        <v/>
      </c>
      <c r="C1566" s="37"/>
      <c r="D1566" s="37"/>
      <c r="E1566" s="37"/>
      <c r="F1566" s="191"/>
      <c r="G1566" s="40"/>
      <c r="H1566" s="7"/>
      <c r="I1566" s="253"/>
      <c r="J1566" s="253"/>
      <c r="K1566" s="606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94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50"/>
        <v/>
      </c>
      <c r="C1567" s="37"/>
      <c r="D1567" s="37"/>
      <c r="E1567" s="37"/>
      <c r="F1567" s="40"/>
      <c r="G1567" s="40"/>
      <c r="H1567" s="7"/>
      <c r="I1567" s="253"/>
      <c r="J1567" s="253"/>
      <c r="K1567" s="606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94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50"/>
        <v/>
      </c>
      <c r="C1568" s="37"/>
      <c r="D1568" s="37"/>
      <c r="E1568" s="37"/>
      <c r="F1568" s="191"/>
      <c r="G1568" s="40"/>
      <c r="H1568" s="7"/>
      <c r="I1568" s="253"/>
      <c r="J1568" s="253"/>
      <c r="K1568" s="606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94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50"/>
        <v/>
      </c>
      <c r="C1569" s="37"/>
      <c r="D1569" s="37"/>
      <c r="E1569" s="37"/>
      <c r="F1569" s="40"/>
      <c r="G1569" s="40"/>
      <c r="H1569" s="7"/>
      <c r="I1569" s="253"/>
      <c r="J1569" s="253"/>
      <c r="K1569" s="606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94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50"/>
        <v/>
      </c>
      <c r="C1570" s="37"/>
      <c r="D1570" s="37"/>
      <c r="E1570" s="37"/>
      <c r="F1570" s="40"/>
      <c r="G1570" s="40"/>
      <c r="H1570" s="7"/>
      <c r="I1570" s="253"/>
      <c r="J1570" s="253"/>
      <c r="K1570" s="606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94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50"/>
        <v/>
      </c>
      <c r="C1571" s="37"/>
      <c r="D1571" s="37"/>
      <c r="E1571" s="37"/>
      <c r="F1571" s="40"/>
      <c r="G1571" s="40"/>
      <c r="H1571" s="7"/>
      <c r="I1571" s="253"/>
      <c r="J1571" s="253"/>
      <c r="K1571" s="606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94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50"/>
        <v/>
      </c>
      <c r="C1572" s="190"/>
      <c r="D1572" s="183"/>
      <c r="E1572" s="190"/>
      <c r="F1572" s="191"/>
      <c r="G1572" s="491"/>
      <c r="H1572" s="192"/>
      <c r="I1572" s="253"/>
      <c r="J1572" s="253"/>
      <c r="K1572" s="606"/>
      <c r="L1572" s="193"/>
      <c r="M1572" s="193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94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50"/>
        <v/>
      </c>
      <c r="C1573" s="190"/>
      <c r="D1573" s="183"/>
      <c r="E1573" s="190"/>
      <c r="F1573" s="191"/>
      <c r="G1573" s="491"/>
      <c r="H1573" s="192"/>
      <c r="I1573" s="253"/>
      <c r="J1573" s="253"/>
      <c r="K1573" s="38"/>
      <c r="L1573" s="193"/>
      <c r="M1573" s="193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94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50"/>
        <v/>
      </c>
      <c r="C1574" s="190"/>
      <c r="D1574" s="183"/>
      <c r="E1574" s="190"/>
      <c r="F1574" s="191"/>
      <c r="G1574" s="489"/>
      <c r="H1574" s="45"/>
      <c r="I1574" s="254"/>
      <c r="J1574" s="253"/>
      <c r="K1574" s="38"/>
      <c r="L1574" s="193"/>
      <c r="M1574" s="607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94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si="50"/>
        <v/>
      </c>
      <c r="C1575" s="190"/>
      <c r="D1575" s="183"/>
      <c r="E1575" s="190"/>
      <c r="F1575" s="191"/>
      <c r="G1575" s="489"/>
      <c r="H1575" s="45"/>
      <c r="I1575" s="254"/>
      <c r="J1575" s="253"/>
      <c r="K1575" s="38"/>
      <c r="L1575" s="193"/>
      <c r="M1575" s="607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94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50"/>
        <v/>
      </c>
      <c r="C1576" s="37"/>
      <c r="D1576" s="37"/>
      <c r="E1576" s="776"/>
      <c r="F1576" s="188"/>
      <c r="G1576" s="40"/>
      <c r="H1576" s="7"/>
      <c r="I1576" s="253"/>
      <c r="J1576" s="253"/>
      <c r="K1576" s="606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94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50"/>
        <v/>
      </c>
      <c r="C1577" s="37"/>
      <c r="D1577" s="37"/>
      <c r="E1577" s="776"/>
      <c r="F1577" s="40"/>
      <c r="G1577" s="40"/>
      <c r="H1577" s="7"/>
      <c r="I1577" s="253"/>
      <c r="J1577" s="253"/>
      <c r="K1577" s="606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94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50"/>
        <v/>
      </c>
      <c r="C1578" s="37"/>
      <c r="D1578" s="37"/>
      <c r="E1578" s="776"/>
      <c r="F1578" s="188"/>
      <c r="G1578" s="40"/>
      <c r="H1578" s="7"/>
      <c r="I1578" s="253"/>
      <c r="J1578" s="253"/>
      <c r="K1578" s="606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94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50"/>
        <v/>
      </c>
      <c r="C1579" s="37"/>
      <c r="D1579" s="37"/>
      <c r="E1579" s="776"/>
      <c r="F1579" s="293"/>
      <c r="G1579" s="40"/>
      <c r="H1579" s="7"/>
      <c r="I1579" s="253"/>
      <c r="J1579" s="253"/>
      <c r="K1579" s="606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94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50"/>
        <v/>
      </c>
      <c r="C1580" s="37"/>
      <c r="D1580" s="37"/>
      <c r="E1580" s="776"/>
      <c r="F1580" s="293"/>
      <c r="G1580" s="40"/>
      <c r="H1580" s="7"/>
      <c r="I1580" s="253"/>
      <c r="J1580" s="253"/>
      <c r="K1580" s="606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94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50"/>
        <v/>
      </c>
      <c r="C1581" s="37"/>
      <c r="D1581" s="37"/>
      <c r="E1581" s="776"/>
      <c r="F1581" s="188"/>
      <c r="G1581" s="40"/>
      <c r="H1581" s="7"/>
      <c r="I1581" s="821"/>
      <c r="J1581" s="253"/>
      <c r="K1581" s="606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94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50"/>
        <v/>
      </c>
      <c r="C1582" s="37"/>
      <c r="D1582" s="37"/>
      <c r="E1582" s="776"/>
      <c r="F1582" s="188"/>
      <c r="G1582" s="40"/>
      <c r="H1582" s="7"/>
      <c r="I1582" s="253"/>
      <c r="J1582" s="253"/>
      <c r="K1582" s="606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94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50"/>
        <v/>
      </c>
      <c r="C1583" s="37"/>
      <c r="D1583" s="37"/>
      <c r="E1583" s="776"/>
      <c r="F1583" s="188"/>
      <c r="G1583" s="40"/>
      <c r="H1583" s="7"/>
      <c r="I1583" s="821"/>
      <c r="J1583" s="253"/>
      <c r="K1583" s="606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94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50"/>
        <v/>
      </c>
      <c r="C1584" s="190"/>
      <c r="D1584" s="183"/>
      <c r="E1584" s="190"/>
      <c r="F1584" s="191"/>
      <c r="G1584" s="491"/>
      <c r="H1584" s="7"/>
      <c r="I1584" s="254"/>
      <c r="J1584" s="254"/>
      <c r="K1584" s="38"/>
      <c r="L1584" s="193"/>
      <c r="M1584" s="193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94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50"/>
        <v/>
      </c>
      <c r="C1585" s="190"/>
      <c r="D1585" s="183"/>
      <c r="E1585" s="190"/>
      <c r="F1585" s="191"/>
      <c r="G1585" s="491"/>
      <c r="H1585" s="192"/>
      <c r="I1585" s="253"/>
      <c r="J1585" s="253"/>
      <c r="K1585" s="38"/>
      <c r="L1585" s="193"/>
      <c r="M1585" s="607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94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50"/>
        <v/>
      </c>
      <c r="C1586" s="190"/>
      <c r="D1586" s="183"/>
      <c r="E1586" s="190"/>
      <c r="F1586" s="188"/>
      <c r="G1586" s="491"/>
      <c r="H1586" s="7"/>
      <c r="I1586" s="253"/>
      <c r="J1586" s="253"/>
      <c r="K1586" s="606"/>
      <c r="L1586" s="193"/>
      <c r="M1586" s="193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94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50"/>
        <v/>
      </c>
      <c r="C1587" s="190"/>
      <c r="D1587" s="183"/>
      <c r="E1587" s="190"/>
      <c r="F1587" s="188"/>
      <c r="G1587" s="491"/>
      <c r="H1587" s="7"/>
      <c r="I1587" s="253"/>
      <c r="J1587" s="253"/>
      <c r="K1587" s="38"/>
      <c r="L1587" s="193"/>
      <c r="M1587" s="193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94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50"/>
        <v/>
      </c>
      <c r="C1588" s="190"/>
      <c r="D1588" s="190"/>
      <c r="E1588" s="190"/>
      <c r="F1588" s="191"/>
      <c r="G1588" s="491"/>
      <c r="H1588" s="204"/>
      <c r="I1588" s="253"/>
      <c r="J1588" s="253"/>
      <c r="K1588" s="606"/>
      <c r="L1588" s="193"/>
      <c r="M1588" s="193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94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50"/>
        <v/>
      </c>
      <c r="C1589" s="190"/>
      <c r="D1589" s="190"/>
      <c r="E1589" s="190"/>
      <c r="F1589" s="191"/>
      <c r="G1589" s="491"/>
      <c r="H1589" s="204"/>
      <c r="I1589" s="253"/>
      <c r="J1589" s="253"/>
      <c r="K1589" s="606"/>
      <c r="L1589" s="193"/>
      <c r="M1589" s="193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94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50"/>
        <v/>
      </c>
      <c r="C1590" s="190"/>
      <c r="D1590" s="190"/>
      <c r="E1590" s="190"/>
      <c r="F1590" s="191"/>
      <c r="G1590" s="491"/>
      <c r="H1590" s="204"/>
      <c r="I1590" s="253"/>
      <c r="J1590" s="253"/>
      <c r="K1590" s="606"/>
      <c r="L1590" s="193"/>
      <c r="M1590" s="193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94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si="50"/>
        <v/>
      </c>
      <c r="C1591" s="37"/>
      <c r="D1591" s="37"/>
      <c r="E1591" s="776"/>
      <c r="F1591" s="40"/>
      <c r="G1591" s="40"/>
      <c r="H1591" s="7"/>
      <c r="I1591" s="253"/>
      <c r="J1591" s="253"/>
      <c r="K1591" s="606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94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si="50"/>
        <v/>
      </c>
      <c r="C1592" s="37"/>
      <c r="D1592" s="37"/>
      <c r="E1592" s="776"/>
      <c r="F1592" s="188"/>
      <c r="G1592" s="40"/>
      <c r="H1592" s="7"/>
      <c r="I1592" s="253"/>
      <c r="J1592" s="253"/>
      <c r="K1592" s="606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94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50"/>
        <v/>
      </c>
      <c r="C1593" s="37"/>
      <c r="D1593" s="37"/>
      <c r="E1593" s="776"/>
      <c r="F1593" s="40"/>
      <c r="G1593" s="40"/>
      <c r="H1593" s="7"/>
      <c r="I1593" s="253"/>
      <c r="J1593" s="253"/>
      <c r="K1593" s="606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94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50"/>
        <v/>
      </c>
      <c r="C1594" s="37"/>
      <c r="D1594" s="37"/>
      <c r="E1594" s="776"/>
      <c r="F1594" s="40"/>
      <c r="G1594" s="40"/>
      <c r="H1594" s="7"/>
      <c r="I1594" s="253"/>
      <c r="J1594" s="253"/>
      <c r="K1594" s="606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94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50"/>
        <v/>
      </c>
      <c r="C1595" s="37"/>
      <c r="D1595" s="37"/>
      <c r="E1595" s="776"/>
      <c r="F1595" s="188"/>
      <c r="G1595" s="40"/>
      <c r="H1595" s="7"/>
      <c r="I1595" s="253"/>
      <c r="J1595" s="253"/>
      <c r="K1595" s="606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94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50"/>
        <v/>
      </c>
      <c r="C1596" s="37"/>
      <c r="D1596" s="37"/>
      <c r="E1596" s="776"/>
      <c r="F1596" s="40"/>
      <c r="G1596" s="40"/>
      <c r="H1596" s="7"/>
      <c r="I1596" s="253"/>
      <c r="J1596" s="253"/>
      <c r="K1596" s="606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94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50"/>
        <v/>
      </c>
      <c r="C1597" s="37"/>
      <c r="D1597" s="37"/>
      <c r="E1597" s="776"/>
      <c r="F1597" s="188"/>
      <c r="G1597" s="40"/>
      <c r="H1597" s="7"/>
      <c r="I1597" s="253"/>
      <c r="J1597" s="253"/>
      <c r="K1597" s="606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94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50"/>
        <v/>
      </c>
      <c r="C1598" s="37"/>
      <c r="D1598" s="37"/>
      <c r="E1598" s="37"/>
      <c r="F1598" s="40"/>
      <c r="G1598" s="40"/>
      <c r="H1598" s="7"/>
      <c r="I1598" s="253"/>
      <c r="J1598" s="253"/>
      <c r="K1598" s="606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94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50"/>
        <v/>
      </c>
      <c r="C1599" s="37"/>
      <c r="D1599" s="37"/>
      <c r="E1599" s="37"/>
      <c r="F1599" s="40"/>
      <c r="G1599" s="40"/>
      <c r="H1599" s="7"/>
      <c r="I1599" s="253"/>
      <c r="J1599" s="253"/>
      <c r="K1599" s="606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94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50"/>
        <v/>
      </c>
      <c r="C1600" s="183"/>
      <c r="D1600" s="183"/>
      <c r="E1600" s="183"/>
      <c r="F1600" s="188"/>
      <c r="G1600" s="608"/>
      <c r="H1600" s="7"/>
      <c r="I1600" s="253"/>
      <c r="J1600" s="253"/>
      <c r="K1600" s="606"/>
      <c r="L1600" s="607"/>
      <c r="M1600" s="607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94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50"/>
        <v/>
      </c>
      <c r="C1601" s="190"/>
      <c r="D1601" s="190"/>
      <c r="E1601" s="190"/>
      <c r="F1601" s="191"/>
      <c r="G1601" s="491"/>
      <c r="H1601" s="204"/>
      <c r="I1601" s="253"/>
      <c r="J1601" s="253"/>
      <c r="K1601" s="606"/>
      <c r="L1601" s="193"/>
      <c r="M1601" s="193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94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50"/>
        <v/>
      </c>
      <c r="C1602" s="190"/>
      <c r="D1602" s="190"/>
      <c r="E1602" s="190"/>
      <c r="F1602" s="191"/>
      <c r="G1602" s="491"/>
      <c r="H1602" s="204"/>
      <c r="I1602" s="253"/>
      <c r="J1602" s="253"/>
      <c r="K1602" s="606"/>
      <c r="L1602" s="193"/>
      <c r="M1602" s="193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94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50"/>
        <v/>
      </c>
      <c r="C1603" s="190"/>
      <c r="D1603" s="190"/>
      <c r="E1603" s="190"/>
      <c r="F1603" s="191"/>
      <c r="G1603" s="491"/>
      <c r="H1603" s="204"/>
      <c r="I1603" s="253"/>
      <c r="J1603" s="253"/>
      <c r="K1603" s="606"/>
      <c r="L1603" s="193"/>
      <c r="M1603" s="193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94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50"/>
        <v/>
      </c>
      <c r="C1604" s="190"/>
      <c r="D1604" s="190"/>
      <c r="E1604" s="190"/>
      <c r="F1604" s="191"/>
      <c r="G1604" s="491"/>
      <c r="H1604" s="204"/>
      <c r="I1604" s="253"/>
      <c r="J1604" s="253"/>
      <c r="K1604" s="606"/>
      <c r="L1604" s="193"/>
      <c r="M1604" s="193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94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50"/>
        <v/>
      </c>
      <c r="C1605" s="190"/>
      <c r="D1605" s="190"/>
      <c r="E1605" s="190"/>
      <c r="F1605" s="191"/>
      <c r="G1605" s="491"/>
      <c r="H1605" s="204"/>
      <c r="I1605" s="253"/>
      <c r="J1605" s="253"/>
      <c r="K1605" s="606"/>
      <c r="L1605" s="193"/>
      <c r="M1605" s="193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94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50"/>
        <v/>
      </c>
      <c r="C1606" s="190"/>
      <c r="D1606" s="190"/>
      <c r="E1606" s="190"/>
      <c r="F1606" s="191"/>
      <c r="G1606" s="491"/>
      <c r="H1606" s="192"/>
      <c r="I1606" s="253"/>
      <c r="J1606" s="253"/>
      <c r="K1606" s="606"/>
      <c r="L1606" s="193"/>
      <c r="M1606" s="193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94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50"/>
        <v/>
      </c>
      <c r="C1607" s="190"/>
      <c r="D1607" s="190"/>
      <c r="E1607" s="190"/>
      <c r="F1607" s="191"/>
      <c r="G1607" s="491"/>
      <c r="H1607" s="192"/>
      <c r="I1607" s="253"/>
      <c r="J1607" s="253"/>
      <c r="K1607" s="606"/>
      <c r="L1607" s="193"/>
      <c r="M1607" s="193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94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50"/>
        <v/>
      </c>
      <c r="C1608" s="190"/>
      <c r="D1608" s="190"/>
      <c r="E1608" s="190"/>
      <c r="F1608" s="191"/>
      <c r="G1608" s="491"/>
      <c r="H1608" s="192"/>
      <c r="I1608" s="253"/>
      <c r="J1608" s="253"/>
      <c r="K1608" s="606"/>
      <c r="L1608" s="193"/>
      <c r="M1608" s="193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94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50"/>
        <v/>
      </c>
      <c r="C1609" s="190"/>
      <c r="D1609" s="190"/>
      <c r="E1609" s="190"/>
      <c r="F1609" s="191"/>
      <c r="G1609" s="491"/>
      <c r="H1609" s="192"/>
      <c r="I1609" s="253"/>
      <c r="J1609" s="253"/>
      <c r="K1609" s="606"/>
      <c r="L1609" s="193"/>
      <c r="M1609" s="193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94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50"/>
        <v/>
      </c>
      <c r="C1610" s="190"/>
      <c r="D1610" s="190"/>
      <c r="E1610" s="190"/>
      <c r="F1610" s="191"/>
      <c r="G1610" s="491"/>
      <c r="H1610" s="192"/>
      <c r="I1610" s="253"/>
      <c r="J1610" s="253"/>
      <c r="K1610" s="606"/>
      <c r="L1610" s="193"/>
      <c r="M1610" s="193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94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50"/>
        <v/>
      </c>
      <c r="C1611" s="190"/>
      <c r="D1611" s="190"/>
      <c r="E1611" s="190"/>
      <c r="F1611" s="191"/>
      <c r="G1611" s="491"/>
      <c r="H1611" s="192"/>
      <c r="I1611" s="253"/>
      <c r="J1611" s="253"/>
      <c r="K1611" s="606"/>
      <c r="L1611" s="193"/>
      <c r="M1611" s="193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94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50"/>
        <v/>
      </c>
      <c r="C1612" s="190"/>
      <c r="D1612" s="190"/>
      <c r="E1612" s="190"/>
      <c r="F1612" s="191"/>
      <c r="G1612" s="491"/>
      <c r="H1612" s="192"/>
      <c r="I1612" s="253"/>
      <c r="J1612" s="253"/>
      <c r="K1612" s="606"/>
      <c r="L1612" s="193"/>
      <c r="M1612" s="193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94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si="50"/>
        <v/>
      </c>
      <c r="C1613" s="37"/>
      <c r="D1613" s="37"/>
      <c r="E1613" s="37"/>
      <c r="F1613" s="40"/>
      <c r="G1613" s="40"/>
      <c r="H1613" s="7"/>
      <c r="I1613" s="253"/>
      <c r="J1613" s="253"/>
      <c r="K1613" s="606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94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50"/>
        <v/>
      </c>
      <c r="C1614" s="37"/>
      <c r="D1614" s="37"/>
      <c r="E1614" s="37"/>
      <c r="F1614" s="40"/>
      <c r="G1614" s="40"/>
      <c r="H1614" s="7"/>
      <c r="I1614" s="253"/>
      <c r="J1614" s="253"/>
      <c r="K1614" s="606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94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50"/>
        <v/>
      </c>
      <c r="C1615" s="37"/>
      <c r="D1615" s="37"/>
      <c r="E1615" s="37"/>
      <c r="F1615" s="40"/>
      <c r="G1615" s="40"/>
      <c r="H1615" s="7"/>
      <c r="I1615" s="253"/>
      <c r="J1615" s="253"/>
      <c r="K1615" s="606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94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50"/>
        <v/>
      </c>
      <c r="C1616" s="37"/>
      <c r="D1616" s="37"/>
      <c r="E1616" s="37"/>
      <c r="F1616" s="40"/>
      <c r="G1616" s="40"/>
      <c r="H1616" s="7"/>
      <c r="I1616" s="253"/>
      <c r="J1616" s="253"/>
      <c r="K1616" s="606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94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50"/>
        <v/>
      </c>
      <c r="C1617" s="37"/>
      <c r="D1617" s="37"/>
      <c r="E1617" s="37"/>
      <c r="F1617" s="40"/>
      <c r="G1617" s="40"/>
      <c r="H1617" s="7"/>
      <c r="I1617" s="253"/>
      <c r="J1617" s="253"/>
      <c r="K1617" s="606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94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50"/>
        <v/>
      </c>
      <c r="C1618" s="37"/>
      <c r="D1618" s="37"/>
      <c r="E1618" s="37"/>
      <c r="F1618" s="40"/>
      <c r="G1618" s="40"/>
      <c r="H1618" s="7"/>
      <c r="I1618" s="253"/>
      <c r="J1618" s="253"/>
      <c r="K1618" s="606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94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50"/>
        <v/>
      </c>
      <c r="C1619" s="37"/>
      <c r="D1619" s="37"/>
      <c r="E1619" s="37"/>
      <c r="F1619" s="40"/>
      <c r="G1619" s="40"/>
      <c r="H1619" s="7"/>
      <c r="I1619" s="253"/>
      <c r="J1619" s="253"/>
      <c r="K1619" s="606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94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50"/>
        <v/>
      </c>
      <c r="C1620" s="37"/>
      <c r="D1620" s="37"/>
      <c r="E1620" s="37"/>
      <c r="F1620" s="40"/>
      <c r="G1620" s="40"/>
      <c r="H1620" s="7"/>
      <c r="I1620" s="253"/>
      <c r="J1620" s="253"/>
      <c r="K1620" s="606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94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50"/>
        <v/>
      </c>
      <c r="C1621" s="37"/>
      <c r="D1621" s="37"/>
      <c r="E1621" s="37"/>
      <c r="F1621" s="40"/>
      <c r="G1621" s="40"/>
      <c r="H1621" s="7"/>
      <c r="I1621" s="253"/>
      <c r="J1621" s="253"/>
      <c r="K1621" s="606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94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50"/>
        <v/>
      </c>
      <c r="C1622" s="37"/>
      <c r="D1622" s="37"/>
      <c r="E1622" s="37"/>
      <c r="F1622" s="40"/>
      <c r="G1622" s="40"/>
      <c r="H1622" s="7"/>
      <c r="I1622" s="253"/>
      <c r="J1622" s="253"/>
      <c r="K1622" s="606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94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50"/>
        <v/>
      </c>
      <c r="C1623" s="37"/>
      <c r="D1623" s="37"/>
      <c r="E1623" s="37"/>
      <c r="F1623" s="40"/>
      <c r="G1623" s="40"/>
      <c r="H1623" s="7"/>
      <c r="I1623" s="253"/>
      <c r="J1623" s="253"/>
      <c r="K1623" s="606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94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50"/>
        <v/>
      </c>
      <c r="C1624" s="37"/>
      <c r="D1624" s="37"/>
      <c r="E1624" s="37"/>
      <c r="F1624" s="40"/>
      <c r="G1624" s="40"/>
      <c r="H1624" s="7"/>
      <c r="I1624" s="253"/>
      <c r="J1624" s="253"/>
      <c r="K1624" s="606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94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ref="B1625:B1688" si="51">IF(C1625&lt;&gt;"",MONTH(C1625),"")</f>
        <v/>
      </c>
      <c r="C1625" s="37"/>
      <c r="D1625" s="37"/>
      <c r="E1625" s="37"/>
      <c r="F1625" s="40"/>
      <c r="G1625" s="40"/>
      <c r="H1625" s="7"/>
      <c r="I1625" s="253"/>
      <c r="J1625" s="253"/>
      <c r="K1625" s="606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94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51"/>
        <v/>
      </c>
      <c r="C1626" s="37"/>
      <c r="D1626" s="37"/>
      <c r="E1626" s="37"/>
      <c r="F1626" s="40"/>
      <c r="G1626" s="40"/>
      <c r="H1626" s="7"/>
      <c r="I1626" s="253"/>
      <c r="J1626" s="253"/>
      <c r="K1626" s="606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94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51"/>
        <v/>
      </c>
      <c r="C1627" s="37"/>
      <c r="D1627" s="37"/>
      <c r="E1627" s="37"/>
      <c r="F1627" s="40"/>
      <c r="G1627" s="40"/>
      <c r="H1627" s="7"/>
      <c r="I1627" s="253"/>
      <c r="J1627" s="253"/>
      <c r="K1627" s="606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94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51"/>
        <v/>
      </c>
      <c r="C1628" s="37"/>
      <c r="D1628" s="37"/>
      <c r="E1628" s="37"/>
      <c r="F1628" s="40"/>
      <c r="G1628" s="40"/>
      <c r="H1628" s="7"/>
      <c r="I1628" s="253"/>
      <c r="J1628" s="253"/>
      <c r="K1628" s="606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94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51"/>
        <v/>
      </c>
      <c r="C1629" s="37"/>
      <c r="D1629" s="37"/>
      <c r="E1629" s="37"/>
      <c r="F1629" s="40"/>
      <c r="G1629" s="40"/>
      <c r="H1629" s="7"/>
      <c r="I1629" s="253"/>
      <c r="J1629" s="253"/>
      <c r="K1629" s="606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94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51"/>
        <v/>
      </c>
      <c r="C1630" s="37"/>
      <c r="D1630" s="37"/>
      <c r="E1630" s="37"/>
      <c r="F1630" s="40"/>
      <c r="G1630" s="40"/>
      <c r="H1630" s="7"/>
      <c r="I1630" s="253"/>
      <c r="J1630" s="253"/>
      <c r="K1630" s="606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94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51"/>
        <v/>
      </c>
      <c r="C1631" s="190"/>
      <c r="D1631" s="190"/>
      <c r="E1631" s="190"/>
      <c r="F1631" s="191"/>
      <c r="G1631" s="491"/>
      <c r="H1631" s="192"/>
      <c r="I1631" s="253"/>
      <c r="J1631" s="253"/>
      <c r="K1631" s="606"/>
      <c r="L1631" s="193"/>
      <c r="M1631" s="193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94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51"/>
        <v/>
      </c>
      <c r="C1632" s="190"/>
      <c r="D1632" s="190"/>
      <c r="E1632" s="190"/>
      <c r="F1632" s="191"/>
      <c r="G1632" s="491"/>
      <c r="H1632" s="192"/>
      <c r="I1632" s="253"/>
      <c r="J1632" s="253"/>
      <c r="K1632" s="606"/>
      <c r="L1632" s="193"/>
      <c r="M1632" s="193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94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51"/>
        <v/>
      </c>
      <c r="C1633" s="190"/>
      <c r="D1633" s="190"/>
      <c r="E1633" s="190"/>
      <c r="F1633" s="191"/>
      <c r="G1633" s="491"/>
      <c r="H1633" s="192"/>
      <c r="I1633" s="253"/>
      <c r="J1633" s="253"/>
      <c r="K1633" s="606"/>
      <c r="L1633" s="193"/>
      <c r="M1633" s="193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94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51"/>
        <v/>
      </c>
      <c r="C1634" s="190"/>
      <c r="D1634" s="190"/>
      <c r="E1634" s="190"/>
      <c r="F1634" s="191"/>
      <c r="G1634" s="491"/>
      <c r="H1634" s="192"/>
      <c r="I1634" s="253"/>
      <c r="J1634" s="253"/>
      <c r="K1634" s="606"/>
      <c r="L1634" s="193"/>
      <c r="M1634" s="193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94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51"/>
        <v/>
      </c>
      <c r="C1635" s="190"/>
      <c r="D1635" s="190"/>
      <c r="E1635" s="190"/>
      <c r="F1635" s="191"/>
      <c r="G1635" s="491"/>
      <c r="H1635" s="192"/>
      <c r="I1635" s="253"/>
      <c r="J1635" s="253"/>
      <c r="K1635" s="606"/>
      <c r="L1635" s="193"/>
      <c r="M1635" s="193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94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51"/>
        <v/>
      </c>
      <c r="C1636" s="190"/>
      <c r="D1636" s="190"/>
      <c r="E1636" s="190"/>
      <c r="F1636" s="188"/>
      <c r="G1636" s="491"/>
      <c r="H1636" s="192"/>
      <c r="I1636" s="253"/>
      <c r="J1636" s="253"/>
      <c r="K1636" s="606"/>
      <c r="L1636" s="193"/>
      <c r="M1636" s="193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94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51"/>
        <v/>
      </c>
      <c r="C1637" s="190"/>
      <c r="D1637" s="190"/>
      <c r="E1637" s="190"/>
      <c r="F1637" s="191"/>
      <c r="G1637" s="491"/>
      <c r="H1637" s="192"/>
      <c r="I1637" s="253"/>
      <c r="J1637" s="253"/>
      <c r="K1637" s="606"/>
      <c r="L1637" s="193"/>
      <c r="M1637" s="193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94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51"/>
        <v/>
      </c>
      <c r="C1638" s="190"/>
      <c r="D1638" s="190"/>
      <c r="E1638" s="190"/>
      <c r="F1638" s="191"/>
      <c r="G1638" s="491"/>
      <c r="H1638" s="192"/>
      <c r="I1638" s="253"/>
      <c r="J1638" s="253"/>
      <c r="K1638" s="606"/>
      <c r="L1638" s="193"/>
      <c r="M1638" s="193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94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si="51"/>
        <v/>
      </c>
      <c r="C1639" s="190"/>
      <c r="D1639" s="190"/>
      <c r="E1639" s="190"/>
      <c r="F1639" s="191"/>
      <c r="G1639" s="491"/>
      <c r="H1639" s="192"/>
      <c r="I1639" s="253"/>
      <c r="J1639" s="253"/>
      <c r="K1639" s="606"/>
      <c r="L1639" s="193"/>
      <c r="M1639" s="193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94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51"/>
        <v/>
      </c>
      <c r="C1640" s="37"/>
      <c r="D1640" s="37"/>
      <c r="E1640" s="776"/>
      <c r="F1640" s="188"/>
      <c r="G1640" s="40"/>
      <c r="H1640" s="7"/>
      <c r="I1640" s="253"/>
      <c r="J1640" s="253"/>
      <c r="K1640" s="606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94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51"/>
        <v/>
      </c>
      <c r="C1641" s="37"/>
      <c r="D1641" s="37"/>
      <c r="E1641" s="776"/>
      <c r="F1641" s="293"/>
      <c r="G1641" s="40"/>
      <c r="H1641" s="7"/>
      <c r="I1641" s="253"/>
      <c r="J1641" s="253"/>
      <c r="K1641" s="606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94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51"/>
        <v/>
      </c>
      <c r="C1642" s="37"/>
      <c r="D1642" s="37"/>
      <c r="E1642" s="776"/>
      <c r="F1642" s="40"/>
      <c r="G1642" s="40"/>
      <c r="H1642" s="7"/>
      <c r="I1642" s="253"/>
      <c r="J1642" s="253"/>
      <c r="K1642" s="606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94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51"/>
        <v/>
      </c>
      <c r="C1643" s="37"/>
      <c r="D1643" s="37"/>
      <c r="E1643" s="776"/>
      <c r="F1643" s="188"/>
      <c r="G1643" s="40"/>
      <c r="H1643" s="7"/>
      <c r="I1643" s="253"/>
      <c r="J1643" s="253"/>
      <c r="K1643" s="606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94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51"/>
        <v/>
      </c>
      <c r="C1644" s="37"/>
      <c r="D1644" s="37"/>
      <c r="E1644" s="37"/>
      <c r="F1644" s="191"/>
      <c r="G1644" s="40"/>
      <c r="H1644" s="7"/>
      <c r="I1644" s="253"/>
      <c r="J1644" s="253"/>
      <c r="K1644" s="606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94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51"/>
        <v/>
      </c>
      <c r="C1645" s="37"/>
      <c r="D1645" s="37"/>
      <c r="E1645" s="37"/>
      <c r="F1645" s="191"/>
      <c r="G1645" s="40"/>
      <c r="H1645" s="7"/>
      <c r="I1645" s="253"/>
      <c r="J1645" s="253"/>
      <c r="K1645" s="606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94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51"/>
        <v/>
      </c>
      <c r="C1646" s="37"/>
      <c r="D1646" s="37"/>
      <c r="E1646" s="37"/>
      <c r="F1646" s="40"/>
      <c r="G1646" s="40"/>
      <c r="H1646" s="7"/>
      <c r="I1646" s="253"/>
      <c r="J1646" s="253"/>
      <c r="K1646" s="606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94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51"/>
        <v/>
      </c>
      <c r="C1647" s="37"/>
      <c r="D1647" s="37"/>
      <c r="E1647" s="37"/>
      <c r="F1647" s="40"/>
      <c r="G1647" s="40"/>
      <c r="H1647" s="7"/>
      <c r="I1647" s="253"/>
      <c r="J1647" s="253"/>
      <c r="K1647" s="606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94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51"/>
        <v/>
      </c>
      <c r="C1648" s="37"/>
      <c r="D1648" s="37"/>
      <c r="E1648" s="37"/>
      <c r="F1648" s="191"/>
      <c r="G1648" s="40"/>
      <c r="H1648" s="7"/>
      <c r="I1648" s="253"/>
      <c r="J1648" s="253"/>
      <c r="K1648" s="606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94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51"/>
        <v/>
      </c>
      <c r="C1649" s="37"/>
      <c r="D1649" s="37"/>
      <c r="E1649" s="37"/>
      <c r="F1649" s="188"/>
      <c r="G1649" s="40"/>
      <c r="H1649" s="7"/>
      <c r="I1649" s="253"/>
      <c r="J1649" s="253"/>
      <c r="K1649" s="606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94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51"/>
        <v/>
      </c>
      <c r="C1650" s="37"/>
      <c r="D1650" s="37"/>
      <c r="E1650" s="37"/>
      <c r="F1650" s="40"/>
      <c r="G1650" s="40"/>
      <c r="H1650" s="7"/>
      <c r="I1650" s="253"/>
      <c r="J1650" s="253"/>
      <c r="K1650" s="606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94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51"/>
        <v/>
      </c>
      <c r="C1651" s="37"/>
      <c r="D1651" s="37"/>
      <c r="E1651" s="37"/>
      <c r="F1651" s="40"/>
      <c r="G1651" s="40"/>
      <c r="H1651" s="7"/>
      <c r="I1651" s="253"/>
      <c r="J1651" s="253"/>
      <c r="K1651" s="606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94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51"/>
        <v/>
      </c>
      <c r="C1652" s="37"/>
      <c r="D1652" s="37"/>
      <c r="E1652" s="37"/>
      <c r="F1652" s="191"/>
      <c r="G1652" s="40"/>
      <c r="H1652" s="7"/>
      <c r="I1652" s="253"/>
      <c r="J1652" s="253"/>
      <c r="K1652" s="606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94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51"/>
        <v/>
      </c>
      <c r="C1653" s="37"/>
      <c r="D1653" s="37"/>
      <c r="E1653" s="37"/>
      <c r="F1653" s="191"/>
      <c r="G1653" s="40"/>
      <c r="H1653" s="7"/>
      <c r="I1653" s="253"/>
      <c r="J1653" s="253"/>
      <c r="K1653" s="606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94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51"/>
        <v/>
      </c>
      <c r="C1654" s="37"/>
      <c r="D1654" s="37"/>
      <c r="E1654" s="37"/>
      <c r="F1654" s="40"/>
      <c r="G1654" s="40"/>
      <c r="H1654" s="7"/>
      <c r="I1654" s="253"/>
      <c r="J1654" s="253"/>
      <c r="K1654" s="606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94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si="51"/>
        <v/>
      </c>
      <c r="C1655" s="37"/>
      <c r="D1655" s="37"/>
      <c r="E1655" s="37"/>
      <c r="F1655" s="40"/>
      <c r="G1655" s="40"/>
      <c r="H1655" s="7"/>
      <c r="I1655" s="253"/>
      <c r="J1655" s="253"/>
      <c r="K1655" s="606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94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si="51"/>
        <v/>
      </c>
      <c r="C1656" s="37"/>
      <c r="D1656" s="37"/>
      <c r="E1656" s="37"/>
      <c r="F1656" s="191"/>
      <c r="G1656" s="40"/>
      <c r="H1656" s="7"/>
      <c r="I1656" s="253"/>
      <c r="J1656" s="253"/>
      <c r="K1656" s="606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94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51"/>
        <v/>
      </c>
      <c r="C1657" s="37"/>
      <c r="D1657" s="37"/>
      <c r="E1657" s="37"/>
      <c r="F1657" s="188"/>
      <c r="G1657" s="40"/>
      <c r="H1657" s="7"/>
      <c r="I1657" s="253"/>
      <c r="J1657" s="253"/>
      <c r="K1657" s="606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94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51"/>
        <v/>
      </c>
      <c r="C1658" s="37"/>
      <c r="D1658" s="37"/>
      <c r="E1658" s="37"/>
      <c r="F1658" s="40"/>
      <c r="G1658" s="40"/>
      <c r="H1658" s="7"/>
      <c r="I1658" s="253"/>
      <c r="J1658" s="253"/>
      <c r="K1658" s="606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94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51"/>
        <v/>
      </c>
      <c r="C1659" s="37"/>
      <c r="D1659" s="37"/>
      <c r="E1659" s="37"/>
      <c r="F1659" s="40"/>
      <c r="G1659" s="40"/>
      <c r="H1659" s="7"/>
      <c r="I1659" s="253"/>
      <c r="J1659" s="253"/>
      <c r="K1659" s="606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94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51"/>
        <v/>
      </c>
      <c r="C1660" s="190"/>
      <c r="D1660" s="190"/>
      <c r="E1660" s="190"/>
      <c r="F1660" s="191"/>
      <c r="G1660" s="491"/>
      <c r="H1660" s="192"/>
      <c r="I1660" s="253"/>
      <c r="J1660" s="253"/>
      <c r="K1660" s="606"/>
      <c r="L1660" s="193"/>
      <c r="M1660" s="193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94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51"/>
        <v/>
      </c>
      <c r="C1661" s="190"/>
      <c r="D1661" s="190"/>
      <c r="E1661" s="190"/>
      <c r="F1661" s="191"/>
      <c r="G1661" s="491"/>
      <c r="H1661" s="192"/>
      <c r="I1661" s="253"/>
      <c r="J1661" s="253"/>
      <c r="K1661" s="606"/>
      <c r="L1661" s="193"/>
      <c r="M1661" s="193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94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51"/>
        <v/>
      </c>
      <c r="C1662" s="190"/>
      <c r="D1662" s="190"/>
      <c r="E1662" s="190"/>
      <c r="F1662" s="191"/>
      <c r="G1662" s="491"/>
      <c r="H1662" s="192"/>
      <c r="I1662" s="253"/>
      <c r="J1662" s="253"/>
      <c r="K1662" s="606"/>
      <c r="L1662" s="193"/>
      <c r="M1662" s="193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94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51"/>
        <v/>
      </c>
      <c r="C1663" s="190"/>
      <c r="D1663" s="190"/>
      <c r="E1663" s="190"/>
      <c r="F1663" s="191"/>
      <c r="G1663" s="491"/>
      <c r="H1663" s="192"/>
      <c r="I1663" s="253"/>
      <c r="J1663" s="253"/>
      <c r="K1663" s="606"/>
      <c r="L1663" s="193"/>
      <c r="M1663" s="193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94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51"/>
        <v/>
      </c>
      <c r="C1664" s="190"/>
      <c r="D1664" s="190"/>
      <c r="E1664" s="190"/>
      <c r="F1664" s="191"/>
      <c r="G1664" s="491"/>
      <c r="H1664" s="192"/>
      <c r="I1664" s="253"/>
      <c r="J1664" s="253"/>
      <c r="K1664" s="606"/>
      <c r="L1664" s="193"/>
      <c r="M1664" s="193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94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51"/>
        <v/>
      </c>
      <c r="C1665" s="190"/>
      <c r="D1665" s="190"/>
      <c r="E1665" s="190"/>
      <c r="F1665" s="191"/>
      <c r="G1665" s="491"/>
      <c r="H1665" s="192"/>
      <c r="I1665" s="253"/>
      <c r="J1665" s="253"/>
      <c r="K1665" s="606"/>
      <c r="L1665" s="193"/>
      <c r="M1665" s="193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94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51"/>
        <v/>
      </c>
      <c r="C1666" s="190"/>
      <c r="D1666" s="190"/>
      <c r="E1666" s="190"/>
      <c r="F1666" s="191"/>
      <c r="G1666" s="491"/>
      <c r="H1666" s="192"/>
      <c r="I1666" s="253"/>
      <c r="J1666" s="253"/>
      <c r="K1666" s="606"/>
      <c r="L1666" s="193"/>
      <c r="M1666" s="193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94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51"/>
        <v/>
      </c>
      <c r="C1667" s="190"/>
      <c r="D1667" s="190"/>
      <c r="E1667" s="190"/>
      <c r="F1667" s="191"/>
      <c r="G1667" s="491"/>
      <c r="H1667" s="192"/>
      <c r="I1667" s="253"/>
      <c r="J1667" s="253"/>
      <c r="K1667" s="606"/>
      <c r="L1667" s="193"/>
      <c r="M1667" s="193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94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51"/>
        <v/>
      </c>
      <c r="C1668" s="190"/>
      <c r="D1668" s="190"/>
      <c r="E1668" s="190"/>
      <c r="F1668" s="191"/>
      <c r="G1668" s="491"/>
      <c r="H1668" s="192"/>
      <c r="I1668" s="253"/>
      <c r="J1668" s="253"/>
      <c r="K1668" s="606"/>
      <c r="L1668" s="193"/>
      <c r="M1668" s="193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94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51"/>
        <v/>
      </c>
      <c r="C1669" s="37"/>
      <c r="D1669" s="37"/>
      <c r="E1669" s="37"/>
      <c r="F1669" s="40"/>
      <c r="G1669" s="40"/>
      <c r="H1669" s="7"/>
      <c r="I1669" s="253"/>
      <c r="J1669" s="253"/>
      <c r="K1669" s="606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94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51"/>
        <v/>
      </c>
      <c r="C1670" s="37"/>
      <c r="D1670" s="37"/>
      <c r="E1670" s="37"/>
      <c r="F1670" s="40"/>
      <c r="G1670" s="40"/>
      <c r="H1670" s="7"/>
      <c r="I1670" s="253"/>
      <c r="J1670" s="253"/>
      <c r="K1670" s="606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94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51"/>
        <v/>
      </c>
      <c r="C1671" s="37"/>
      <c r="D1671" s="37"/>
      <c r="E1671" s="37"/>
      <c r="F1671" s="40"/>
      <c r="G1671" s="40"/>
      <c r="H1671" s="7"/>
      <c r="I1671" s="253"/>
      <c r="J1671" s="253"/>
      <c r="K1671" s="606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94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51"/>
        <v/>
      </c>
      <c r="C1672" s="37"/>
      <c r="D1672" s="37"/>
      <c r="E1672" s="37"/>
      <c r="F1672" s="191"/>
      <c r="G1672" s="40"/>
      <c r="H1672" s="7"/>
      <c r="I1672" s="253"/>
      <c r="J1672" s="253"/>
      <c r="K1672" s="606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94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51"/>
        <v/>
      </c>
      <c r="C1673" s="37"/>
      <c r="D1673" s="37"/>
      <c r="E1673" s="37"/>
      <c r="F1673" s="40"/>
      <c r="G1673" s="40"/>
      <c r="H1673" s="7"/>
      <c r="I1673" s="253"/>
      <c r="J1673" s="253"/>
      <c r="K1673" s="606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94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51"/>
        <v/>
      </c>
      <c r="C1674" s="37"/>
      <c r="D1674" s="37"/>
      <c r="E1674" s="37"/>
      <c r="F1674" s="40"/>
      <c r="G1674" s="40"/>
      <c r="H1674" s="7"/>
      <c r="I1674" s="253"/>
      <c r="J1674" s="253"/>
      <c r="K1674" s="606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94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51"/>
        <v/>
      </c>
      <c r="C1675" s="37"/>
      <c r="D1675" s="37"/>
      <c r="E1675" s="37"/>
      <c r="F1675" s="40"/>
      <c r="G1675" s="40"/>
      <c r="H1675" s="7"/>
      <c r="I1675" s="253"/>
      <c r="J1675" s="253"/>
      <c r="K1675" s="606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94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51"/>
        <v/>
      </c>
      <c r="C1676" s="37"/>
      <c r="D1676" s="37"/>
      <c r="E1676" s="37"/>
      <c r="F1676" s="40"/>
      <c r="G1676" s="40"/>
      <c r="H1676" s="7"/>
      <c r="I1676" s="253"/>
      <c r="J1676" s="253"/>
      <c r="K1676" s="606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94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si="51"/>
        <v/>
      </c>
      <c r="C1677" s="37"/>
      <c r="D1677" s="37"/>
      <c r="E1677" s="37"/>
      <c r="F1677" s="40"/>
      <c r="G1677" s="40"/>
      <c r="H1677" s="7"/>
      <c r="I1677" s="253"/>
      <c r="J1677" s="253"/>
      <c r="K1677" s="606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94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51"/>
        <v/>
      </c>
      <c r="C1678" s="37"/>
      <c r="D1678" s="37"/>
      <c r="E1678" s="37"/>
      <c r="F1678" s="40"/>
      <c r="G1678" s="40"/>
      <c r="H1678" s="7"/>
      <c r="I1678" s="253"/>
      <c r="J1678" s="253"/>
      <c r="K1678" s="606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94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51"/>
        <v/>
      </c>
      <c r="C1679" s="37"/>
      <c r="D1679" s="37"/>
      <c r="E1679" s="37"/>
      <c r="F1679" s="40"/>
      <c r="G1679" s="40"/>
      <c r="H1679" s="7"/>
      <c r="I1679" s="253"/>
      <c r="J1679" s="253"/>
      <c r="K1679" s="606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94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51"/>
        <v/>
      </c>
      <c r="C1680" s="37"/>
      <c r="D1680" s="37"/>
      <c r="E1680" s="37"/>
      <c r="F1680" s="191"/>
      <c r="G1680" s="40"/>
      <c r="H1680" s="7"/>
      <c r="I1680" s="253"/>
      <c r="J1680" s="253"/>
      <c r="K1680" s="606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94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51"/>
        <v/>
      </c>
      <c r="C1681" s="37"/>
      <c r="D1681" s="37"/>
      <c r="E1681" s="37"/>
      <c r="F1681" s="40"/>
      <c r="G1681" s="40"/>
      <c r="H1681" s="7"/>
      <c r="I1681" s="253"/>
      <c r="J1681" s="253"/>
      <c r="K1681" s="606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94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51"/>
        <v/>
      </c>
      <c r="C1682" s="37"/>
      <c r="D1682" s="37"/>
      <c r="E1682" s="37"/>
      <c r="F1682" s="40"/>
      <c r="G1682" s="40"/>
      <c r="H1682" s="7"/>
      <c r="I1682" s="253"/>
      <c r="J1682" s="253"/>
      <c r="K1682" s="606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94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51"/>
        <v/>
      </c>
      <c r="C1683" s="37"/>
      <c r="D1683" s="37"/>
      <c r="E1683" s="37"/>
      <c r="F1683" s="40"/>
      <c r="G1683" s="40"/>
      <c r="H1683" s="7"/>
      <c r="I1683" s="253"/>
      <c r="J1683" s="253"/>
      <c r="K1683" s="606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94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51"/>
        <v/>
      </c>
      <c r="C1684" s="37"/>
      <c r="D1684" s="37"/>
      <c r="E1684" s="37"/>
      <c r="F1684" s="40"/>
      <c r="G1684" s="40"/>
      <c r="H1684" s="7"/>
      <c r="I1684" s="253"/>
      <c r="J1684" s="253"/>
      <c r="K1684" s="606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94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51"/>
        <v/>
      </c>
      <c r="C1685" s="190"/>
      <c r="D1685" s="190"/>
      <c r="E1685" s="190"/>
      <c r="F1685" s="191"/>
      <c r="G1685" s="491"/>
      <c r="H1685" s="817"/>
      <c r="I1685" s="253"/>
      <c r="J1685" s="253"/>
      <c r="K1685" s="606"/>
      <c r="L1685" s="193"/>
      <c r="M1685" s="193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94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51"/>
        <v/>
      </c>
      <c r="C1686" s="190"/>
      <c r="D1686" s="190"/>
      <c r="E1686" s="190"/>
      <c r="F1686" s="191"/>
      <c r="G1686" s="491"/>
      <c r="H1686" s="817"/>
      <c r="I1686" s="253"/>
      <c r="J1686" s="253"/>
      <c r="K1686" s="606"/>
      <c r="L1686" s="193"/>
      <c r="M1686" s="193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94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51"/>
        <v/>
      </c>
      <c r="C1687" s="190"/>
      <c r="D1687" s="190"/>
      <c r="E1687" s="190"/>
      <c r="F1687" s="191"/>
      <c r="G1687" s="491"/>
      <c r="H1687" s="817"/>
      <c r="I1687" s="253"/>
      <c r="J1687" s="253"/>
      <c r="K1687" s="606"/>
      <c r="L1687" s="193"/>
      <c r="M1687" s="193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94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51"/>
        <v/>
      </c>
      <c r="C1688" s="190"/>
      <c r="D1688" s="190"/>
      <c r="E1688" s="190"/>
      <c r="F1688" s="191"/>
      <c r="G1688" s="491"/>
      <c r="H1688" s="817"/>
      <c r="I1688" s="253"/>
      <c r="J1688" s="253"/>
      <c r="K1688" s="606"/>
      <c r="L1688" s="193"/>
      <c r="M1688" s="193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94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ref="B1689:B1752" si="52">IF(C1689&lt;&gt;"",MONTH(C1689),"")</f>
        <v/>
      </c>
      <c r="C1689" s="190"/>
      <c r="D1689" s="190"/>
      <c r="E1689" s="190"/>
      <c r="F1689" s="191"/>
      <c r="G1689" s="491"/>
      <c r="H1689" s="817"/>
      <c r="I1689" s="253"/>
      <c r="J1689" s="253"/>
      <c r="K1689" s="606"/>
      <c r="L1689" s="193"/>
      <c r="M1689" s="193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94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52"/>
        <v/>
      </c>
      <c r="C1690" s="190"/>
      <c r="D1690" s="190"/>
      <c r="E1690" s="190"/>
      <c r="F1690" s="191"/>
      <c r="G1690" s="491"/>
      <c r="H1690" s="817"/>
      <c r="I1690" s="253"/>
      <c r="J1690" s="253"/>
      <c r="K1690" s="606"/>
      <c r="L1690" s="193"/>
      <c r="M1690" s="193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94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52"/>
        <v/>
      </c>
      <c r="C1691" s="190"/>
      <c r="D1691" s="190"/>
      <c r="E1691" s="190"/>
      <c r="F1691" s="191"/>
      <c r="G1691" s="491"/>
      <c r="H1691" s="817"/>
      <c r="I1691" s="253"/>
      <c r="J1691" s="253"/>
      <c r="K1691" s="606"/>
      <c r="L1691" s="193"/>
      <c r="M1691" s="193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94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52"/>
        <v/>
      </c>
      <c r="C1692" s="190"/>
      <c r="D1692" s="190"/>
      <c r="E1692" s="190"/>
      <c r="F1692" s="191"/>
      <c r="G1692" s="491"/>
      <c r="H1692" s="817"/>
      <c r="I1692" s="253"/>
      <c r="J1692" s="253"/>
      <c r="K1692" s="606"/>
      <c r="L1692" s="193"/>
      <c r="M1692" s="193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94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52"/>
        <v/>
      </c>
      <c r="C1693" s="190"/>
      <c r="D1693" s="190"/>
      <c r="E1693" s="190"/>
      <c r="F1693" s="191"/>
      <c r="G1693" s="491"/>
      <c r="H1693" s="817"/>
      <c r="I1693" s="253"/>
      <c r="J1693" s="253"/>
      <c r="K1693" s="606"/>
      <c r="L1693" s="193"/>
      <c r="M1693" s="193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94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52"/>
        <v/>
      </c>
      <c r="C1694" s="190"/>
      <c r="D1694" s="190"/>
      <c r="E1694" s="190"/>
      <c r="F1694" s="191"/>
      <c r="G1694" s="491"/>
      <c r="H1694" s="817"/>
      <c r="I1694" s="253"/>
      <c r="J1694" s="253"/>
      <c r="K1694" s="606"/>
      <c r="L1694" s="193"/>
      <c r="M1694" s="193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94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52"/>
        <v/>
      </c>
      <c r="C1695" s="190"/>
      <c r="D1695" s="190"/>
      <c r="E1695" s="190"/>
      <c r="F1695" s="191"/>
      <c r="G1695" s="491"/>
      <c r="H1695" s="817"/>
      <c r="I1695" s="253"/>
      <c r="J1695" s="253"/>
      <c r="K1695" s="606"/>
      <c r="L1695" s="193"/>
      <c r="M1695" s="193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94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52"/>
        <v/>
      </c>
      <c r="C1696" s="190"/>
      <c r="D1696" s="190"/>
      <c r="E1696" s="190"/>
      <c r="F1696" s="191"/>
      <c r="G1696" s="491"/>
      <c r="H1696" s="817"/>
      <c r="I1696" s="253"/>
      <c r="J1696" s="253"/>
      <c r="K1696" s="606"/>
      <c r="L1696" s="193"/>
      <c r="M1696" s="193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94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52"/>
        <v/>
      </c>
      <c r="C1697" s="190"/>
      <c r="D1697" s="190"/>
      <c r="E1697" s="190"/>
      <c r="F1697" s="191"/>
      <c r="G1697" s="491"/>
      <c r="H1697" s="817"/>
      <c r="I1697" s="253"/>
      <c r="J1697" s="253"/>
      <c r="K1697" s="606"/>
      <c r="L1697" s="193"/>
      <c r="M1697" s="193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94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52"/>
        <v/>
      </c>
      <c r="C1698" s="190"/>
      <c r="D1698" s="190"/>
      <c r="E1698" s="190"/>
      <c r="F1698" s="191"/>
      <c r="G1698" s="491"/>
      <c r="H1698" s="817"/>
      <c r="I1698" s="253"/>
      <c r="J1698" s="253"/>
      <c r="K1698" s="606"/>
      <c r="L1698" s="193"/>
      <c r="M1698" s="193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94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52"/>
        <v/>
      </c>
      <c r="C1699" s="190"/>
      <c r="D1699" s="190"/>
      <c r="E1699" s="190"/>
      <c r="F1699" s="191"/>
      <c r="G1699" s="491"/>
      <c r="H1699" s="817"/>
      <c r="I1699" s="253"/>
      <c r="J1699" s="253"/>
      <c r="K1699" s="606"/>
      <c r="L1699" s="193"/>
      <c r="M1699" s="193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94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52"/>
        <v/>
      </c>
      <c r="C1700" s="37"/>
      <c r="D1700" s="37"/>
      <c r="E1700" s="37"/>
      <c r="F1700" s="40"/>
      <c r="G1700" s="40"/>
      <c r="H1700" s="7"/>
      <c r="I1700" s="253"/>
      <c r="J1700" s="253"/>
      <c r="K1700" s="606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94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52"/>
        <v/>
      </c>
      <c r="C1701" s="37"/>
      <c r="D1701" s="37"/>
      <c r="E1701" s="37"/>
      <c r="F1701" s="40"/>
      <c r="G1701" s="40"/>
      <c r="H1701" s="7"/>
      <c r="I1701" s="253"/>
      <c r="J1701" s="253"/>
      <c r="K1701" s="606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94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52"/>
        <v/>
      </c>
      <c r="C1702" s="37"/>
      <c r="D1702" s="37"/>
      <c r="E1702" s="37"/>
      <c r="F1702" s="40"/>
      <c r="G1702" s="40"/>
      <c r="H1702" s="7"/>
      <c r="I1702" s="253"/>
      <c r="J1702" s="253"/>
      <c r="K1702" s="606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94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si="52"/>
        <v/>
      </c>
      <c r="C1703" s="37"/>
      <c r="D1703" s="37"/>
      <c r="E1703" s="37"/>
      <c r="F1703" s="40"/>
      <c r="G1703" s="40"/>
      <c r="H1703" s="7"/>
      <c r="I1703" s="253"/>
      <c r="J1703" s="253"/>
      <c r="K1703" s="606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94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52"/>
        <v/>
      </c>
      <c r="C1704" s="37"/>
      <c r="D1704" s="37"/>
      <c r="E1704" s="37"/>
      <c r="F1704" s="40"/>
      <c r="G1704" s="40"/>
      <c r="H1704" s="7"/>
      <c r="I1704" s="253"/>
      <c r="J1704" s="253"/>
      <c r="K1704" s="606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94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52"/>
        <v/>
      </c>
      <c r="C1705" s="37"/>
      <c r="D1705" s="37"/>
      <c r="E1705" s="37"/>
      <c r="F1705" s="40"/>
      <c r="G1705" s="40"/>
      <c r="H1705" s="7"/>
      <c r="I1705" s="253"/>
      <c r="J1705" s="253"/>
      <c r="K1705" s="606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94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52"/>
        <v/>
      </c>
      <c r="C1706" s="37"/>
      <c r="D1706" s="37"/>
      <c r="E1706" s="37"/>
      <c r="F1706" s="40"/>
      <c r="G1706" s="40"/>
      <c r="H1706" s="7"/>
      <c r="I1706" s="253"/>
      <c r="J1706" s="253"/>
      <c r="K1706" s="606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94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52"/>
        <v/>
      </c>
      <c r="C1707" s="37"/>
      <c r="D1707" s="37"/>
      <c r="E1707" s="37"/>
      <c r="F1707" s="40"/>
      <c r="G1707" s="40"/>
      <c r="H1707" s="7"/>
      <c r="I1707" s="253"/>
      <c r="J1707" s="253"/>
      <c r="K1707" s="606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94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52"/>
        <v/>
      </c>
      <c r="C1708" s="37"/>
      <c r="D1708" s="37"/>
      <c r="E1708" s="37"/>
      <c r="F1708" s="40"/>
      <c r="G1708" s="40"/>
      <c r="H1708" s="7"/>
      <c r="I1708" s="253"/>
      <c r="J1708" s="253"/>
      <c r="K1708" s="606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94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52"/>
        <v/>
      </c>
      <c r="C1709" s="37"/>
      <c r="D1709" s="37"/>
      <c r="E1709" s="37"/>
      <c r="F1709" s="40"/>
      <c r="G1709" s="40"/>
      <c r="H1709" s="7"/>
      <c r="I1709" s="253"/>
      <c r="J1709" s="253"/>
      <c r="K1709" s="606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94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52"/>
        <v/>
      </c>
      <c r="C1710" s="37"/>
      <c r="D1710" s="37"/>
      <c r="E1710" s="37"/>
      <c r="F1710" s="40"/>
      <c r="G1710" s="40"/>
      <c r="H1710" s="7"/>
      <c r="I1710" s="253"/>
      <c r="J1710" s="253"/>
      <c r="K1710" s="606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94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52"/>
        <v/>
      </c>
      <c r="C1711" s="37"/>
      <c r="D1711" s="37"/>
      <c r="E1711" s="37"/>
      <c r="F1711" s="40"/>
      <c r="G1711" s="40"/>
      <c r="H1711" s="7"/>
      <c r="I1711" s="253"/>
      <c r="J1711" s="253"/>
      <c r="K1711" s="606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94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52"/>
        <v/>
      </c>
      <c r="C1712" s="37"/>
      <c r="D1712" s="37"/>
      <c r="E1712" s="37"/>
      <c r="F1712" s="40"/>
      <c r="G1712" s="40"/>
      <c r="H1712" s="7"/>
      <c r="I1712" s="253"/>
      <c r="J1712" s="253"/>
      <c r="K1712" s="606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94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52"/>
        <v/>
      </c>
      <c r="C1713" s="37"/>
      <c r="D1713" s="37"/>
      <c r="E1713" s="37"/>
      <c r="F1713" s="40"/>
      <c r="G1713" s="40"/>
      <c r="H1713" s="7"/>
      <c r="I1713" s="253"/>
      <c r="J1713" s="253"/>
      <c r="K1713" s="606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94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52"/>
        <v/>
      </c>
      <c r="C1714" s="37"/>
      <c r="D1714" s="37"/>
      <c r="E1714" s="37"/>
      <c r="F1714" s="40"/>
      <c r="G1714" s="40"/>
      <c r="H1714" s="7"/>
      <c r="I1714" s="253"/>
      <c r="J1714" s="253"/>
      <c r="K1714" s="606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94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52"/>
        <v/>
      </c>
      <c r="C1715" s="37"/>
      <c r="D1715" s="37"/>
      <c r="E1715" s="37"/>
      <c r="F1715" s="40"/>
      <c r="G1715" s="40"/>
      <c r="H1715" s="7"/>
      <c r="I1715" s="253"/>
      <c r="J1715" s="253"/>
      <c r="K1715" s="606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94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52"/>
        <v/>
      </c>
      <c r="C1716" s="37"/>
      <c r="D1716" s="37"/>
      <c r="E1716" s="37"/>
      <c r="F1716" s="40"/>
      <c r="G1716" s="40"/>
      <c r="H1716" s="7"/>
      <c r="I1716" s="253"/>
      <c r="J1716" s="253"/>
      <c r="K1716" s="606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94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52"/>
        <v/>
      </c>
      <c r="C1717" s="37"/>
      <c r="D1717" s="37"/>
      <c r="E1717" s="37"/>
      <c r="F1717" s="40"/>
      <c r="G1717" s="40"/>
      <c r="H1717" s="7"/>
      <c r="I1717" s="253"/>
      <c r="J1717" s="253"/>
      <c r="K1717" s="606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94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52"/>
        <v/>
      </c>
      <c r="C1718" s="37"/>
      <c r="D1718" s="37"/>
      <c r="E1718" s="37"/>
      <c r="F1718" s="40"/>
      <c r="G1718" s="40"/>
      <c r="H1718" s="7"/>
      <c r="I1718" s="253"/>
      <c r="J1718" s="253"/>
      <c r="K1718" s="606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94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si="52"/>
        <v/>
      </c>
      <c r="C1719" s="37"/>
      <c r="D1719" s="37"/>
      <c r="E1719" s="37"/>
      <c r="F1719" s="40"/>
      <c r="G1719" s="40"/>
      <c r="H1719" s="7"/>
      <c r="I1719" s="253"/>
      <c r="J1719" s="253"/>
      <c r="K1719" s="606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94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si="52"/>
        <v/>
      </c>
      <c r="C1720" s="37"/>
      <c r="D1720" s="37"/>
      <c r="E1720" s="37"/>
      <c r="F1720" s="40"/>
      <c r="G1720" s="40"/>
      <c r="H1720" s="7"/>
      <c r="I1720" s="253"/>
      <c r="J1720" s="253"/>
      <c r="K1720" s="606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94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52"/>
        <v/>
      </c>
      <c r="C1721" s="37"/>
      <c r="D1721" s="37"/>
      <c r="E1721" s="37"/>
      <c r="F1721" s="40"/>
      <c r="G1721" s="40"/>
      <c r="H1721" s="7"/>
      <c r="I1721" s="253"/>
      <c r="J1721" s="253"/>
      <c r="K1721" s="606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94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52"/>
        <v/>
      </c>
      <c r="C1722" s="183"/>
      <c r="D1722" s="183"/>
      <c r="E1722" s="190"/>
      <c r="F1722" s="188"/>
      <c r="G1722" s="608"/>
      <c r="H1722" s="7"/>
      <c r="I1722" s="253"/>
      <c r="J1722" s="253"/>
      <c r="K1722" s="606"/>
      <c r="L1722" s="607"/>
      <c r="M1722" s="607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94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52"/>
        <v/>
      </c>
      <c r="C1723" s="183"/>
      <c r="D1723" s="183"/>
      <c r="E1723" s="183"/>
      <c r="F1723" s="188"/>
      <c r="G1723" s="608"/>
      <c r="H1723" s="192"/>
      <c r="I1723" s="253"/>
      <c r="J1723" s="253"/>
      <c r="K1723" s="606"/>
      <c r="L1723" s="607"/>
      <c r="M1723" s="607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94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52"/>
        <v/>
      </c>
      <c r="C1724" s="190"/>
      <c r="D1724" s="183"/>
      <c r="E1724" s="190"/>
      <c r="F1724" s="293"/>
      <c r="G1724" s="491"/>
      <c r="H1724" s="7"/>
      <c r="I1724" s="253"/>
      <c r="J1724" s="253"/>
      <c r="K1724" s="606"/>
      <c r="L1724" s="193"/>
      <c r="M1724" s="193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94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52"/>
        <v/>
      </c>
      <c r="C1725" s="190"/>
      <c r="D1725" s="183"/>
      <c r="E1725" s="190"/>
      <c r="F1725" s="293"/>
      <c r="G1725" s="491"/>
      <c r="H1725" s="7"/>
      <c r="I1725" s="254"/>
      <c r="J1725" s="254"/>
      <c r="K1725" s="38"/>
      <c r="L1725" s="193"/>
      <c r="M1725" s="193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94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52"/>
        <v/>
      </c>
      <c r="C1726" s="183"/>
      <c r="D1726" s="183"/>
      <c r="E1726" s="190"/>
      <c r="F1726" s="188"/>
      <c r="G1726" s="608"/>
      <c r="H1726" s="7"/>
      <c r="I1726" s="253"/>
      <c r="J1726" s="253"/>
      <c r="K1726" s="606"/>
      <c r="L1726" s="607"/>
      <c r="M1726" s="607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94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52"/>
        <v/>
      </c>
      <c r="C1727" s="183"/>
      <c r="D1727" s="183"/>
      <c r="E1727" s="190"/>
      <c r="F1727" s="188"/>
      <c r="G1727" s="608"/>
      <c r="H1727" s="7"/>
      <c r="I1727" s="253"/>
      <c r="J1727" s="253"/>
      <c r="K1727" s="606"/>
      <c r="L1727" s="607"/>
      <c r="M1727" s="607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94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52"/>
        <v/>
      </c>
      <c r="C1728" s="183"/>
      <c r="D1728" s="183"/>
      <c r="E1728" s="183"/>
      <c r="F1728" s="188"/>
      <c r="G1728" s="608"/>
      <c r="H1728" s="7"/>
      <c r="I1728" s="253"/>
      <c r="J1728" s="253"/>
      <c r="K1728" s="606"/>
      <c r="L1728" s="607"/>
      <c r="M1728" s="607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94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52"/>
        <v/>
      </c>
      <c r="C1729" s="183"/>
      <c r="D1729" s="183"/>
      <c r="E1729" s="183"/>
      <c r="F1729" s="188"/>
      <c r="G1729" s="608"/>
      <c r="H1729" s="7"/>
      <c r="I1729" s="253"/>
      <c r="J1729" s="253"/>
      <c r="K1729" s="606"/>
      <c r="L1729" s="607"/>
      <c r="M1729" s="607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94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52"/>
        <v/>
      </c>
      <c r="C1730" s="183"/>
      <c r="D1730" s="183"/>
      <c r="E1730" s="183"/>
      <c r="F1730" s="188"/>
      <c r="G1730" s="608"/>
      <c r="H1730" s="7"/>
      <c r="I1730" s="253"/>
      <c r="J1730" s="253"/>
      <c r="K1730" s="606"/>
      <c r="L1730" s="607"/>
      <c r="M1730" s="607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94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52"/>
        <v/>
      </c>
      <c r="C1731" s="183"/>
      <c r="D1731" s="183"/>
      <c r="E1731" s="190"/>
      <c r="F1731" s="188"/>
      <c r="G1731" s="608"/>
      <c r="H1731" s="7"/>
      <c r="I1731" s="253"/>
      <c r="J1731" s="253"/>
      <c r="K1731" s="606"/>
      <c r="L1731" s="607"/>
      <c r="M1731" s="607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94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52"/>
        <v/>
      </c>
      <c r="C1732" s="183"/>
      <c r="D1732" s="183"/>
      <c r="E1732" s="190"/>
      <c r="F1732" s="188"/>
      <c r="G1732" s="608"/>
      <c r="H1732" s="7"/>
      <c r="I1732" s="253"/>
      <c r="J1732" s="253"/>
      <c r="K1732" s="606"/>
      <c r="L1732" s="607"/>
      <c r="M1732" s="607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94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52"/>
        <v/>
      </c>
      <c r="C1733" s="190"/>
      <c r="D1733" s="37"/>
      <c r="E1733" s="776"/>
      <c r="F1733" s="451"/>
      <c r="G1733" s="40"/>
      <c r="H1733" s="7"/>
      <c r="I1733" s="253"/>
      <c r="J1733" s="253"/>
      <c r="K1733" s="606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94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52"/>
        <v/>
      </c>
      <c r="C1734" s="190"/>
      <c r="D1734" s="37"/>
      <c r="E1734" s="776"/>
      <c r="F1734" s="451"/>
      <c r="G1734" s="40"/>
      <c r="H1734" s="7"/>
      <c r="I1734" s="253"/>
      <c r="J1734" s="253"/>
      <c r="K1734" s="606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94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52"/>
        <v/>
      </c>
      <c r="C1735" s="190"/>
      <c r="D1735" s="190"/>
      <c r="E1735" s="190"/>
      <c r="F1735" s="40"/>
      <c r="G1735" s="491"/>
      <c r="H1735" s="7"/>
      <c r="I1735" s="253"/>
      <c r="J1735" s="253"/>
      <c r="K1735" s="606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94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52"/>
        <v/>
      </c>
      <c r="C1736" s="190"/>
      <c r="D1736" s="190"/>
      <c r="E1736" s="190"/>
      <c r="F1736" s="40"/>
      <c r="G1736" s="491"/>
      <c r="H1736" s="7"/>
      <c r="I1736" s="253"/>
      <c r="J1736" s="253"/>
      <c r="K1736" s="606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94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52"/>
        <v/>
      </c>
      <c r="C1737" s="190"/>
      <c r="D1737" s="190"/>
      <c r="E1737" s="190"/>
      <c r="F1737" s="293"/>
      <c r="G1737" s="491"/>
      <c r="H1737" s="7"/>
      <c r="I1737" s="254"/>
      <c r="J1737" s="254"/>
      <c r="K1737" s="606"/>
      <c r="L1737" s="193"/>
      <c r="M1737" s="193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94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52"/>
        <v/>
      </c>
      <c r="C1738" s="190"/>
      <c r="D1738" s="190"/>
      <c r="E1738" s="190"/>
      <c r="F1738" s="191"/>
      <c r="G1738" s="491"/>
      <c r="H1738" s="7"/>
      <c r="I1738" s="253"/>
      <c r="J1738" s="253"/>
      <c r="K1738" s="38"/>
      <c r="L1738" s="193"/>
      <c r="M1738" s="193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94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52"/>
        <v/>
      </c>
      <c r="C1739" s="190"/>
      <c r="D1739" s="190"/>
      <c r="E1739" s="190"/>
      <c r="F1739" s="191"/>
      <c r="G1739" s="491"/>
      <c r="H1739" s="192"/>
      <c r="I1739" s="253"/>
      <c r="J1739" s="253"/>
      <c r="K1739" s="38"/>
      <c r="L1739" s="193"/>
      <c r="M1739" s="607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94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52"/>
        <v/>
      </c>
      <c r="C1740" s="190"/>
      <c r="D1740" s="190"/>
      <c r="E1740" s="190"/>
      <c r="F1740" s="191"/>
      <c r="G1740" s="491"/>
      <c r="H1740" s="192"/>
      <c r="I1740" s="253"/>
      <c r="J1740" s="253"/>
      <c r="K1740" s="606"/>
      <c r="L1740" s="193"/>
      <c r="M1740" s="193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94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si="52"/>
        <v/>
      </c>
      <c r="C1741" s="190"/>
      <c r="D1741" s="190"/>
      <c r="E1741" s="190"/>
      <c r="F1741" s="191"/>
      <c r="G1741" s="491"/>
      <c r="H1741" s="192"/>
      <c r="I1741" s="253"/>
      <c r="J1741" s="253"/>
      <c r="K1741" s="606"/>
      <c r="L1741" s="193"/>
      <c r="M1741" s="193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94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52"/>
        <v/>
      </c>
      <c r="C1742" s="190"/>
      <c r="D1742" s="37"/>
      <c r="E1742" s="190"/>
      <c r="F1742" s="293"/>
      <c r="G1742" s="40"/>
      <c r="H1742" s="7"/>
      <c r="I1742" s="253"/>
      <c r="J1742" s="253"/>
      <c r="K1742" s="606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94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52"/>
        <v/>
      </c>
      <c r="C1743" s="190"/>
      <c r="D1743" s="37"/>
      <c r="E1743" s="190"/>
      <c r="F1743" s="191"/>
      <c r="G1743" s="491"/>
      <c r="H1743" s="192"/>
      <c r="I1743" s="253"/>
      <c r="J1743" s="253"/>
      <c r="K1743" s="606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94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52"/>
        <v/>
      </c>
      <c r="C1744" s="183"/>
      <c r="D1744" s="183"/>
      <c r="E1744" s="183"/>
      <c r="F1744" s="188"/>
      <c r="G1744" s="608"/>
      <c r="H1744" s="192"/>
      <c r="I1744" s="253"/>
      <c r="J1744" s="253"/>
      <c r="K1744" s="606"/>
      <c r="L1744" s="607"/>
      <c r="M1744" s="607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94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52"/>
        <v/>
      </c>
      <c r="C1745" s="190"/>
      <c r="D1745" s="183"/>
      <c r="E1745" s="190"/>
      <c r="F1745" s="847"/>
      <c r="G1745" s="670"/>
      <c r="H1745" s="7"/>
      <c r="I1745" s="253"/>
      <c r="J1745" s="253"/>
      <c r="K1745" s="606"/>
      <c r="L1745" s="607"/>
      <c r="M1745" s="607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94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52"/>
        <v/>
      </c>
      <c r="C1746" s="190"/>
      <c r="D1746" s="183"/>
      <c r="E1746" s="190"/>
      <c r="F1746" s="847"/>
      <c r="G1746" s="670"/>
      <c r="H1746" s="7"/>
      <c r="I1746" s="253"/>
      <c r="J1746" s="253"/>
      <c r="K1746" s="606"/>
      <c r="L1746" s="607"/>
      <c r="M1746" s="607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94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52"/>
        <v/>
      </c>
      <c r="C1747" s="190"/>
      <c r="D1747" s="190"/>
      <c r="E1747" s="190"/>
      <c r="F1747" s="191"/>
      <c r="G1747" s="670"/>
      <c r="H1747" s="7"/>
      <c r="I1747" s="253"/>
      <c r="J1747" s="253"/>
      <c r="K1747" s="38"/>
      <c r="L1747" s="193"/>
      <c r="M1747" s="193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94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52"/>
        <v/>
      </c>
      <c r="C1748" s="190"/>
      <c r="D1748" s="190"/>
      <c r="E1748" s="798"/>
      <c r="F1748" s="191"/>
      <c r="G1748" s="491"/>
      <c r="H1748" s="192"/>
      <c r="I1748" s="256"/>
      <c r="J1748" s="256"/>
      <c r="K1748" s="843"/>
      <c r="L1748" s="193"/>
      <c r="M1748" s="607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94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52"/>
        <v/>
      </c>
      <c r="C1749" s="190"/>
      <c r="D1749" s="37"/>
      <c r="E1749" s="776"/>
      <c r="F1749" s="449"/>
      <c r="G1749" s="40"/>
      <c r="H1749" s="7"/>
      <c r="I1749" s="253"/>
      <c r="J1749" s="253"/>
      <c r="K1749" s="606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94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52"/>
        <v/>
      </c>
      <c r="C1750" s="190"/>
      <c r="D1750" s="190"/>
      <c r="E1750" s="190"/>
      <c r="F1750" s="847"/>
      <c r="G1750" s="491"/>
      <c r="H1750" s="7"/>
      <c r="I1750" s="253"/>
      <c r="J1750" s="253"/>
      <c r="K1750" s="606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94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52"/>
        <v/>
      </c>
      <c r="C1751" s="190"/>
      <c r="D1751" s="190"/>
      <c r="E1751" s="190"/>
      <c r="F1751" s="188"/>
      <c r="G1751" s="491"/>
      <c r="H1751" s="7"/>
      <c r="I1751" s="253"/>
      <c r="J1751" s="253"/>
      <c r="K1751" s="606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94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52"/>
        <v/>
      </c>
      <c r="C1752" s="190"/>
      <c r="D1752" s="190"/>
      <c r="E1752" s="190"/>
      <c r="F1752" s="293"/>
      <c r="G1752" s="491"/>
      <c r="H1752" s="7"/>
      <c r="I1752" s="253"/>
      <c r="J1752" s="253"/>
      <c r="K1752" s="606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94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ref="B1753:B1816" si="53">IF(C1753&lt;&gt;"",MONTH(C1753),"")</f>
        <v/>
      </c>
      <c r="C1753" s="190"/>
      <c r="D1753" s="190"/>
      <c r="E1753" s="190"/>
      <c r="F1753" s="188"/>
      <c r="G1753" s="491"/>
      <c r="H1753" s="7"/>
      <c r="I1753" s="253"/>
      <c r="J1753" s="253"/>
      <c r="K1753" s="606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94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53"/>
        <v/>
      </c>
      <c r="C1754" s="190"/>
      <c r="D1754" s="190"/>
      <c r="E1754" s="190"/>
      <c r="F1754" s="40"/>
      <c r="G1754" s="491"/>
      <c r="H1754" s="7"/>
      <c r="I1754" s="253"/>
      <c r="J1754" s="253"/>
      <c r="K1754" s="606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94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53"/>
        <v/>
      </c>
      <c r="C1755" s="190"/>
      <c r="D1755" s="190"/>
      <c r="E1755" s="190"/>
      <c r="F1755" s="40"/>
      <c r="G1755" s="491"/>
      <c r="H1755" s="7"/>
      <c r="I1755" s="253"/>
      <c r="J1755" s="253"/>
      <c r="K1755" s="606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94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53"/>
        <v/>
      </c>
      <c r="C1756" s="190"/>
      <c r="D1756" s="190"/>
      <c r="E1756" s="190"/>
      <c r="F1756" s="40"/>
      <c r="G1756" s="40"/>
      <c r="H1756" s="7"/>
      <c r="I1756" s="253"/>
      <c r="J1756" s="253"/>
      <c r="K1756" s="606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94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53"/>
        <v/>
      </c>
      <c r="C1757" s="190"/>
      <c r="D1757" s="190"/>
      <c r="E1757" s="190"/>
      <c r="F1757" s="40"/>
      <c r="G1757" s="40"/>
      <c r="H1757" s="7"/>
      <c r="I1757" s="253"/>
      <c r="J1757" s="253"/>
      <c r="K1757" s="606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94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53"/>
        <v/>
      </c>
      <c r="C1758" s="190"/>
      <c r="D1758" s="190"/>
      <c r="E1758" s="190"/>
      <c r="F1758" s="40"/>
      <c r="G1758" s="40"/>
      <c r="H1758" s="7"/>
      <c r="I1758" s="253"/>
      <c r="J1758" s="253"/>
      <c r="K1758" s="606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94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53"/>
        <v/>
      </c>
      <c r="C1759" s="190"/>
      <c r="D1759" s="190"/>
      <c r="E1759" s="37"/>
      <c r="F1759" s="40"/>
      <c r="G1759" s="40"/>
      <c r="H1759" s="7"/>
      <c r="I1759" s="253"/>
      <c r="J1759" s="253"/>
      <c r="K1759" s="606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94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53"/>
        <v/>
      </c>
      <c r="C1760" s="190"/>
      <c r="D1760" s="190"/>
      <c r="E1760" s="37"/>
      <c r="F1760" s="40"/>
      <c r="G1760" s="40"/>
      <c r="H1760" s="7"/>
      <c r="I1760" s="253"/>
      <c r="J1760" s="253"/>
      <c r="K1760" s="606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94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53"/>
        <v/>
      </c>
      <c r="C1761" s="190"/>
      <c r="D1761" s="190"/>
      <c r="E1761" s="37"/>
      <c r="F1761" s="188"/>
      <c r="G1761" s="40"/>
      <c r="H1761" s="7"/>
      <c r="I1761" s="253"/>
      <c r="J1761" s="253"/>
      <c r="K1761" s="606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94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53"/>
        <v/>
      </c>
      <c r="C1762" s="190"/>
      <c r="D1762" s="190"/>
      <c r="E1762" s="37"/>
      <c r="F1762" s="188"/>
      <c r="G1762" s="40"/>
      <c r="H1762" s="7"/>
      <c r="I1762" s="253"/>
      <c r="J1762" s="253"/>
      <c r="K1762" s="606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94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53"/>
        <v/>
      </c>
      <c r="C1763" s="190"/>
      <c r="D1763" s="190"/>
      <c r="E1763" s="37"/>
      <c r="F1763" s="188"/>
      <c r="G1763" s="40"/>
      <c r="H1763" s="7"/>
      <c r="I1763" s="253"/>
      <c r="J1763" s="253"/>
      <c r="K1763" s="606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94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53"/>
        <v/>
      </c>
      <c r="C1764" s="190"/>
      <c r="D1764" s="190"/>
      <c r="E1764" s="37"/>
      <c r="F1764" s="188"/>
      <c r="G1764" s="40"/>
      <c r="H1764" s="7"/>
      <c r="I1764" s="253"/>
      <c r="J1764" s="253"/>
      <c r="K1764" s="606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94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53"/>
        <v/>
      </c>
      <c r="C1765" s="190"/>
      <c r="D1765" s="190"/>
      <c r="E1765" s="37"/>
      <c r="F1765" s="40"/>
      <c r="G1765" s="40"/>
      <c r="H1765" s="7"/>
      <c r="I1765" s="253"/>
      <c r="J1765" s="253"/>
      <c r="K1765" s="606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94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53"/>
        <v/>
      </c>
      <c r="C1766" s="190"/>
      <c r="D1766" s="190"/>
      <c r="E1766" s="37"/>
      <c r="F1766" s="188"/>
      <c r="G1766" s="40"/>
      <c r="H1766" s="7"/>
      <c r="I1766" s="253"/>
      <c r="J1766" s="253"/>
      <c r="K1766" s="606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94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si="53"/>
        <v/>
      </c>
      <c r="C1767" s="190"/>
      <c r="D1767" s="190"/>
      <c r="E1767" s="37"/>
      <c r="F1767" s="188"/>
      <c r="G1767" s="40"/>
      <c r="H1767" s="7"/>
      <c r="I1767" s="253"/>
      <c r="J1767" s="253"/>
      <c r="K1767" s="606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94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53"/>
        <v/>
      </c>
      <c r="C1768" s="183"/>
      <c r="D1768" s="183"/>
      <c r="E1768" s="183"/>
      <c r="F1768" s="847"/>
      <c r="G1768" s="608"/>
      <c r="H1768" s="192"/>
      <c r="I1768" s="253"/>
      <c r="J1768" s="253"/>
      <c r="K1768" s="606"/>
      <c r="L1768" s="607"/>
      <c r="M1768" s="607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94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53"/>
        <v/>
      </c>
      <c r="C1769" s="190"/>
      <c r="D1769" s="190"/>
      <c r="E1769" s="190"/>
      <c r="F1769" s="191"/>
      <c r="G1769" s="491"/>
      <c r="H1769" s="192"/>
      <c r="I1769" s="253"/>
      <c r="J1769" s="253"/>
      <c r="K1769" s="606"/>
      <c r="L1769" s="193"/>
      <c r="M1769" s="193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94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53"/>
        <v/>
      </c>
      <c r="C1770" s="190"/>
      <c r="D1770" s="190"/>
      <c r="E1770" s="190"/>
      <c r="F1770" s="191"/>
      <c r="G1770" s="491"/>
      <c r="H1770" s="192"/>
      <c r="I1770" s="253"/>
      <c r="J1770" s="253"/>
      <c r="K1770" s="606"/>
      <c r="L1770" s="193"/>
      <c r="M1770" s="193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94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53"/>
        <v/>
      </c>
      <c r="C1771" s="190"/>
      <c r="D1771" s="190"/>
      <c r="E1771" s="37"/>
      <c r="F1771" s="40"/>
      <c r="G1771" s="40"/>
      <c r="H1771" s="7"/>
      <c r="I1771" s="253"/>
      <c r="J1771" s="253"/>
      <c r="K1771" s="606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94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53"/>
        <v/>
      </c>
      <c r="C1772" s="190"/>
      <c r="D1772" s="190"/>
      <c r="E1772" s="37"/>
      <c r="F1772" s="188"/>
      <c r="G1772" s="40"/>
      <c r="H1772" s="7"/>
      <c r="I1772" s="253"/>
      <c r="J1772" s="253"/>
      <c r="K1772" s="606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94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53"/>
        <v/>
      </c>
      <c r="C1773" s="190"/>
      <c r="D1773" s="190"/>
      <c r="E1773" s="37"/>
      <c r="F1773" s="188"/>
      <c r="G1773" s="40"/>
      <c r="H1773" s="7"/>
      <c r="I1773" s="253"/>
      <c r="J1773" s="253"/>
      <c r="K1773" s="606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94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53"/>
        <v/>
      </c>
      <c r="C1774" s="190"/>
      <c r="D1774" s="190"/>
      <c r="E1774" s="37"/>
      <c r="F1774" s="188"/>
      <c r="G1774" s="40"/>
      <c r="H1774" s="7"/>
      <c r="I1774" s="253"/>
      <c r="J1774" s="253"/>
      <c r="K1774" s="606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94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53"/>
        <v/>
      </c>
      <c r="C1775" s="190"/>
      <c r="D1775" s="190"/>
      <c r="E1775" s="37"/>
      <c r="F1775" s="188"/>
      <c r="G1775" s="40"/>
      <c r="H1775" s="7"/>
      <c r="I1775" s="253"/>
      <c r="J1775" s="253"/>
      <c r="K1775" s="606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94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53"/>
        <v/>
      </c>
      <c r="C1776" s="190"/>
      <c r="D1776" s="190"/>
      <c r="E1776" s="37"/>
      <c r="F1776" s="40"/>
      <c r="G1776" s="40"/>
      <c r="H1776" s="7"/>
      <c r="I1776" s="253"/>
      <c r="J1776" s="253"/>
      <c r="K1776" s="606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94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53"/>
        <v/>
      </c>
      <c r="C1777" s="190"/>
      <c r="D1777" s="190"/>
      <c r="E1777" s="37"/>
      <c r="F1777" s="188"/>
      <c r="G1777" s="40"/>
      <c r="H1777" s="7"/>
      <c r="I1777" s="253"/>
      <c r="J1777" s="253"/>
      <c r="K1777" s="606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94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53"/>
        <v/>
      </c>
      <c r="C1778" s="190"/>
      <c r="D1778" s="190"/>
      <c r="E1778" s="37"/>
      <c r="F1778" s="293"/>
      <c r="G1778" s="40"/>
      <c r="H1778" s="7"/>
      <c r="I1778" s="253"/>
      <c r="J1778" s="253"/>
      <c r="K1778" s="606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94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53"/>
        <v/>
      </c>
      <c r="C1779" s="190"/>
      <c r="D1779" s="37"/>
      <c r="E1779" s="190"/>
      <c r="F1779" s="293"/>
      <c r="G1779" s="40"/>
      <c r="H1779" s="7"/>
      <c r="I1779" s="253"/>
      <c r="J1779" s="253"/>
      <c r="K1779" s="606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94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53"/>
        <v/>
      </c>
      <c r="C1780" s="190"/>
      <c r="D1780" s="37"/>
      <c r="E1780" s="190"/>
      <c r="F1780" s="191"/>
      <c r="G1780" s="491"/>
      <c r="H1780" s="192"/>
      <c r="I1780" s="253"/>
      <c r="J1780" s="253"/>
      <c r="K1780" s="606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94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53"/>
        <v/>
      </c>
      <c r="C1781" s="190"/>
      <c r="D1781" s="190"/>
      <c r="E1781" s="37"/>
      <c r="F1781" s="40"/>
      <c r="G1781" s="40"/>
      <c r="H1781" s="7"/>
      <c r="I1781" s="253"/>
      <c r="J1781" s="253"/>
      <c r="K1781" s="606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94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53"/>
        <v/>
      </c>
      <c r="C1782" s="190"/>
      <c r="D1782" s="190"/>
      <c r="E1782" s="37"/>
      <c r="F1782" s="293"/>
      <c r="G1782" s="40"/>
      <c r="H1782" s="7"/>
      <c r="I1782" s="253"/>
      <c r="J1782" s="253"/>
      <c r="K1782" s="606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94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si="53"/>
        <v/>
      </c>
      <c r="C1783" s="190"/>
      <c r="D1783" s="190"/>
      <c r="E1783" s="37"/>
      <c r="F1783" s="188"/>
      <c r="G1783" s="40"/>
      <c r="H1783" s="7"/>
      <c r="I1783" s="253"/>
      <c r="J1783" s="253"/>
      <c r="K1783" s="606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94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si="53"/>
        <v/>
      </c>
      <c r="C1784" s="190"/>
      <c r="D1784" s="190"/>
      <c r="E1784" s="37"/>
      <c r="F1784" s="188"/>
      <c r="G1784" s="40"/>
      <c r="H1784" s="7"/>
      <c r="I1784" s="253"/>
      <c r="J1784" s="253"/>
      <c r="K1784" s="606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94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53"/>
        <v/>
      </c>
      <c r="C1785" s="190"/>
      <c r="D1785" s="190"/>
      <c r="E1785" s="37"/>
      <c r="F1785" s="188"/>
      <c r="G1785" s="40"/>
      <c r="H1785" s="7"/>
      <c r="I1785" s="253"/>
      <c r="J1785" s="253"/>
      <c r="K1785" s="606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94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53"/>
        <v/>
      </c>
      <c r="C1786" s="190"/>
      <c r="D1786" s="190"/>
      <c r="E1786" s="37"/>
      <c r="F1786" s="188"/>
      <c r="G1786" s="40"/>
      <c r="H1786" s="7"/>
      <c r="I1786" s="253"/>
      <c r="J1786" s="253"/>
      <c r="K1786" s="606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94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53"/>
        <v/>
      </c>
      <c r="C1787" s="190"/>
      <c r="D1787" s="190"/>
      <c r="E1787" s="37"/>
      <c r="F1787" s="188"/>
      <c r="G1787" s="40"/>
      <c r="H1787" s="7"/>
      <c r="I1787" s="253"/>
      <c r="J1787" s="253"/>
      <c r="K1787" s="606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94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53"/>
        <v/>
      </c>
      <c r="C1788" s="190"/>
      <c r="D1788" s="190"/>
      <c r="E1788" s="37"/>
      <c r="F1788" s="188"/>
      <c r="G1788" s="40"/>
      <c r="H1788" s="7"/>
      <c r="I1788" s="253"/>
      <c r="J1788" s="253"/>
      <c r="K1788" s="606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94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53"/>
        <v/>
      </c>
      <c r="C1789" s="190"/>
      <c r="D1789" s="190"/>
      <c r="E1789" s="190"/>
      <c r="F1789" s="191"/>
      <c r="G1789" s="491"/>
      <c r="H1789" s="192"/>
      <c r="I1789" s="253"/>
      <c r="J1789" s="253"/>
      <c r="K1789" s="606"/>
      <c r="L1789" s="193"/>
      <c r="M1789" s="193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94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53"/>
        <v/>
      </c>
      <c r="C1790" s="190"/>
      <c r="D1790" s="190"/>
      <c r="E1790" s="190"/>
      <c r="F1790" s="191"/>
      <c r="G1790" s="491"/>
      <c r="H1790" s="192"/>
      <c r="I1790" s="253"/>
      <c r="J1790" s="253"/>
      <c r="K1790" s="606"/>
      <c r="L1790" s="193"/>
      <c r="M1790" s="193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94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53"/>
        <v/>
      </c>
      <c r="C1791" s="190"/>
      <c r="D1791" s="190"/>
      <c r="E1791" s="190"/>
      <c r="F1791" s="191"/>
      <c r="G1791" s="491"/>
      <c r="H1791" s="192"/>
      <c r="I1791" s="253"/>
      <c r="J1791" s="253"/>
      <c r="K1791" s="606"/>
      <c r="L1791" s="193"/>
      <c r="M1791" s="193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94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53"/>
        <v/>
      </c>
      <c r="C1792" s="190"/>
      <c r="D1792" s="190"/>
      <c r="E1792" s="190"/>
      <c r="F1792" s="191"/>
      <c r="G1792" s="491"/>
      <c r="H1792" s="192"/>
      <c r="I1792" s="253"/>
      <c r="J1792" s="253"/>
      <c r="K1792" s="606"/>
      <c r="L1792" s="193"/>
      <c r="M1792" s="193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94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53"/>
        <v/>
      </c>
      <c r="C1793" s="190"/>
      <c r="D1793" s="190"/>
      <c r="E1793" s="190"/>
      <c r="F1793" s="191"/>
      <c r="G1793" s="491"/>
      <c r="H1793" s="192"/>
      <c r="I1793" s="253"/>
      <c r="J1793" s="253"/>
      <c r="K1793" s="606"/>
      <c r="L1793" s="193"/>
      <c r="M1793" s="193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94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53"/>
        <v/>
      </c>
      <c r="C1794" s="190"/>
      <c r="D1794" s="190"/>
      <c r="E1794" s="190"/>
      <c r="F1794" s="191"/>
      <c r="G1794" s="491"/>
      <c r="H1794" s="192"/>
      <c r="I1794" s="253"/>
      <c r="J1794" s="253"/>
      <c r="K1794" s="606"/>
      <c r="L1794" s="193"/>
      <c r="M1794" s="193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94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53"/>
        <v/>
      </c>
      <c r="C1795" s="190"/>
      <c r="D1795" s="190"/>
      <c r="E1795" s="190"/>
      <c r="F1795" s="191"/>
      <c r="G1795" s="491"/>
      <c r="H1795" s="192"/>
      <c r="I1795" s="253"/>
      <c r="J1795" s="253"/>
      <c r="K1795" s="606"/>
      <c r="L1795" s="193"/>
      <c r="M1795" s="193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94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53"/>
        <v/>
      </c>
      <c r="C1796" s="190"/>
      <c r="D1796" s="190"/>
      <c r="E1796" s="190"/>
      <c r="F1796" s="191"/>
      <c r="G1796" s="491"/>
      <c r="H1796" s="192"/>
      <c r="I1796" s="253"/>
      <c r="J1796" s="253"/>
      <c r="K1796" s="606"/>
      <c r="L1796" s="193"/>
      <c r="M1796" s="193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94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53"/>
        <v/>
      </c>
      <c r="C1797" s="190"/>
      <c r="D1797" s="190"/>
      <c r="E1797" s="190"/>
      <c r="F1797" s="191"/>
      <c r="G1797" s="491"/>
      <c r="H1797" s="192"/>
      <c r="I1797" s="253"/>
      <c r="J1797" s="253"/>
      <c r="K1797" s="606"/>
      <c r="L1797" s="193"/>
      <c r="M1797" s="193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94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53"/>
        <v/>
      </c>
      <c r="C1798" s="190"/>
      <c r="D1798" s="190"/>
      <c r="E1798" s="190"/>
      <c r="F1798" s="191"/>
      <c r="G1798" s="491"/>
      <c r="H1798" s="192"/>
      <c r="I1798" s="253"/>
      <c r="J1798" s="253"/>
      <c r="K1798" s="606"/>
      <c r="L1798" s="193"/>
      <c r="M1798" s="193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94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53"/>
        <v/>
      </c>
      <c r="C1799" s="190"/>
      <c r="D1799" s="190"/>
      <c r="E1799" s="190"/>
      <c r="F1799" s="191"/>
      <c r="G1799" s="491"/>
      <c r="H1799" s="192"/>
      <c r="I1799" s="253"/>
      <c r="J1799" s="253"/>
      <c r="K1799" s="606"/>
      <c r="L1799" s="193"/>
      <c r="M1799" s="193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94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53"/>
        <v/>
      </c>
      <c r="C1800" s="190"/>
      <c r="D1800" s="190"/>
      <c r="E1800" s="190"/>
      <c r="F1800" s="191"/>
      <c r="G1800" s="491"/>
      <c r="H1800" s="192"/>
      <c r="I1800" s="253"/>
      <c r="J1800" s="253"/>
      <c r="K1800" s="606"/>
      <c r="L1800" s="193"/>
      <c r="M1800" s="193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94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53"/>
        <v/>
      </c>
      <c r="C1801" s="190"/>
      <c r="D1801" s="190"/>
      <c r="E1801" s="190"/>
      <c r="F1801" s="191"/>
      <c r="G1801" s="491"/>
      <c r="H1801" s="192"/>
      <c r="I1801" s="253"/>
      <c r="J1801" s="253"/>
      <c r="K1801" s="606"/>
      <c r="L1801" s="193"/>
      <c r="M1801" s="193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94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53"/>
        <v/>
      </c>
      <c r="C1802" s="190"/>
      <c r="D1802" s="190"/>
      <c r="E1802" s="37"/>
      <c r="F1802" s="188"/>
      <c r="G1802" s="40"/>
      <c r="H1802" s="7"/>
      <c r="I1802" s="253"/>
      <c r="J1802" s="253"/>
      <c r="K1802" s="606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94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53"/>
        <v/>
      </c>
      <c r="C1803" s="190"/>
      <c r="D1803" s="190"/>
      <c r="E1803" s="37"/>
      <c r="F1803" s="40"/>
      <c r="G1803" s="40"/>
      <c r="H1803" s="7"/>
      <c r="I1803" s="253"/>
      <c r="J1803" s="253"/>
      <c r="K1803" s="606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94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53"/>
        <v/>
      </c>
      <c r="C1804" s="190"/>
      <c r="D1804" s="190"/>
      <c r="E1804" s="37"/>
      <c r="F1804" s="40"/>
      <c r="G1804" s="40"/>
      <c r="H1804" s="7"/>
      <c r="I1804" s="253"/>
      <c r="J1804" s="253"/>
      <c r="K1804" s="606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94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si="53"/>
        <v/>
      </c>
      <c r="C1805" s="190"/>
      <c r="D1805" s="190"/>
      <c r="E1805" s="37"/>
      <c r="F1805" s="40"/>
      <c r="G1805" s="40"/>
      <c r="H1805" s="7"/>
      <c r="I1805" s="253"/>
      <c r="J1805" s="253"/>
      <c r="K1805" s="606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94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53"/>
        <v/>
      </c>
      <c r="C1806" s="190"/>
      <c r="D1806" s="190"/>
      <c r="E1806" s="37"/>
      <c r="F1806" s="188"/>
      <c r="G1806" s="40"/>
      <c r="H1806" s="7"/>
      <c r="I1806" s="253"/>
      <c r="J1806" s="253"/>
      <c r="K1806" s="606"/>
      <c r="L1806" s="39"/>
      <c r="M1806" s="3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94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53"/>
        <v/>
      </c>
      <c r="C1807" s="190"/>
      <c r="D1807" s="190"/>
      <c r="E1807" s="37"/>
      <c r="F1807" s="40"/>
      <c r="G1807" s="40"/>
      <c r="H1807" s="7"/>
      <c r="I1807" s="253"/>
      <c r="J1807" s="253"/>
      <c r="K1807" s="606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94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53"/>
        <v/>
      </c>
      <c r="C1808" s="190"/>
      <c r="D1808" s="190"/>
      <c r="E1808" s="37"/>
      <c r="F1808" s="188"/>
      <c r="G1808" s="40"/>
      <c r="H1808" s="7"/>
      <c r="I1808" s="253"/>
      <c r="J1808" s="253"/>
      <c r="K1808" s="606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94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53"/>
        <v/>
      </c>
      <c r="C1809" s="190"/>
      <c r="D1809" s="190"/>
      <c r="E1809" s="37"/>
      <c r="F1809" s="188"/>
      <c r="G1809" s="40"/>
      <c r="H1809" s="7"/>
      <c r="I1809" s="253"/>
      <c r="J1809" s="253"/>
      <c r="K1809" s="606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94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53"/>
        <v/>
      </c>
      <c r="C1810" s="190"/>
      <c r="D1810" s="190"/>
      <c r="E1810" s="37"/>
      <c r="F1810" s="40"/>
      <c r="G1810" s="40"/>
      <c r="H1810" s="7"/>
      <c r="I1810" s="253"/>
      <c r="J1810" s="253"/>
      <c r="K1810" s="606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94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53"/>
        <v/>
      </c>
      <c r="C1811" s="190"/>
      <c r="D1811" s="190"/>
      <c r="E1811" s="37"/>
      <c r="F1811" s="40"/>
      <c r="G1811" s="40"/>
      <c r="H1811" s="7"/>
      <c r="I1811" s="253"/>
      <c r="J1811" s="253"/>
      <c r="K1811" s="606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94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53"/>
        <v/>
      </c>
      <c r="C1812" s="190"/>
      <c r="D1812" s="37"/>
      <c r="E1812" s="190"/>
      <c r="F1812" s="293"/>
      <c r="G1812" s="40"/>
      <c r="H1812" s="7"/>
      <c r="I1812" s="253"/>
      <c r="J1812" s="253"/>
      <c r="K1812" s="606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94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53"/>
        <v/>
      </c>
      <c r="C1813" s="190"/>
      <c r="D1813" s="37"/>
      <c r="E1813" s="190"/>
      <c r="F1813" s="293"/>
      <c r="G1813" s="40"/>
      <c r="H1813" s="7"/>
      <c r="I1813" s="253"/>
      <c r="J1813" s="253"/>
      <c r="K1813" s="606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94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53"/>
        <v/>
      </c>
      <c r="C1814" s="190"/>
      <c r="D1814" s="37"/>
      <c r="E1814" s="190"/>
      <c r="F1814" s="293"/>
      <c r="G1814" s="40"/>
      <c r="H1814" s="7"/>
      <c r="I1814" s="253"/>
      <c r="J1814" s="253"/>
      <c r="K1814" s="606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94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53"/>
        <v/>
      </c>
      <c r="C1815" s="190"/>
      <c r="D1815" s="37"/>
      <c r="E1815" s="190"/>
      <c r="F1815" s="293"/>
      <c r="G1815" s="40"/>
      <c r="H1815" s="7"/>
      <c r="I1815" s="253"/>
      <c r="J1815" s="253"/>
      <c r="K1815" s="606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94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53"/>
        <v/>
      </c>
      <c r="C1816" s="190"/>
      <c r="D1816" s="37"/>
      <c r="E1816" s="190"/>
      <c r="F1816" s="293"/>
      <c r="G1816" s="40"/>
      <c r="H1816" s="7"/>
      <c r="I1816" s="253"/>
      <c r="J1816" s="253"/>
      <c r="K1816" s="606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94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ref="B1817:B1880" si="54">IF(C1817&lt;&gt;"",MONTH(C1817),"")</f>
        <v/>
      </c>
      <c r="C1817" s="190"/>
      <c r="D1817" s="37"/>
      <c r="E1817" s="190"/>
      <c r="F1817" s="293"/>
      <c r="G1817" s="40"/>
      <c r="H1817" s="7"/>
      <c r="I1817" s="253"/>
      <c r="J1817" s="253"/>
      <c r="K1817" s="606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94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54"/>
        <v/>
      </c>
      <c r="C1818" s="190"/>
      <c r="D1818" s="37"/>
      <c r="E1818" s="37"/>
      <c r="F1818" s="293"/>
      <c r="G1818" s="40"/>
      <c r="H1818" s="7"/>
      <c r="I1818" s="253"/>
      <c r="J1818" s="253"/>
      <c r="K1818" s="606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94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54"/>
        <v/>
      </c>
      <c r="C1819" s="190"/>
      <c r="D1819" s="37"/>
      <c r="E1819" s="37"/>
      <c r="F1819" s="293"/>
      <c r="G1819" s="40"/>
      <c r="H1819" s="7"/>
      <c r="I1819" s="253"/>
      <c r="J1819" s="253"/>
      <c r="K1819" s="606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94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54"/>
        <v/>
      </c>
      <c r="C1820" s="190"/>
      <c r="D1820" s="37"/>
      <c r="E1820" s="37"/>
      <c r="F1820" s="293"/>
      <c r="G1820" s="40"/>
      <c r="H1820" s="7"/>
      <c r="I1820" s="253"/>
      <c r="J1820" s="253"/>
      <c r="K1820" s="606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94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54"/>
        <v/>
      </c>
      <c r="C1821" s="190"/>
      <c r="D1821" s="37"/>
      <c r="E1821" s="37"/>
      <c r="F1821" s="293"/>
      <c r="G1821" s="40"/>
      <c r="H1821" s="7"/>
      <c r="I1821" s="253"/>
      <c r="J1821" s="253"/>
      <c r="K1821" s="606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94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54"/>
        <v/>
      </c>
      <c r="C1822" s="190"/>
      <c r="D1822" s="37"/>
      <c r="E1822" s="37"/>
      <c r="F1822" s="293"/>
      <c r="G1822" s="40"/>
      <c r="H1822" s="7"/>
      <c r="I1822" s="253"/>
      <c r="J1822" s="253"/>
      <c r="K1822" s="606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94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54"/>
        <v/>
      </c>
      <c r="C1823" s="190"/>
      <c r="D1823" s="37"/>
      <c r="E1823" s="37"/>
      <c r="F1823" s="293"/>
      <c r="G1823" s="40"/>
      <c r="H1823" s="7"/>
      <c r="I1823" s="253"/>
      <c r="J1823" s="253"/>
      <c r="K1823" s="606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94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54"/>
        <v/>
      </c>
      <c r="C1824" s="190"/>
      <c r="D1824" s="37"/>
      <c r="E1824" s="190"/>
      <c r="F1824" s="191"/>
      <c r="G1824" s="491"/>
      <c r="H1824" s="192"/>
      <c r="I1824" s="253"/>
      <c r="J1824" s="253"/>
      <c r="K1824" s="606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94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54"/>
        <v/>
      </c>
      <c r="C1825" s="190"/>
      <c r="D1825" s="37"/>
      <c r="E1825" s="190"/>
      <c r="F1825" s="191"/>
      <c r="G1825" s="491"/>
      <c r="H1825" s="192"/>
      <c r="I1825" s="253"/>
      <c r="J1825" s="253"/>
      <c r="K1825" s="606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94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54"/>
        <v/>
      </c>
      <c r="C1826" s="190"/>
      <c r="D1826" s="37"/>
      <c r="E1826" s="190"/>
      <c r="F1826" s="191"/>
      <c r="G1826" s="491"/>
      <c r="H1826" s="192"/>
      <c r="I1826" s="253"/>
      <c r="J1826" s="253"/>
      <c r="K1826" s="606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94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54"/>
        <v/>
      </c>
      <c r="C1827" s="190"/>
      <c r="D1827" s="37"/>
      <c r="E1827" s="190"/>
      <c r="F1827" s="191"/>
      <c r="G1827" s="491"/>
      <c r="H1827" s="192"/>
      <c r="I1827" s="253"/>
      <c r="J1827" s="253"/>
      <c r="K1827" s="606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94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54"/>
        <v/>
      </c>
      <c r="C1828" s="190"/>
      <c r="D1828" s="37"/>
      <c r="E1828" s="190"/>
      <c r="F1828" s="191"/>
      <c r="G1828" s="491"/>
      <c r="H1828" s="192"/>
      <c r="I1828" s="253"/>
      <c r="J1828" s="253"/>
      <c r="K1828" s="606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94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54"/>
        <v/>
      </c>
      <c r="C1829" s="190"/>
      <c r="D1829" s="37"/>
      <c r="E1829" s="190"/>
      <c r="F1829" s="191"/>
      <c r="G1829" s="491"/>
      <c r="H1829" s="192"/>
      <c r="I1829" s="253"/>
      <c r="J1829" s="253"/>
      <c r="K1829" s="606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94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54"/>
        <v/>
      </c>
      <c r="C1830" s="190"/>
      <c r="D1830" s="37"/>
      <c r="E1830" s="37"/>
      <c r="F1830" s="191"/>
      <c r="G1830" s="491"/>
      <c r="H1830" s="192"/>
      <c r="I1830" s="253"/>
      <c r="J1830" s="253"/>
      <c r="K1830" s="606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94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si="54"/>
        <v/>
      </c>
      <c r="C1831" s="190"/>
      <c r="D1831" s="37"/>
      <c r="E1831" s="37"/>
      <c r="F1831" s="191"/>
      <c r="G1831" s="491"/>
      <c r="H1831" s="192"/>
      <c r="I1831" s="253"/>
      <c r="J1831" s="253"/>
      <c r="K1831" s="606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94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54"/>
        <v/>
      </c>
      <c r="C1832" s="190"/>
      <c r="D1832" s="37"/>
      <c r="E1832" s="37"/>
      <c r="F1832" s="191"/>
      <c r="G1832" s="491"/>
      <c r="H1832" s="192"/>
      <c r="I1832" s="253"/>
      <c r="J1832" s="253"/>
      <c r="K1832" s="606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94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54"/>
        <v/>
      </c>
      <c r="C1833" s="190"/>
      <c r="D1833" s="37"/>
      <c r="E1833" s="37"/>
      <c r="F1833" s="191"/>
      <c r="G1833" s="491"/>
      <c r="H1833" s="192"/>
      <c r="I1833" s="253"/>
      <c r="J1833" s="253"/>
      <c r="K1833" s="606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94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54"/>
        <v/>
      </c>
      <c r="C1834" s="190"/>
      <c r="D1834" s="37"/>
      <c r="E1834" s="37"/>
      <c r="F1834" s="842"/>
      <c r="G1834" s="491"/>
      <c r="H1834" s="192"/>
      <c r="I1834" s="253"/>
      <c r="J1834" s="253"/>
      <c r="K1834" s="606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94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54"/>
        <v/>
      </c>
      <c r="C1835" s="190"/>
      <c r="D1835" s="37"/>
      <c r="E1835" s="37"/>
      <c r="F1835" s="191"/>
      <c r="G1835" s="491"/>
      <c r="H1835" s="192"/>
      <c r="I1835" s="253"/>
      <c r="J1835" s="253"/>
      <c r="K1835" s="606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94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54"/>
        <v/>
      </c>
      <c r="C1836" s="183"/>
      <c r="D1836" s="183"/>
      <c r="E1836" s="183"/>
      <c r="F1836" s="188"/>
      <c r="G1836" s="608"/>
      <c r="H1836" s="192"/>
      <c r="I1836" s="253"/>
      <c r="J1836" s="253"/>
      <c r="K1836" s="606"/>
      <c r="L1836" s="607"/>
      <c r="M1836" s="607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94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54"/>
        <v/>
      </c>
      <c r="C1837" s="183"/>
      <c r="D1837" s="183"/>
      <c r="E1837" s="183"/>
      <c r="F1837" s="188"/>
      <c r="G1837" s="608"/>
      <c r="H1837" s="7"/>
      <c r="I1837" s="253"/>
      <c r="J1837" s="253"/>
      <c r="K1837" s="606"/>
      <c r="L1837" s="607"/>
      <c r="M1837" s="607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94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54"/>
        <v/>
      </c>
      <c r="C1838" s="183"/>
      <c r="D1838" s="183"/>
      <c r="E1838" s="183"/>
      <c r="F1838" s="188"/>
      <c r="G1838" s="608"/>
      <c r="H1838" s="7"/>
      <c r="I1838" s="253"/>
      <c r="J1838" s="253"/>
      <c r="K1838" s="606"/>
      <c r="L1838" s="607"/>
      <c r="M1838" s="607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94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54"/>
        <v/>
      </c>
      <c r="C1839" s="183"/>
      <c r="D1839" s="183"/>
      <c r="E1839" s="183"/>
      <c r="F1839" s="188"/>
      <c r="G1839" s="608"/>
      <c r="H1839" s="7"/>
      <c r="I1839" s="253"/>
      <c r="J1839" s="253"/>
      <c r="K1839" s="606"/>
      <c r="L1839" s="607"/>
      <c r="M1839" s="607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94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54"/>
        <v/>
      </c>
      <c r="C1840" s="183"/>
      <c r="D1840" s="183"/>
      <c r="E1840" s="183"/>
      <c r="F1840" s="188"/>
      <c r="G1840" s="608"/>
      <c r="H1840" s="7"/>
      <c r="I1840" s="253"/>
      <c r="J1840" s="253"/>
      <c r="K1840" s="606"/>
      <c r="L1840" s="607"/>
      <c r="M1840" s="607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94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54"/>
        <v/>
      </c>
      <c r="C1841" s="183"/>
      <c r="D1841" s="183"/>
      <c r="E1841" s="183"/>
      <c r="F1841" s="188"/>
      <c r="G1841" s="608"/>
      <c r="H1841" s="7"/>
      <c r="I1841" s="253"/>
      <c r="J1841" s="253"/>
      <c r="K1841" s="606"/>
      <c r="L1841" s="607"/>
      <c r="M1841" s="607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94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54"/>
        <v/>
      </c>
      <c r="C1842" s="190"/>
      <c r="D1842" s="190"/>
      <c r="E1842" s="190"/>
      <c r="F1842" s="191"/>
      <c r="G1842" s="491"/>
      <c r="H1842" s="7"/>
      <c r="I1842" s="253"/>
      <c r="J1842" s="253"/>
      <c r="K1842" s="606"/>
      <c r="L1842" s="193"/>
      <c r="M1842" s="193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94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54"/>
        <v/>
      </c>
      <c r="C1843" s="190"/>
      <c r="D1843" s="190"/>
      <c r="E1843" s="190"/>
      <c r="F1843" s="191"/>
      <c r="G1843" s="491"/>
      <c r="H1843" s="7"/>
      <c r="I1843" s="253"/>
      <c r="J1843" s="253"/>
      <c r="K1843" s="38"/>
      <c r="L1843" s="193"/>
      <c r="M1843" s="193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94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54"/>
        <v/>
      </c>
      <c r="C1844" s="190"/>
      <c r="D1844" s="190"/>
      <c r="E1844" s="190"/>
      <c r="F1844" s="191"/>
      <c r="G1844" s="491"/>
      <c r="H1844" s="7"/>
      <c r="I1844" s="253"/>
      <c r="J1844" s="253"/>
      <c r="K1844" s="606"/>
      <c r="L1844" s="193"/>
      <c r="M1844" s="193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94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54"/>
        <v/>
      </c>
      <c r="C1845" s="190"/>
      <c r="D1845" s="190"/>
      <c r="E1845" s="190"/>
      <c r="F1845" s="191"/>
      <c r="G1845" s="491"/>
      <c r="H1845" s="7"/>
      <c r="I1845" s="253"/>
      <c r="J1845" s="253"/>
      <c r="K1845" s="38"/>
      <c r="L1845" s="193"/>
      <c r="M1845" s="193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94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54"/>
        <v/>
      </c>
      <c r="C1846" s="190"/>
      <c r="D1846" s="190"/>
      <c r="E1846" s="190"/>
      <c r="F1846" s="191"/>
      <c r="G1846" s="491"/>
      <c r="H1846" s="192"/>
      <c r="I1846" s="253"/>
      <c r="J1846" s="253"/>
      <c r="K1846" s="38"/>
      <c r="L1846" s="193"/>
      <c r="M1846" s="607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94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si="54"/>
        <v/>
      </c>
      <c r="C1847" s="190"/>
      <c r="D1847" s="190"/>
      <c r="E1847" s="190"/>
      <c r="F1847" s="191"/>
      <c r="G1847" s="491"/>
      <c r="H1847" s="192"/>
      <c r="I1847" s="253"/>
      <c r="J1847" s="253"/>
      <c r="K1847" s="606"/>
      <c r="L1847" s="193"/>
      <c r="M1847" s="193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94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si="54"/>
        <v/>
      </c>
      <c r="C1848" s="190"/>
      <c r="D1848" s="190"/>
      <c r="E1848" s="190"/>
      <c r="F1848" s="191"/>
      <c r="G1848" s="491"/>
      <c r="H1848" s="192"/>
      <c r="I1848" s="253"/>
      <c r="J1848" s="253"/>
      <c r="K1848" s="606"/>
      <c r="L1848" s="193"/>
      <c r="M1848" s="193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94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54"/>
        <v/>
      </c>
      <c r="C1849" s="190"/>
      <c r="D1849" s="190"/>
      <c r="E1849" s="190"/>
      <c r="F1849" s="191"/>
      <c r="G1849" s="491"/>
      <c r="H1849" s="192"/>
      <c r="I1849" s="253"/>
      <c r="J1849" s="253"/>
      <c r="K1849" s="606"/>
      <c r="L1849" s="193"/>
      <c r="M1849" s="193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94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54"/>
        <v/>
      </c>
      <c r="C1850" s="190"/>
      <c r="D1850" s="190"/>
      <c r="E1850" s="190"/>
      <c r="F1850" s="191"/>
      <c r="G1850" s="491"/>
      <c r="H1850" s="192"/>
      <c r="I1850" s="253"/>
      <c r="J1850" s="253"/>
      <c r="K1850" s="606"/>
      <c r="L1850" s="193"/>
      <c r="M1850" s="193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94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54"/>
        <v/>
      </c>
      <c r="C1851" s="190"/>
      <c r="D1851" s="190"/>
      <c r="E1851" s="190"/>
      <c r="F1851" s="191"/>
      <c r="G1851" s="491"/>
      <c r="H1851" s="192"/>
      <c r="I1851" s="253"/>
      <c r="J1851" s="253"/>
      <c r="K1851" s="606"/>
      <c r="L1851" s="193"/>
      <c r="M1851" s="193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94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54"/>
        <v/>
      </c>
      <c r="C1852" s="190"/>
      <c r="D1852" s="190"/>
      <c r="E1852" s="190"/>
      <c r="F1852" s="191"/>
      <c r="G1852" s="491"/>
      <c r="H1852" s="192"/>
      <c r="I1852" s="253"/>
      <c r="J1852" s="253"/>
      <c r="K1852" s="606"/>
      <c r="L1852" s="193"/>
      <c r="M1852" s="193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94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54"/>
        <v/>
      </c>
      <c r="C1853" s="190"/>
      <c r="D1853" s="190"/>
      <c r="E1853" s="190"/>
      <c r="F1853" s="191"/>
      <c r="G1853" s="491"/>
      <c r="H1853" s="192"/>
      <c r="I1853" s="253"/>
      <c r="J1853" s="253"/>
      <c r="K1853" s="606"/>
      <c r="L1853" s="193"/>
      <c r="M1853" s="193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94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54"/>
        <v/>
      </c>
      <c r="C1854" s="190"/>
      <c r="D1854" s="190"/>
      <c r="E1854" s="190"/>
      <c r="F1854" s="191"/>
      <c r="G1854" s="491"/>
      <c r="H1854" s="192"/>
      <c r="I1854" s="253"/>
      <c r="J1854" s="253"/>
      <c r="K1854" s="606"/>
      <c r="L1854" s="193"/>
      <c r="M1854" s="193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94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54"/>
        <v/>
      </c>
      <c r="C1855" s="190"/>
      <c r="D1855" s="190"/>
      <c r="E1855" s="190"/>
      <c r="F1855" s="191"/>
      <c r="G1855" s="491"/>
      <c r="H1855" s="192"/>
      <c r="I1855" s="253"/>
      <c r="J1855" s="253"/>
      <c r="K1855" s="606"/>
      <c r="L1855" s="193"/>
      <c r="M1855" s="193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94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54"/>
        <v/>
      </c>
      <c r="C1856" s="190"/>
      <c r="D1856" s="190"/>
      <c r="E1856" s="190"/>
      <c r="F1856" s="191"/>
      <c r="G1856" s="491"/>
      <c r="H1856" s="192"/>
      <c r="I1856" s="253"/>
      <c r="J1856" s="253"/>
      <c r="K1856" s="606"/>
      <c r="L1856" s="193"/>
      <c r="M1856" s="193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94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54"/>
        <v/>
      </c>
      <c r="C1857" s="190"/>
      <c r="D1857" s="190"/>
      <c r="E1857" s="190"/>
      <c r="F1857" s="191"/>
      <c r="G1857" s="491"/>
      <c r="H1857" s="192"/>
      <c r="I1857" s="253"/>
      <c r="J1857" s="253"/>
      <c r="K1857" s="606"/>
      <c r="L1857" s="193"/>
      <c r="M1857" s="193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94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54"/>
        <v/>
      </c>
      <c r="C1858" s="190"/>
      <c r="D1858" s="190"/>
      <c r="E1858" s="190"/>
      <c r="F1858" s="191"/>
      <c r="G1858" s="491"/>
      <c r="H1858" s="192"/>
      <c r="I1858" s="253"/>
      <c r="J1858" s="253"/>
      <c r="K1858" s="606"/>
      <c r="L1858" s="193"/>
      <c r="M1858" s="193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94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54"/>
        <v/>
      </c>
      <c r="C1859" s="190"/>
      <c r="D1859" s="190"/>
      <c r="E1859" s="190"/>
      <c r="F1859" s="191"/>
      <c r="G1859" s="491"/>
      <c r="H1859" s="192"/>
      <c r="I1859" s="253"/>
      <c r="J1859" s="253"/>
      <c r="K1859" s="606"/>
      <c r="L1859" s="193"/>
      <c r="M1859" s="193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94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54"/>
        <v/>
      </c>
      <c r="C1860" s="190"/>
      <c r="D1860" s="190"/>
      <c r="E1860" s="190"/>
      <c r="F1860" s="191"/>
      <c r="G1860" s="491"/>
      <c r="H1860" s="192"/>
      <c r="I1860" s="253"/>
      <c r="J1860" s="253"/>
      <c r="K1860" s="606"/>
      <c r="L1860" s="193"/>
      <c r="M1860" s="193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94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54"/>
        <v/>
      </c>
      <c r="C1861" s="190"/>
      <c r="D1861" s="190"/>
      <c r="E1861" s="190"/>
      <c r="F1861" s="191"/>
      <c r="G1861" s="491"/>
      <c r="H1861" s="192"/>
      <c r="I1861" s="253"/>
      <c r="J1861" s="253"/>
      <c r="K1861" s="606"/>
      <c r="L1861" s="193"/>
      <c r="M1861" s="193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94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54"/>
        <v/>
      </c>
      <c r="C1862" s="190"/>
      <c r="D1862" s="190"/>
      <c r="E1862" s="37"/>
      <c r="F1862" s="40"/>
      <c r="G1862" s="40"/>
      <c r="H1862" s="7"/>
      <c r="I1862" s="253"/>
      <c r="J1862" s="253"/>
      <c r="K1862" s="606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94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54"/>
        <v/>
      </c>
      <c r="C1863" s="190"/>
      <c r="D1863" s="190"/>
      <c r="E1863" s="37"/>
      <c r="F1863" s="40"/>
      <c r="G1863" s="40"/>
      <c r="H1863" s="7"/>
      <c r="I1863" s="253"/>
      <c r="J1863" s="253"/>
      <c r="K1863" s="606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94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54"/>
        <v/>
      </c>
      <c r="C1864" s="190"/>
      <c r="D1864" s="37"/>
      <c r="E1864" s="37"/>
      <c r="F1864" s="293"/>
      <c r="G1864" s="40"/>
      <c r="H1864" s="7"/>
      <c r="I1864" s="253"/>
      <c r="J1864" s="253"/>
      <c r="K1864" s="606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94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54"/>
        <v/>
      </c>
      <c r="C1865" s="190"/>
      <c r="D1865" s="37"/>
      <c r="E1865" s="37"/>
      <c r="F1865" s="293"/>
      <c r="G1865" s="40"/>
      <c r="H1865" s="7"/>
      <c r="I1865" s="253"/>
      <c r="J1865" s="253"/>
      <c r="K1865" s="606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94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54"/>
        <v/>
      </c>
      <c r="C1866" s="190"/>
      <c r="D1866" s="37"/>
      <c r="E1866" s="37"/>
      <c r="F1866" s="293"/>
      <c r="G1866" s="40"/>
      <c r="H1866" s="7"/>
      <c r="I1866" s="253"/>
      <c r="J1866" s="253"/>
      <c r="K1866" s="606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94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54"/>
        <v/>
      </c>
      <c r="C1867" s="190"/>
      <c r="D1867" s="37"/>
      <c r="E1867" s="37"/>
      <c r="F1867" s="293"/>
      <c r="G1867" s="40"/>
      <c r="H1867" s="7"/>
      <c r="I1867" s="253"/>
      <c r="J1867" s="253"/>
      <c r="K1867" s="606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94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54"/>
        <v/>
      </c>
      <c r="C1868" s="190"/>
      <c r="D1868" s="37"/>
      <c r="E1868" s="37"/>
      <c r="F1868" s="293"/>
      <c r="G1868" s="40"/>
      <c r="H1868" s="7"/>
      <c r="I1868" s="253"/>
      <c r="J1868" s="253"/>
      <c r="K1868" s="606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94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si="54"/>
        <v/>
      </c>
      <c r="C1869" s="190"/>
      <c r="D1869" s="37"/>
      <c r="E1869" s="37"/>
      <c r="F1869" s="293"/>
      <c r="G1869" s="40"/>
      <c r="H1869" s="7"/>
      <c r="I1869" s="253"/>
      <c r="J1869" s="253"/>
      <c r="K1869" s="606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94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54"/>
        <v/>
      </c>
      <c r="C1870" s="190"/>
      <c r="D1870" s="37"/>
      <c r="E1870" s="37"/>
      <c r="F1870" s="293"/>
      <c r="G1870" s="40"/>
      <c r="H1870" s="7"/>
      <c r="I1870" s="253"/>
      <c r="J1870" s="253"/>
      <c r="K1870" s="606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94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54"/>
        <v/>
      </c>
      <c r="C1871" s="190"/>
      <c r="D1871" s="37"/>
      <c r="E1871" s="37"/>
      <c r="F1871" s="293"/>
      <c r="G1871" s="40"/>
      <c r="H1871" s="7"/>
      <c r="I1871" s="253"/>
      <c r="J1871" s="253"/>
      <c r="K1871" s="606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94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54"/>
        <v/>
      </c>
      <c r="C1872" s="190"/>
      <c r="D1872" s="37"/>
      <c r="E1872" s="37"/>
      <c r="F1872" s="293"/>
      <c r="G1872" s="40"/>
      <c r="H1872" s="7"/>
      <c r="I1872" s="253"/>
      <c r="J1872" s="253"/>
      <c r="K1872" s="606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94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54"/>
        <v/>
      </c>
      <c r="C1873" s="190"/>
      <c r="D1873" s="37"/>
      <c r="E1873" s="37"/>
      <c r="F1873" s="293"/>
      <c r="G1873" s="40"/>
      <c r="H1873" s="7"/>
      <c r="I1873" s="253"/>
      <c r="J1873" s="253"/>
      <c r="K1873" s="606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94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54"/>
        <v/>
      </c>
      <c r="C1874" s="190"/>
      <c r="D1874" s="37"/>
      <c r="E1874" s="37"/>
      <c r="F1874" s="293"/>
      <c r="G1874" s="40"/>
      <c r="H1874" s="7"/>
      <c r="I1874" s="253"/>
      <c r="J1874" s="253"/>
      <c r="K1874" s="606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94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54"/>
        <v/>
      </c>
      <c r="C1875" s="190"/>
      <c r="D1875" s="37"/>
      <c r="E1875" s="37"/>
      <c r="F1875" s="293"/>
      <c r="G1875" s="40"/>
      <c r="H1875" s="7"/>
      <c r="I1875" s="253"/>
      <c r="J1875" s="253"/>
      <c r="K1875" s="606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94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54"/>
        <v/>
      </c>
      <c r="C1876" s="190"/>
      <c r="D1876" s="37"/>
      <c r="E1876" s="37"/>
      <c r="F1876" s="293"/>
      <c r="G1876" s="40"/>
      <c r="H1876" s="7"/>
      <c r="I1876" s="253"/>
      <c r="J1876" s="253"/>
      <c r="K1876" s="606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94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54"/>
        <v/>
      </c>
      <c r="C1877" s="190"/>
      <c r="D1877" s="37"/>
      <c r="E1877" s="37"/>
      <c r="F1877" s="293"/>
      <c r="G1877" s="40"/>
      <c r="H1877" s="7"/>
      <c r="I1877" s="253"/>
      <c r="J1877" s="253"/>
      <c r="K1877" s="606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94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54"/>
        <v/>
      </c>
      <c r="C1878" s="190"/>
      <c r="D1878" s="37"/>
      <c r="E1878" s="37"/>
      <c r="F1878" s="191"/>
      <c r="G1878" s="491"/>
      <c r="H1878" s="192"/>
      <c r="I1878" s="253"/>
      <c r="J1878" s="253"/>
      <c r="K1878" s="606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94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54"/>
        <v/>
      </c>
      <c r="C1879" s="190"/>
      <c r="D1879" s="37"/>
      <c r="E1879" s="37"/>
      <c r="F1879" s="191"/>
      <c r="G1879" s="491"/>
      <c r="H1879" s="192"/>
      <c r="I1879" s="253"/>
      <c r="J1879" s="253"/>
      <c r="K1879" s="606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94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54"/>
        <v/>
      </c>
      <c r="C1880" s="190"/>
      <c r="D1880" s="37"/>
      <c r="E1880" s="37"/>
      <c r="F1880" s="191"/>
      <c r="G1880" s="491"/>
      <c r="H1880" s="192"/>
      <c r="I1880" s="253"/>
      <c r="J1880" s="253"/>
      <c r="K1880" s="606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94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ref="B1881:B1944" si="55">IF(C1881&lt;&gt;"",MONTH(C1881),"")</f>
        <v/>
      </c>
      <c r="C1881" s="190"/>
      <c r="D1881" s="37"/>
      <c r="E1881" s="37"/>
      <c r="F1881" s="191"/>
      <c r="G1881" s="491"/>
      <c r="H1881" s="192"/>
      <c r="I1881" s="253"/>
      <c r="J1881" s="253"/>
      <c r="K1881" s="606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94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55"/>
        <v/>
      </c>
      <c r="C1882" s="190"/>
      <c r="D1882" s="37"/>
      <c r="E1882" s="37"/>
      <c r="F1882" s="191"/>
      <c r="G1882" s="491"/>
      <c r="H1882" s="192"/>
      <c r="I1882" s="253"/>
      <c r="J1882" s="253"/>
      <c r="K1882" s="606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94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55"/>
        <v/>
      </c>
      <c r="C1883" s="190"/>
      <c r="D1883" s="37"/>
      <c r="E1883" s="37"/>
      <c r="F1883" s="191"/>
      <c r="G1883" s="491"/>
      <c r="H1883" s="192"/>
      <c r="I1883" s="253"/>
      <c r="J1883" s="253"/>
      <c r="K1883" s="606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94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55"/>
        <v/>
      </c>
      <c r="C1884" s="190"/>
      <c r="D1884" s="37"/>
      <c r="E1884" s="37"/>
      <c r="F1884" s="191"/>
      <c r="G1884" s="491"/>
      <c r="H1884" s="192"/>
      <c r="I1884" s="253"/>
      <c r="J1884" s="253"/>
      <c r="K1884" s="606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94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55"/>
        <v/>
      </c>
      <c r="C1885" s="190"/>
      <c r="D1885" s="37"/>
      <c r="E1885" s="37"/>
      <c r="F1885" s="191"/>
      <c r="G1885" s="491"/>
      <c r="H1885" s="192"/>
      <c r="I1885" s="253"/>
      <c r="J1885" s="253"/>
      <c r="K1885" s="606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94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55"/>
        <v/>
      </c>
      <c r="C1886" s="190"/>
      <c r="D1886" s="37"/>
      <c r="E1886" s="37"/>
      <c r="F1886" s="191"/>
      <c r="G1886" s="491"/>
      <c r="H1886" s="192"/>
      <c r="I1886" s="253"/>
      <c r="J1886" s="253"/>
      <c r="K1886" s="606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94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55"/>
        <v/>
      </c>
      <c r="C1887" s="190"/>
      <c r="D1887" s="37"/>
      <c r="E1887" s="37"/>
      <c r="F1887" s="191"/>
      <c r="G1887" s="491"/>
      <c r="H1887" s="192"/>
      <c r="I1887" s="253"/>
      <c r="J1887" s="253"/>
      <c r="K1887" s="606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94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55"/>
        <v/>
      </c>
      <c r="C1888" s="190"/>
      <c r="D1888" s="37"/>
      <c r="E1888" s="37"/>
      <c r="F1888" s="191"/>
      <c r="G1888" s="491"/>
      <c r="H1888" s="192"/>
      <c r="I1888" s="253"/>
      <c r="J1888" s="253"/>
      <c r="K1888" s="606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94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55"/>
        <v/>
      </c>
      <c r="C1889" s="190"/>
      <c r="D1889" s="37"/>
      <c r="E1889" s="37"/>
      <c r="F1889" s="191"/>
      <c r="G1889" s="491"/>
      <c r="H1889" s="192"/>
      <c r="I1889" s="253"/>
      <c r="J1889" s="253"/>
      <c r="K1889" s="606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94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55"/>
        <v/>
      </c>
      <c r="C1890" s="190"/>
      <c r="D1890" s="37"/>
      <c r="E1890" s="37"/>
      <c r="F1890" s="191"/>
      <c r="G1890" s="491"/>
      <c r="H1890" s="192"/>
      <c r="I1890" s="253"/>
      <c r="J1890" s="253"/>
      <c r="K1890" s="606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94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55"/>
        <v/>
      </c>
      <c r="C1891" s="190"/>
      <c r="D1891" s="37"/>
      <c r="E1891" s="37"/>
      <c r="F1891" s="191"/>
      <c r="G1891" s="491"/>
      <c r="H1891" s="192"/>
      <c r="I1891" s="253"/>
      <c r="J1891" s="253"/>
      <c r="K1891" s="606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94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55"/>
        <v/>
      </c>
      <c r="C1892" s="190"/>
      <c r="D1892" s="190"/>
      <c r="E1892" s="190"/>
      <c r="F1892" s="191"/>
      <c r="G1892" s="491"/>
      <c r="H1892" s="192"/>
      <c r="I1892" s="253"/>
      <c r="J1892" s="253"/>
      <c r="K1892" s="606"/>
      <c r="L1892" s="193"/>
      <c r="M1892" s="193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94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55"/>
        <v/>
      </c>
      <c r="C1893" s="190"/>
      <c r="D1893" s="190"/>
      <c r="E1893" s="190"/>
      <c r="F1893" s="191"/>
      <c r="G1893" s="491"/>
      <c r="H1893" s="192"/>
      <c r="I1893" s="253"/>
      <c r="J1893" s="253"/>
      <c r="K1893" s="606"/>
      <c r="L1893" s="193"/>
      <c r="M1893" s="193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94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55"/>
        <v/>
      </c>
      <c r="C1894" s="190"/>
      <c r="D1894" s="190"/>
      <c r="E1894" s="190"/>
      <c r="F1894" s="191"/>
      <c r="G1894" s="491"/>
      <c r="H1894" s="192"/>
      <c r="I1894" s="253"/>
      <c r="J1894" s="253"/>
      <c r="K1894" s="606"/>
      <c r="L1894" s="193"/>
      <c r="M1894" s="193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94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si="55"/>
        <v/>
      </c>
      <c r="C1895" s="190"/>
      <c r="D1895" s="190"/>
      <c r="E1895" s="190"/>
      <c r="F1895" s="191"/>
      <c r="G1895" s="491"/>
      <c r="H1895" s="192"/>
      <c r="I1895" s="253"/>
      <c r="J1895" s="253"/>
      <c r="K1895" s="606"/>
      <c r="L1895" s="193"/>
      <c r="M1895" s="193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94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55"/>
        <v/>
      </c>
      <c r="C1896" s="190"/>
      <c r="D1896" s="190"/>
      <c r="E1896" s="190"/>
      <c r="F1896" s="191"/>
      <c r="G1896" s="491"/>
      <c r="H1896" s="192"/>
      <c r="I1896" s="253"/>
      <c r="J1896" s="253"/>
      <c r="K1896" s="606"/>
      <c r="L1896" s="193"/>
      <c r="M1896" s="193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94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55"/>
        <v/>
      </c>
      <c r="C1897" s="190"/>
      <c r="D1897" s="190"/>
      <c r="E1897" s="190"/>
      <c r="F1897" s="191"/>
      <c r="G1897" s="491"/>
      <c r="H1897" s="192"/>
      <c r="I1897" s="253"/>
      <c r="J1897" s="253"/>
      <c r="K1897" s="606"/>
      <c r="L1897" s="193"/>
      <c r="M1897" s="193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94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55"/>
        <v/>
      </c>
      <c r="C1898" s="190"/>
      <c r="D1898" s="190"/>
      <c r="E1898" s="190"/>
      <c r="F1898" s="191"/>
      <c r="G1898" s="491"/>
      <c r="H1898" s="192"/>
      <c r="I1898" s="253"/>
      <c r="J1898" s="253"/>
      <c r="K1898" s="606"/>
      <c r="L1898" s="193"/>
      <c r="M1898" s="193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94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55"/>
        <v/>
      </c>
      <c r="C1899" s="190"/>
      <c r="D1899" s="190"/>
      <c r="E1899" s="190"/>
      <c r="F1899" s="191"/>
      <c r="G1899" s="491"/>
      <c r="H1899" s="192"/>
      <c r="I1899" s="253"/>
      <c r="J1899" s="253"/>
      <c r="K1899" s="606"/>
      <c r="L1899" s="193"/>
      <c r="M1899" s="193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94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55"/>
        <v/>
      </c>
      <c r="C1900" s="190"/>
      <c r="D1900" s="190"/>
      <c r="E1900" s="190"/>
      <c r="F1900" s="191"/>
      <c r="G1900" s="491"/>
      <c r="H1900" s="192"/>
      <c r="I1900" s="253"/>
      <c r="J1900" s="253"/>
      <c r="K1900" s="606"/>
      <c r="L1900" s="193"/>
      <c r="M1900" s="193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94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55"/>
        <v/>
      </c>
      <c r="C1901" s="190"/>
      <c r="D1901" s="190"/>
      <c r="E1901" s="190"/>
      <c r="F1901" s="191"/>
      <c r="G1901" s="491"/>
      <c r="H1901" s="192"/>
      <c r="I1901" s="253"/>
      <c r="J1901" s="253"/>
      <c r="K1901" s="606"/>
      <c r="L1901" s="193"/>
      <c r="M1901" s="193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94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55"/>
        <v/>
      </c>
      <c r="C1902" s="190"/>
      <c r="D1902" s="190"/>
      <c r="E1902" s="190"/>
      <c r="F1902" s="191"/>
      <c r="G1902" s="491"/>
      <c r="H1902" s="192"/>
      <c r="I1902" s="253"/>
      <c r="J1902" s="253"/>
      <c r="K1902" s="606"/>
      <c r="L1902" s="193"/>
      <c r="M1902" s="193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94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55"/>
        <v/>
      </c>
      <c r="C1903" s="190"/>
      <c r="D1903" s="37"/>
      <c r="E1903" s="37"/>
      <c r="F1903" s="293"/>
      <c r="G1903" s="40"/>
      <c r="H1903" s="7"/>
      <c r="I1903" s="253"/>
      <c r="J1903" s="253"/>
      <c r="K1903" s="606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94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55"/>
        <v/>
      </c>
      <c r="C1904" s="190"/>
      <c r="D1904" s="37"/>
      <c r="E1904" s="37"/>
      <c r="F1904" s="293"/>
      <c r="G1904" s="40"/>
      <c r="H1904" s="7"/>
      <c r="I1904" s="253"/>
      <c r="J1904" s="253"/>
      <c r="K1904" s="606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94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55"/>
        <v/>
      </c>
      <c r="C1905" s="190"/>
      <c r="D1905" s="37"/>
      <c r="E1905" s="37"/>
      <c r="F1905" s="293"/>
      <c r="G1905" s="40"/>
      <c r="H1905" s="7"/>
      <c r="I1905" s="253"/>
      <c r="J1905" s="253"/>
      <c r="K1905" s="606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94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55"/>
        <v/>
      </c>
      <c r="C1906" s="190"/>
      <c r="D1906" s="37"/>
      <c r="E1906" s="37"/>
      <c r="F1906" s="293"/>
      <c r="G1906" s="40"/>
      <c r="H1906" s="7"/>
      <c r="I1906" s="253"/>
      <c r="J1906" s="253"/>
      <c r="K1906" s="606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94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55"/>
        <v/>
      </c>
      <c r="C1907" s="190"/>
      <c r="D1907" s="37"/>
      <c r="E1907" s="37"/>
      <c r="F1907" s="191"/>
      <c r="G1907" s="40"/>
      <c r="H1907" s="7"/>
      <c r="I1907" s="253"/>
      <c r="J1907" s="253"/>
      <c r="K1907" s="606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94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55"/>
        <v/>
      </c>
      <c r="C1908" s="190"/>
      <c r="D1908" s="37"/>
      <c r="E1908" s="37"/>
      <c r="F1908" s="293"/>
      <c r="G1908" s="40"/>
      <c r="H1908" s="7"/>
      <c r="I1908" s="253"/>
      <c r="J1908" s="253"/>
      <c r="K1908" s="606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94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55"/>
        <v/>
      </c>
      <c r="C1909" s="190"/>
      <c r="D1909" s="37"/>
      <c r="E1909" s="37"/>
      <c r="F1909" s="293"/>
      <c r="G1909" s="40"/>
      <c r="H1909" s="7"/>
      <c r="I1909" s="253"/>
      <c r="J1909" s="253"/>
      <c r="K1909" s="606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94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55"/>
        <v/>
      </c>
      <c r="C1910" s="190"/>
      <c r="D1910" s="37"/>
      <c r="E1910" s="37"/>
      <c r="F1910" s="293"/>
      <c r="G1910" s="40"/>
      <c r="H1910" s="7"/>
      <c r="I1910" s="253"/>
      <c r="J1910" s="253"/>
      <c r="K1910" s="606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94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si="55"/>
        <v/>
      </c>
      <c r="C1911" s="190"/>
      <c r="D1911" s="37"/>
      <c r="E1911" s="37"/>
      <c r="F1911" s="293"/>
      <c r="G1911" s="40"/>
      <c r="H1911" s="7"/>
      <c r="I1911" s="253"/>
      <c r="J1911" s="253"/>
      <c r="K1911" s="606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94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si="55"/>
        <v/>
      </c>
      <c r="C1912" s="190"/>
      <c r="D1912" s="37"/>
      <c r="E1912" s="37"/>
      <c r="F1912" s="293"/>
      <c r="G1912" s="40"/>
      <c r="H1912" s="7"/>
      <c r="I1912" s="253"/>
      <c r="J1912" s="253"/>
      <c r="K1912" s="606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94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55"/>
        <v/>
      </c>
      <c r="C1913" s="190"/>
      <c r="D1913" s="37"/>
      <c r="E1913" s="37"/>
      <c r="F1913" s="191"/>
      <c r="G1913" s="491"/>
      <c r="H1913" s="192"/>
      <c r="I1913" s="253"/>
      <c r="J1913" s="253"/>
      <c r="K1913" s="606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94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55"/>
        <v/>
      </c>
      <c r="C1914" s="190"/>
      <c r="D1914" s="37"/>
      <c r="E1914" s="37"/>
      <c r="F1914" s="191"/>
      <c r="G1914" s="491"/>
      <c r="H1914" s="192"/>
      <c r="I1914" s="253"/>
      <c r="J1914" s="253"/>
      <c r="K1914" s="606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94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55"/>
        <v/>
      </c>
      <c r="C1915" s="190"/>
      <c r="D1915" s="37"/>
      <c r="E1915" s="37"/>
      <c r="F1915" s="191"/>
      <c r="G1915" s="491"/>
      <c r="H1915" s="192"/>
      <c r="I1915" s="253"/>
      <c r="J1915" s="253"/>
      <c r="K1915" s="606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94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55"/>
        <v/>
      </c>
      <c r="C1916" s="190"/>
      <c r="D1916" s="37"/>
      <c r="E1916" s="37"/>
      <c r="F1916" s="191"/>
      <c r="G1916" s="491"/>
      <c r="H1916" s="192"/>
      <c r="I1916" s="253"/>
      <c r="J1916" s="253"/>
      <c r="K1916" s="606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94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55"/>
        <v/>
      </c>
      <c r="C1917" s="190"/>
      <c r="D1917" s="37"/>
      <c r="E1917" s="37"/>
      <c r="F1917" s="191"/>
      <c r="G1917" s="491"/>
      <c r="H1917" s="192"/>
      <c r="I1917" s="253"/>
      <c r="J1917" s="253"/>
      <c r="K1917" s="606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94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55"/>
        <v/>
      </c>
      <c r="C1918" s="190"/>
      <c r="D1918" s="37"/>
      <c r="E1918" s="37"/>
      <c r="F1918" s="191"/>
      <c r="G1918" s="491"/>
      <c r="H1918" s="192"/>
      <c r="I1918" s="253"/>
      <c r="J1918" s="253"/>
      <c r="K1918" s="606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94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55"/>
        <v/>
      </c>
      <c r="C1919" s="190"/>
      <c r="D1919" s="37"/>
      <c r="E1919" s="37"/>
      <c r="F1919" s="191"/>
      <c r="G1919" s="491"/>
      <c r="H1919" s="192"/>
      <c r="I1919" s="253"/>
      <c r="J1919" s="253"/>
      <c r="K1919" s="606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94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55"/>
        <v/>
      </c>
      <c r="C1920" s="190"/>
      <c r="D1920" s="37"/>
      <c r="E1920" s="37"/>
      <c r="F1920" s="191"/>
      <c r="G1920" s="491"/>
      <c r="H1920" s="192"/>
      <c r="I1920" s="253"/>
      <c r="J1920" s="253"/>
      <c r="K1920" s="606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94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55"/>
        <v/>
      </c>
      <c r="C1921" s="190"/>
      <c r="D1921" s="37"/>
      <c r="E1921" s="37"/>
      <c r="F1921" s="191"/>
      <c r="G1921" s="491"/>
      <c r="H1921" s="192"/>
      <c r="I1921" s="253"/>
      <c r="J1921" s="253"/>
      <c r="K1921" s="606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94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55"/>
        <v/>
      </c>
      <c r="C1922" s="190"/>
      <c r="D1922" s="37"/>
      <c r="E1922" s="37"/>
      <c r="F1922" s="191"/>
      <c r="G1922" s="491"/>
      <c r="H1922" s="192"/>
      <c r="I1922" s="253"/>
      <c r="J1922" s="253"/>
      <c r="K1922" s="606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94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55"/>
        <v/>
      </c>
      <c r="C1923" s="190"/>
      <c r="D1923" s="190"/>
      <c r="E1923" s="190"/>
      <c r="F1923" s="191"/>
      <c r="G1923" s="491"/>
      <c r="H1923" s="7"/>
      <c r="I1923" s="253"/>
      <c r="J1923" s="253"/>
      <c r="K1923" s="606"/>
      <c r="L1923" s="193"/>
      <c r="M1923" s="193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94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55"/>
        <v/>
      </c>
      <c r="C1924" s="190"/>
      <c r="D1924" s="190"/>
      <c r="E1924" s="190"/>
      <c r="F1924" s="191"/>
      <c r="G1924" s="491"/>
      <c r="H1924" s="7"/>
      <c r="I1924" s="253"/>
      <c r="J1924" s="253"/>
      <c r="K1924" s="606"/>
      <c r="L1924" s="193"/>
      <c r="M1924" s="193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94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55"/>
        <v/>
      </c>
      <c r="C1925" s="190"/>
      <c r="D1925" s="190"/>
      <c r="E1925" s="190"/>
      <c r="F1925" s="191"/>
      <c r="G1925" s="491"/>
      <c r="H1925" s="7"/>
      <c r="I1925" s="253"/>
      <c r="J1925" s="253"/>
      <c r="K1925" s="606"/>
      <c r="L1925" s="193"/>
      <c r="M1925" s="193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94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55"/>
        <v/>
      </c>
      <c r="C1926" s="190"/>
      <c r="D1926" s="190"/>
      <c r="E1926" s="190"/>
      <c r="F1926" s="191"/>
      <c r="G1926" s="491"/>
      <c r="H1926" s="7"/>
      <c r="I1926" s="253"/>
      <c r="J1926" s="253"/>
      <c r="K1926" s="606"/>
      <c r="L1926" s="193"/>
      <c r="M1926" s="193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94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55"/>
        <v/>
      </c>
      <c r="C1927" s="190"/>
      <c r="D1927" s="190"/>
      <c r="E1927" s="190"/>
      <c r="F1927" s="191"/>
      <c r="G1927" s="491"/>
      <c r="H1927" s="7"/>
      <c r="I1927" s="253"/>
      <c r="J1927" s="253"/>
      <c r="K1927" s="606"/>
      <c r="L1927" s="193"/>
      <c r="M1927" s="193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94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55"/>
        <v/>
      </c>
      <c r="C1928" s="190"/>
      <c r="D1928" s="190"/>
      <c r="E1928" s="190"/>
      <c r="F1928" s="191"/>
      <c r="G1928" s="491"/>
      <c r="H1928" s="7"/>
      <c r="I1928" s="253"/>
      <c r="J1928" s="253"/>
      <c r="K1928" s="606"/>
      <c r="L1928" s="193"/>
      <c r="M1928" s="193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94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55"/>
        <v/>
      </c>
      <c r="C1929" s="190"/>
      <c r="D1929" s="190"/>
      <c r="E1929" s="190"/>
      <c r="F1929" s="191"/>
      <c r="G1929" s="491"/>
      <c r="H1929" s="7"/>
      <c r="I1929" s="253"/>
      <c r="J1929" s="253"/>
      <c r="K1929" s="606"/>
      <c r="L1929" s="193"/>
      <c r="M1929" s="193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94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55"/>
        <v/>
      </c>
      <c r="C1930" s="190"/>
      <c r="D1930" s="190"/>
      <c r="E1930" s="190"/>
      <c r="F1930" s="191"/>
      <c r="G1930" s="491"/>
      <c r="H1930" s="7"/>
      <c r="I1930" s="253"/>
      <c r="J1930" s="253"/>
      <c r="K1930" s="606"/>
      <c r="L1930" s="193"/>
      <c r="M1930" s="193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94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55"/>
        <v/>
      </c>
      <c r="C1931" s="190"/>
      <c r="D1931" s="190"/>
      <c r="E1931" s="190"/>
      <c r="F1931" s="191"/>
      <c r="G1931" s="491"/>
      <c r="H1931" s="7"/>
      <c r="I1931" s="253"/>
      <c r="J1931" s="253"/>
      <c r="K1931" s="606"/>
      <c r="L1931" s="193"/>
      <c r="M1931" s="193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94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55"/>
        <v/>
      </c>
      <c r="C1932" s="190"/>
      <c r="D1932" s="37"/>
      <c r="E1932" s="37"/>
      <c r="F1932" s="293"/>
      <c r="G1932" s="40"/>
      <c r="H1932" s="7"/>
      <c r="I1932" s="253"/>
      <c r="J1932" s="253"/>
      <c r="K1932" s="606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94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si="55"/>
        <v/>
      </c>
      <c r="C1933" s="190"/>
      <c r="D1933" s="37"/>
      <c r="E1933" s="37"/>
      <c r="F1933" s="293"/>
      <c r="G1933" s="40"/>
      <c r="H1933" s="7"/>
      <c r="I1933" s="253"/>
      <c r="J1933" s="253"/>
      <c r="K1933" s="606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94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55"/>
        <v/>
      </c>
      <c r="C1934" s="190"/>
      <c r="D1934" s="37"/>
      <c r="E1934" s="37"/>
      <c r="F1934" s="293"/>
      <c r="G1934" s="40"/>
      <c r="H1934" s="7"/>
      <c r="I1934" s="253"/>
      <c r="J1934" s="253"/>
      <c r="K1934" s="606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94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55"/>
        <v/>
      </c>
      <c r="C1935" s="190"/>
      <c r="D1935" s="37"/>
      <c r="E1935" s="37"/>
      <c r="F1935" s="293"/>
      <c r="G1935" s="40"/>
      <c r="H1935" s="7"/>
      <c r="I1935" s="253"/>
      <c r="J1935" s="253"/>
      <c r="K1935" s="606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94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55"/>
        <v/>
      </c>
      <c r="C1936" s="190"/>
      <c r="D1936" s="37"/>
      <c r="E1936" s="37"/>
      <c r="F1936" s="293"/>
      <c r="G1936" s="40"/>
      <c r="H1936" s="7"/>
      <c r="I1936" s="253"/>
      <c r="J1936" s="253"/>
      <c r="K1936" s="606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94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55"/>
        <v/>
      </c>
      <c r="C1937" s="190"/>
      <c r="D1937" s="37"/>
      <c r="E1937" s="37"/>
      <c r="F1937" s="293"/>
      <c r="G1937" s="40"/>
      <c r="H1937" s="7"/>
      <c r="I1937" s="253"/>
      <c r="J1937" s="253"/>
      <c r="K1937" s="606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94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55"/>
        <v/>
      </c>
      <c r="C1938" s="190"/>
      <c r="D1938" s="37"/>
      <c r="E1938" s="37"/>
      <c r="F1938" s="293"/>
      <c r="G1938" s="40"/>
      <c r="H1938" s="7"/>
      <c r="I1938" s="253"/>
      <c r="J1938" s="253"/>
      <c r="K1938" s="606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94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55"/>
        <v/>
      </c>
      <c r="C1939" s="190"/>
      <c r="D1939" s="37"/>
      <c r="E1939" s="37"/>
      <c r="F1939" s="293"/>
      <c r="G1939" s="40"/>
      <c r="H1939" s="7"/>
      <c r="I1939" s="253"/>
      <c r="J1939" s="253"/>
      <c r="K1939" s="606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94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55"/>
        <v/>
      </c>
      <c r="C1940" s="190"/>
      <c r="D1940" s="37"/>
      <c r="E1940" s="37"/>
      <c r="F1940" s="191"/>
      <c r="G1940" s="491"/>
      <c r="H1940" s="7"/>
      <c r="I1940" s="253"/>
      <c r="J1940" s="253"/>
      <c r="K1940" s="606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94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55"/>
        <v/>
      </c>
      <c r="C1941" s="190"/>
      <c r="D1941" s="37"/>
      <c r="E1941" s="37"/>
      <c r="F1941" s="191"/>
      <c r="G1941" s="491"/>
      <c r="H1941" s="7"/>
      <c r="I1941" s="253"/>
      <c r="J1941" s="253"/>
      <c r="K1941" s="606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94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55"/>
        <v/>
      </c>
      <c r="C1942" s="190"/>
      <c r="D1942" s="37"/>
      <c r="E1942" s="37"/>
      <c r="F1942" s="191"/>
      <c r="G1942" s="491"/>
      <c r="H1942" s="7"/>
      <c r="I1942" s="253"/>
      <c r="J1942" s="253"/>
      <c r="K1942" s="606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94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55"/>
        <v/>
      </c>
      <c r="C1943" s="190"/>
      <c r="D1943" s="37"/>
      <c r="E1943" s="37"/>
      <c r="F1943" s="191"/>
      <c r="G1943" s="491"/>
      <c r="H1943" s="7"/>
      <c r="I1943" s="253"/>
      <c r="J1943" s="253"/>
      <c r="K1943" s="606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94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55"/>
        <v/>
      </c>
      <c r="C1944" s="190"/>
      <c r="D1944" s="37"/>
      <c r="E1944" s="37"/>
      <c r="F1944" s="191"/>
      <c r="G1944" s="491"/>
      <c r="H1944" s="7"/>
      <c r="I1944" s="253"/>
      <c r="J1944" s="253"/>
      <c r="K1944" s="606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94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ref="B1945:B2008" si="56">IF(C1945&lt;&gt;"",MONTH(C1945),"")</f>
        <v/>
      </c>
      <c r="C1945" s="190"/>
      <c r="D1945" s="37"/>
      <c r="E1945" s="37"/>
      <c r="F1945" s="191"/>
      <c r="G1945" s="491"/>
      <c r="H1945" s="7"/>
      <c r="I1945" s="253"/>
      <c r="J1945" s="253"/>
      <c r="K1945" s="606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94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56"/>
        <v/>
      </c>
      <c r="C1946" s="190"/>
      <c r="D1946" s="37"/>
      <c r="E1946" s="37"/>
      <c r="F1946" s="191"/>
      <c r="G1946" s="491"/>
      <c r="H1946" s="7"/>
      <c r="I1946" s="253"/>
      <c r="J1946" s="253"/>
      <c r="K1946" s="606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94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56"/>
        <v/>
      </c>
      <c r="C1947" s="190"/>
      <c r="D1947" s="37"/>
      <c r="E1947" s="37"/>
      <c r="F1947" s="191"/>
      <c r="G1947" s="491"/>
      <c r="H1947" s="7"/>
      <c r="I1947" s="253"/>
      <c r="J1947" s="253"/>
      <c r="K1947" s="606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94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56"/>
        <v/>
      </c>
      <c r="C1948" s="190"/>
      <c r="D1948" s="190"/>
      <c r="E1948" s="190"/>
      <c r="F1948" s="191"/>
      <c r="G1948" s="491"/>
      <c r="H1948" s="192"/>
      <c r="I1948" s="253"/>
      <c r="J1948" s="253"/>
      <c r="K1948" s="606"/>
      <c r="L1948" s="193"/>
      <c r="M1948" s="193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94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56"/>
        <v/>
      </c>
      <c r="C1949" s="190"/>
      <c r="D1949" s="190"/>
      <c r="E1949" s="190"/>
      <c r="F1949" s="191"/>
      <c r="G1949" s="491"/>
      <c r="H1949" s="192"/>
      <c r="I1949" s="253"/>
      <c r="J1949" s="253"/>
      <c r="K1949" s="606"/>
      <c r="L1949" s="193"/>
      <c r="M1949" s="193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94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56"/>
        <v/>
      </c>
      <c r="C1950" s="190"/>
      <c r="D1950" s="190"/>
      <c r="E1950" s="190"/>
      <c r="F1950" s="191"/>
      <c r="G1950" s="491"/>
      <c r="H1950" s="192"/>
      <c r="I1950" s="253"/>
      <c r="J1950" s="253"/>
      <c r="K1950" s="606"/>
      <c r="L1950" s="193"/>
      <c r="M1950" s="193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94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56"/>
        <v/>
      </c>
      <c r="C1951" s="190"/>
      <c r="D1951" s="37"/>
      <c r="E1951" s="37"/>
      <c r="F1951" s="293"/>
      <c r="G1951" s="40"/>
      <c r="H1951" s="7"/>
      <c r="I1951" s="253"/>
      <c r="J1951" s="253"/>
      <c r="K1951" s="606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94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56"/>
        <v/>
      </c>
      <c r="C1952" s="190"/>
      <c r="D1952" s="37"/>
      <c r="E1952" s="37"/>
      <c r="F1952" s="293"/>
      <c r="G1952" s="40"/>
      <c r="H1952" s="7"/>
      <c r="I1952" s="253"/>
      <c r="J1952" s="253"/>
      <c r="K1952" s="606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94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56"/>
        <v/>
      </c>
      <c r="C1953" s="190"/>
      <c r="D1953" s="37"/>
      <c r="E1953" s="37"/>
      <c r="F1953" s="191"/>
      <c r="G1953" s="491"/>
      <c r="H1953" s="192"/>
      <c r="I1953" s="253"/>
      <c r="J1953" s="253"/>
      <c r="K1953" s="606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94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56"/>
        <v/>
      </c>
      <c r="C1954" s="190"/>
      <c r="D1954" s="37"/>
      <c r="E1954" s="37"/>
      <c r="F1954" s="191"/>
      <c r="G1954" s="491"/>
      <c r="H1954" s="192"/>
      <c r="I1954" s="253"/>
      <c r="J1954" s="253"/>
      <c r="K1954" s="606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94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56"/>
        <v/>
      </c>
      <c r="C1955" s="183"/>
      <c r="D1955" s="183"/>
      <c r="E1955" s="183"/>
      <c r="F1955" s="188"/>
      <c r="G1955" s="608"/>
      <c r="H1955" s="7"/>
      <c r="I1955" s="253"/>
      <c r="J1955" s="253"/>
      <c r="K1955" s="606"/>
      <c r="L1955" s="607"/>
      <c r="M1955" s="607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94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56"/>
        <v/>
      </c>
      <c r="C1956" s="183"/>
      <c r="D1956" s="183"/>
      <c r="E1956" s="183"/>
      <c r="F1956" s="188"/>
      <c r="G1956" s="608"/>
      <c r="H1956" s="7"/>
      <c r="I1956" s="253"/>
      <c r="J1956" s="253"/>
      <c r="K1956" s="606"/>
      <c r="L1956" s="607"/>
      <c r="M1956" s="607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94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56"/>
        <v/>
      </c>
      <c r="C1957" s="190"/>
      <c r="D1957" s="190"/>
      <c r="E1957" s="190"/>
      <c r="F1957" s="191"/>
      <c r="G1957" s="491"/>
      <c r="H1957" s="7"/>
      <c r="I1957" s="253"/>
      <c r="J1957" s="253"/>
      <c r="K1957" s="606"/>
      <c r="L1957" s="193"/>
      <c r="M1957" s="193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94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56"/>
        <v/>
      </c>
      <c r="C1958" s="190"/>
      <c r="D1958" s="190"/>
      <c r="E1958" s="190"/>
      <c r="F1958" s="191"/>
      <c r="G1958" s="491"/>
      <c r="H1958" s="7"/>
      <c r="I1958" s="253"/>
      <c r="J1958" s="253"/>
      <c r="K1958" s="38"/>
      <c r="L1958" s="193"/>
      <c r="M1958" s="193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94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si="56"/>
        <v/>
      </c>
      <c r="C1959" s="183"/>
      <c r="D1959" s="183"/>
      <c r="E1959" s="190"/>
      <c r="F1959" s="188"/>
      <c r="G1959" s="608"/>
      <c r="H1959" s="7"/>
      <c r="I1959" s="253"/>
      <c r="J1959" s="253"/>
      <c r="K1959" s="606"/>
      <c r="L1959" s="607"/>
      <c r="M1959" s="607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94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56"/>
        <v/>
      </c>
      <c r="C1960" s="183"/>
      <c r="D1960" s="183"/>
      <c r="E1960" s="190"/>
      <c r="F1960" s="188"/>
      <c r="G1960" s="608"/>
      <c r="H1960" s="7"/>
      <c r="I1960" s="253"/>
      <c r="J1960" s="253"/>
      <c r="K1960" s="606"/>
      <c r="L1960" s="607"/>
      <c r="M1960" s="607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94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56"/>
        <v/>
      </c>
      <c r="C1961" s="183"/>
      <c r="D1961" s="183"/>
      <c r="E1961" s="190"/>
      <c r="F1961" s="188"/>
      <c r="G1961" s="608"/>
      <c r="H1961" s="7"/>
      <c r="I1961" s="253"/>
      <c r="J1961" s="253"/>
      <c r="K1961" s="606"/>
      <c r="L1961" s="607"/>
      <c r="M1961" s="607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94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56"/>
        <v/>
      </c>
      <c r="C1962" s="190"/>
      <c r="D1962" s="183"/>
      <c r="E1962" s="190"/>
      <c r="F1962" s="188"/>
      <c r="G1962" s="491"/>
      <c r="H1962" s="7"/>
      <c r="I1962" s="253"/>
      <c r="J1962" s="253"/>
      <c r="K1962" s="606"/>
      <c r="L1962" s="193"/>
      <c r="M1962" s="193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94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56"/>
        <v/>
      </c>
      <c r="C1963" s="190"/>
      <c r="D1963" s="183"/>
      <c r="E1963" s="190"/>
      <c r="F1963" s="188"/>
      <c r="G1963" s="491"/>
      <c r="H1963" s="7"/>
      <c r="I1963" s="253"/>
      <c r="J1963" s="253"/>
      <c r="K1963" s="38"/>
      <c r="L1963" s="193"/>
      <c r="M1963" s="193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94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56"/>
        <v/>
      </c>
      <c r="C1964" s="190"/>
      <c r="D1964" s="190"/>
      <c r="E1964" s="190"/>
      <c r="F1964" s="191"/>
      <c r="G1964" s="491"/>
      <c r="H1964" s="7"/>
      <c r="I1964" s="254"/>
      <c r="J1964" s="254"/>
      <c r="K1964" s="38"/>
      <c r="L1964" s="193"/>
      <c r="M1964" s="193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94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56"/>
        <v/>
      </c>
      <c r="C1965" s="190"/>
      <c r="D1965" s="37"/>
      <c r="E1965" s="776"/>
      <c r="F1965" s="451"/>
      <c r="G1965" s="40"/>
      <c r="H1965" s="7"/>
      <c r="I1965" s="253"/>
      <c r="J1965" s="253"/>
      <c r="K1965" s="606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94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56"/>
        <v/>
      </c>
      <c r="C1966" s="190"/>
      <c r="D1966" s="190"/>
      <c r="E1966" s="190"/>
      <c r="F1966" s="191"/>
      <c r="G1966" s="491"/>
      <c r="H1966" s="192"/>
      <c r="I1966" s="253"/>
      <c r="J1966" s="253"/>
      <c r="K1966" s="38"/>
      <c r="L1966" s="193"/>
      <c r="M1966" s="607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94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56"/>
        <v/>
      </c>
      <c r="C1967" s="190"/>
      <c r="D1967" s="190"/>
      <c r="E1967" s="190"/>
      <c r="F1967" s="191"/>
      <c r="G1967" s="491"/>
      <c r="H1967" s="204"/>
      <c r="I1967" s="253"/>
      <c r="J1967" s="253"/>
      <c r="K1967" s="606"/>
      <c r="L1967" s="193"/>
      <c r="M1967" s="193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94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56"/>
        <v/>
      </c>
      <c r="C1968" s="190"/>
      <c r="D1968" s="190"/>
      <c r="E1968" s="190"/>
      <c r="F1968" s="191"/>
      <c r="G1968" s="491"/>
      <c r="H1968" s="204"/>
      <c r="I1968" s="253"/>
      <c r="J1968" s="253"/>
      <c r="K1968" s="606"/>
      <c r="L1968" s="193"/>
      <c r="M1968" s="193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94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56"/>
        <v/>
      </c>
      <c r="C1969" s="190"/>
      <c r="D1969" s="190"/>
      <c r="E1969" s="190"/>
      <c r="F1969" s="191"/>
      <c r="G1969" s="491"/>
      <c r="H1969" s="204"/>
      <c r="I1969" s="253"/>
      <c r="J1969" s="253"/>
      <c r="K1969" s="606"/>
      <c r="L1969" s="193"/>
      <c r="M1969" s="193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94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56"/>
        <v/>
      </c>
      <c r="C1970" s="190"/>
      <c r="D1970" s="190"/>
      <c r="E1970" s="776"/>
      <c r="F1970" s="188"/>
      <c r="G1970" s="40"/>
      <c r="H1970" s="7"/>
      <c r="I1970" s="253"/>
      <c r="J1970" s="253"/>
      <c r="K1970" s="606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94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56"/>
        <v/>
      </c>
      <c r="C1971" s="190"/>
      <c r="D1971" s="190"/>
      <c r="E1971" s="776"/>
      <c r="F1971" s="40"/>
      <c r="G1971" s="40"/>
      <c r="H1971" s="7"/>
      <c r="I1971" s="253"/>
      <c r="J1971" s="253"/>
      <c r="K1971" s="606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94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56"/>
        <v/>
      </c>
      <c r="C1972" s="190"/>
      <c r="D1972" s="190"/>
      <c r="E1972" s="776"/>
      <c r="F1972" s="188"/>
      <c r="G1972" s="40"/>
      <c r="H1972" s="7"/>
      <c r="I1972" s="253"/>
      <c r="J1972" s="253"/>
      <c r="K1972" s="606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94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56"/>
        <v/>
      </c>
      <c r="C1973" s="190"/>
      <c r="D1973" s="190"/>
      <c r="E1973" s="776"/>
      <c r="F1973" s="188"/>
      <c r="G1973" s="40"/>
      <c r="H1973" s="7"/>
      <c r="I1973" s="253"/>
      <c r="J1973" s="253"/>
      <c r="K1973" s="606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94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56"/>
        <v/>
      </c>
      <c r="C1974" s="190"/>
      <c r="D1974" s="190"/>
      <c r="E1974" s="776"/>
      <c r="F1974" s="188"/>
      <c r="G1974" s="40"/>
      <c r="H1974" s="7"/>
      <c r="I1974" s="253"/>
      <c r="J1974" s="253"/>
      <c r="K1974" s="606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94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si="56"/>
        <v/>
      </c>
      <c r="C1975" s="190"/>
      <c r="D1975" s="190"/>
      <c r="E1975" s="776"/>
      <c r="F1975" s="40"/>
      <c r="G1975" s="40"/>
      <c r="H1975" s="7"/>
      <c r="I1975" s="253"/>
      <c r="J1975" s="253"/>
      <c r="K1975" s="606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94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si="56"/>
        <v/>
      </c>
      <c r="C1976" s="190"/>
      <c r="D1976" s="190"/>
      <c r="E1976" s="776"/>
      <c r="F1976" s="40"/>
      <c r="G1976" s="40"/>
      <c r="H1976" s="7"/>
      <c r="I1976" s="253"/>
      <c r="J1976" s="253"/>
      <c r="K1976" s="606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94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56"/>
        <v/>
      </c>
      <c r="C1977" s="190"/>
      <c r="D1977" s="190"/>
      <c r="E1977" s="776"/>
      <c r="F1977" s="188"/>
      <c r="G1977" s="40"/>
      <c r="H1977" s="7"/>
      <c r="I1977" s="253"/>
      <c r="J1977" s="253"/>
      <c r="K1977" s="606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94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56"/>
        <v/>
      </c>
      <c r="C1978" s="190"/>
      <c r="D1978" s="37"/>
      <c r="E1978" s="776"/>
      <c r="F1978" s="40"/>
      <c r="G1978" s="40"/>
      <c r="H1978" s="7"/>
      <c r="I1978" s="253"/>
      <c r="J1978" s="253"/>
      <c r="K1978" s="606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94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56"/>
        <v/>
      </c>
      <c r="C1979" s="190"/>
      <c r="D1979" s="37"/>
      <c r="E1979" s="776"/>
      <c r="F1979" s="191"/>
      <c r="G1979" s="491"/>
      <c r="H1979" s="204"/>
      <c r="I1979" s="253"/>
      <c r="J1979" s="253"/>
      <c r="K1979" s="606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94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56"/>
        <v/>
      </c>
      <c r="C1980" s="190"/>
      <c r="D1980" s="190"/>
      <c r="E1980" s="190"/>
      <c r="F1980" s="191"/>
      <c r="G1980" s="489"/>
      <c r="H1980" s="45"/>
      <c r="I1980" s="254"/>
      <c r="J1980" s="253"/>
      <c r="K1980" s="38"/>
      <c r="L1980" s="193"/>
      <c r="M1980" s="607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94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56"/>
        <v/>
      </c>
      <c r="C1981" s="190"/>
      <c r="D1981" s="190"/>
      <c r="E1981" s="190"/>
      <c r="F1981" s="191"/>
      <c r="G1981" s="489"/>
      <c r="H1981" s="45"/>
      <c r="I1981" s="254"/>
      <c r="J1981" s="253"/>
      <c r="K1981" s="38"/>
      <c r="L1981" s="193"/>
      <c r="M1981" s="607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94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56"/>
        <v/>
      </c>
      <c r="C1982" s="190"/>
      <c r="D1982" s="190"/>
      <c r="E1982" s="776"/>
      <c r="F1982" s="188"/>
      <c r="G1982" s="40"/>
      <c r="H1982" s="7"/>
      <c r="I1982" s="253"/>
      <c r="J1982" s="253"/>
      <c r="K1982" s="606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94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56"/>
        <v/>
      </c>
      <c r="C1983" s="190"/>
      <c r="D1983" s="190"/>
      <c r="E1983" s="776"/>
      <c r="F1983" s="188"/>
      <c r="G1983" s="40"/>
      <c r="H1983" s="7"/>
      <c r="I1983" s="253"/>
      <c r="J1983" s="253"/>
      <c r="K1983" s="606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94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56"/>
        <v/>
      </c>
      <c r="C1984" s="190"/>
      <c r="D1984" s="190"/>
      <c r="E1984" s="776"/>
      <c r="F1984" s="40"/>
      <c r="G1984" s="40"/>
      <c r="H1984" s="7"/>
      <c r="I1984" s="253"/>
      <c r="J1984" s="253"/>
      <c r="K1984" s="606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94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56"/>
        <v/>
      </c>
      <c r="C1985" s="190"/>
      <c r="D1985" s="190"/>
      <c r="E1985" s="776"/>
      <c r="F1985" s="40"/>
      <c r="G1985" s="40"/>
      <c r="H1985" s="7"/>
      <c r="I1985" s="253"/>
      <c r="J1985" s="253"/>
      <c r="K1985" s="606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94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56"/>
        <v/>
      </c>
      <c r="C1986" s="190"/>
      <c r="D1986" s="190"/>
      <c r="E1986" s="776"/>
      <c r="F1986" s="451"/>
      <c r="G1986" s="40"/>
      <c r="H1986" s="7"/>
      <c r="I1986" s="253"/>
      <c r="J1986" s="253"/>
      <c r="K1986" s="606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94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56"/>
        <v/>
      </c>
      <c r="C1987" s="190"/>
      <c r="D1987" s="190"/>
      <c r="E1987" s="776"/>
      <c r="F1987" s="188"/>
      <c r="G1987" s="40"/>
      <c r="H1987" s="7"/>
      <c r="I1987" s="253"/>
      <c r="J1987" s="253"/>
      <c r="K1987" s="606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94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56"/>
        <v/>
      </c>
      <c r="C1988" s="190"/>
      <c r="D1988" s="190"/>
      <c r="E1988" s="776"/>
      <c r="F1988" s="40"/>
      <c r="G1988" s="40"/>
      <c r="H1988" s="7"/>
      <c r="I1988" s="253"/>
      <c r="J1988" s="253"/>
      <c r="K1988" s="606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94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56"/>
        <v/>
      </c>
      <c r="C1989" s="190"/>
      <c r="D1989" s="190"/>
      <c r="E1989" s="776"/>
      <c r="F1989" s="188"/>
      <c r="G1989" s="40"/>
      <c r="H1989" s="7"/>
      <c r="I1989" s="253"/>
      <c r="J1989" s="253"/>
      <c r="K1989" s="606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94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56"/>
        <v/>
      </c>
      <c r="C1990" s="190"/>
      <c r="D1990" s="190"/>
      <c r="E1990" s="776"/>
      <c r="F1990" s="40"/>
      <c r="G1990" s="40"/>
      <c r="H1990" s="7"/>
      <c r="I1990" s="253"/>
      <c r="J1990" s="253"/>
      <c r="K1990" s="606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94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56"/>
        <v/>
      </c>
      <c r="C1991" s="190"/>
      <c r="D1991" s="190"/>
      <c r="E1991" s="776"/>
      <c r="F1991" s="40"/>
      <c r="G1991" s="40"/>
      <c r="H1991" s="7"/>
      <c r="I1991" s="253"/>
      <c r="J1991" s="253"/>
      <c r="K1991" s="606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94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56"/>
        <v/>
      </c>
      <c r="C1992" s="190"/>
      <c r="D1992" s="190"/>
      <c r="E1992" s="776"/>
      <c r="F1992" s="188"/>
      <c r="G1992" s="40"/>
      <c r="H1992" s="7"/>
      <c r="I1992" s="253"/>
      <c r="J1992" s="253"/>
      <c r="K1992" s="606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94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56"/>
        <v/>
      </c>
      <c r="C1993" s="190"/>
      <c r="D1993" s="190"/>
      <c r="E1993" s="776"/>
      <c r="F1993" s="40"/>
      <c r="G1993" s="40"/>
      <c r="H1993" s="7"/>
      <c r="I1993" s="253"/>
      <c r="J1993" s="253"/>
      <c r="K1993" s="606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94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56"/>
        <v/>
      </c>
      <c r="C1994" s="190"/>
      <c r="D1994" s="190"/>
      <c r="E1994" s="776"/>
      <c r="F1994" s="188"/>
      <c r="G1994" s="40"/>
      <c r="H1994" s="7"/>
      <c r="I1994" s="253"/>
      <c r="J1994" s="253"/>
      <c r="K1994" s="606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94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56"/>
        <v/>
      </c>
      <c r="C1995" s="190"/>
      <c r="D1995" s="190"/>
      <c r="E1995" s="776"/>
      <c r="F1995" s="188"/>
      <c r="G1995" s="40"/>
      <c r="H1995" s="7"/>
      <c r="I1995" s="253"/>
      <c r="J1995" s="253"/>
      <c r="K1995" s="606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94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56"/>
        <v/>
      </c>
      <c r="C1996" s="190"/>
      <c r="D1996" s="190"/>
      <c r="E1996" s="776"/>
      <c r="F1996" s="188"/>
      <c r="G1996" s="40"/>
      <c r="H1996" s="7"/>
      <c r="I1996" s="253"/>
      <c r="J1996" s="253"/>
      <c r="K1996" s="606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94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si="56"/>
        <v/>
      </c>
      <c r="C1997" s="190"/>
      <c r="D1997" s="190"/>
      <c r="E1997" s="776"/>
      <c r="F1997" s="40"/>
      <c r="G1997" s="40"/>
      <c r="H1997" s="7"/>
      <c r="I1997" s="253"/>
      <c r="J1997" s="253"/>
      <c r="K1997" s="606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94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56"/>
        <v/>
      </c>
      <c r="C1998" s="190"/>
      <c r="D1998" s="190"/>
      <c r="E1998" s="776"/>
      <c r="F1998" s="188"/>
      <c r="G1998" s="40"/>
      <c r="H1998" s="7"/>
      <c r="I1998" s="253"/>
      <c r="J1998" s="253"/>
      <c r="K1998" s="606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94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56"/>
        <v/>
      </c>
      <c r="C1999" s="190"/>
      <c r="D1999" s="190"/>
      <c r="E1999" s="776"/>
      <c r="F1999" s="188"/>
      <c r="G1999" s="40"/>
      <c r="H1999" s="7"/>
      <c r="I1999" s="253"/>
      <c r="J1999" s="253"/>
      <c r="K1999" s="606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94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56"/>
        <v/>
      </c>
      <c r="C2000" s="183"/>
      <c r="D2000" s="183"/>
      <c r="E2000" s="183"/>
      <c r="F2000" s="188"/>
      <c r="G2000" s="608"/>
      <c r="H2000" s="7"/>
      <c r="I2000" s="253"/>
      <c r="J2000" s="253"/>
      <c r="K2000" s="606"/>
      <c r="L2000" s="607"/>
      <c r="M2000" s="607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94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56"/>
        <v/>
      </c>
      <c r="C2001" s="183"/>
      <c r="D2001" s="183"/>
      <c r="E2001" s="183"/>
      <c r="F2001" s="188"/>
      <c r="G2001" s="608"/>
      <c r="H2001" s="192"/>
      <c r="I2001" s="253"/>
      <c r="J2001" s="253"/>
      <c r="K2001" s="606"/>
      <c r="L2001" s="607"/>
      <c r="M2001" s="607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94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56"/>
        <v/>
      </c>
      <c r="C2002" s="190"/>
      <c r="D2002" s="190"/>
      <c r="E2002" s="190"/>
      <c r="F2002" s="191"/>
      <c r="G2002" s="491"/>
      <c r="H2002" s="192"/>
      <c r="I2002" s="253"/>
      <c r="J2002" s="253"/>
      <c r="K2002" s="606"/>
      <c r="L2002" s="193"/>
      <c r="M2002" s="193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94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56"/>
        <v/>
      </c>
      <c r="C2003" s="190"/>
      <c r="D2003" s="190"/>
      <c r="E2003" s="190"/>
      <c r="F2003" s="191"/>
      <c r="G2003" s="491"/>
      <c r="H2003" s="192"/>
      <c r="I2003" s="253"/>
      <c r="J2003" s="253"/>
      <c r="K2003" s="606"/>
      <c r="L2003" s="193"/>
      <c r="M2003" s="193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94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56"/>
        <v/>
      </c>
      <c r="C2004" s="190"/>
      <c r="D2004" s="190"/>
      <c r="E2004" s="190"/>
      <c r="F2004" s="191"/>
      <c r="G2004" s="491"/>
      <c r="H2004" s="192"/>
      <c r="I2004" s="253"/>
      <c r="J2004" s="253"/>
      <c r="K2004" s="606"/>
      <c r="L2004" s="193"/>
      <c r="M2004" s="193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94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56"/>
        <v/>
      </c>
      <c r="C2005" s="190"/>
      <c r="D2005" s="190"/>
      <c r="E2005" s="190"/>
      <c r="F2005" s="191"/>
      <c r="G2005" s="491"/>
      <c r="H2005" s="192"/>
      <c r="I2005" s="253"/>
      <c r="J2005" s="253"/>
      <c r="K2005" s="606"/>
      <c r="L2005" s="193"/>
      <c r="M2005" s="193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94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56"/>
        <v/>
      </c>
      <c r="C2006" s="190"/>
      <c r="D2006" s="190"/>
      <c r="E2006" s="190"/>
      <c r="F2006" s="191"/>
      <c r="G2006" s="491"/>
      <c r="H2006" s="192"/>
      <c r="I2006" s="253"/>
      <c r="J2006" s="253"/>
      <c r="K2006" s="606"/>
      <c r="L2006" s="193"/>
      <c r="M2006" s="193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94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56"/>
        <v/>
      </c>
      <c r="C2007" s="190"/>
      <c r="D2007" s="190"/>
      <c r="E2007" s="190"/>
      <c r="F2007" s="191"/>
      <c r="G2007" s="491"/>
      <c r="H2007" s="192"/>
      <c r="I2007" s="253"/>
      <c r="J2007" s="253"/>
      <c r="K2007" s="606"/>
      <c r="L2007" s="193"/>
      <c r="M2007" s="193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94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56"/>
        <v/>
      </c>
      <c r="C2008" s="190"/>
      <c r="D2008" s="190"/>
      <c r="E2008" s="190"/>
      <c r="F2008" s="191"/>
      <c r="G2008" s="491"/>
      <c r="H2008" s="192"/>
      <c r="I2008" s="253"/>
      <c r="J2008" s="253"/>
      <c r="K2008" s="606"/>
      <c r="L2008" s="193"/>
      <c r="M2008" s="193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94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ref="B2009:B2072" si="57">IF(C2009&lt;&gt;"",MONTH(C2009),"")</f>
        <v/>
      </c>
      <c r="C2009" s="190"/>
      <c r="D2009" s="190"/>
      <c r="E2009" s="190"/>
      <c r="F2009" s="191"/>
      <c r="G2009" s="491"/>
      <c r="H2009" s="192"/>
      <c r="I2009" s="253"/>
      <c r="J2009" s="253"/>
      <c r="K2009" s="606"/>
      <c r="L2009" s="193"/>
      <c r="M2009" s="193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94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57"/>
        <v/>
      </c>
      <c r="C2010" s="190"/>
      <c r="D2010" s="190"/>
      <c r="E2010" s="190"/>
      <c r="F2010" s="191"/>
      <c r="G2010" s="491"/>
      <c r="H2010" s="192"/>
      <c r="I2010" s="253"/>
      <c r="J2010" s="253"/>
      <c r="K2010" s="606"/>
      <c r="L2010" s="193"/>
      <c r="M2010" s="193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94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57"/>
        <v/>
      </c>
      <c r="C2011" s="190"/>
      <c r="D2011" s="190"/>
      <c r="E2011" s="190"/>
      <c r="F2011" s="191"/>
      <c r="G2011" s="491"/>
      <c r="H2011" s="192"/>
      <c r="I2011" s="253"/>
      <c r="J2011" s="253"/>
      <c r="K2011" s="606"/>
      <c r="L2011" s="193"/>
      <c r="M2011" s="193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94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57"/>
        <v/>
      </c>
      <c r="C2012" s="190"/>
      <c r="D2012" s="190"/>
      <c r="E2012" s="190"/>
      <c r="F2012" s="191"/>
      <c r="G2012" s="491"/>
      <c r="H2012" s="192"/>
      <c r="I2012" s="253"/>
      <c r="J2012" s="253"/>
      <c r="K2012" s="606"/>
      <c r="L2012" s="193"/>
      <c r="M2012" s="193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94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57"/>
        <v/>
      </c>
      <c r="C2013" s="190"/>
      <c r="D2013" s="190"/>
      <c r="E2013" s="190"/>
      <c r="F2013" s="191"/>
      <c r="G2013" s="491"/>
      <c r="H2013" s="192"/>
      <c r="I2013" s="253"/>
      <c r="J2013" s="253"/>
      <c r="K2013" s="606"/>
      <c r="L2013" s="193"/>
      <c r="M2013" s="193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94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57"/>
        <v/>
      </c>
      <c r="C2014" s="190"/>
      <c r="D2014" s="190"/>
      <c r="E2014" s="190"/>
      <c r="F2014" s="191"/>
      <c r="G2014" s="491"/>
      <c r="H2014" s="192"/>
      <c r="I2014" s="253"/>
      <c r="J2014" s="253"/>
      <c r="K2014" s="606"/>
      <c r="L2014" s="193"/>
      <c r="M2014" s="193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94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57"/>
        <v/>
      </c>
      <c r="C2015" s="190"/>
      <c r="D2015" s="190"/>
      <c r="E2015" s="190"/>
      <c r="F2015" s="191"/>
      <c r="G2015" s="491"/>
      <c r="H2015" s="192"/>
      <c r="I2015" s="253"/>
      <c r="J2015" s="253"/>
      <c r="K2015" s="606"/>
      <c r="L2015" s="193"/>
      <c r="M2015" s="193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94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57"/>
        <v/>
      </c>
      <c r="C2016" s="190"/>
      <c r="D2016" s="190"/>
      <c r="E2016" s="190"/>
      <c r="F2016" s="191"/>
      <c r="G2016" s="491"/>
      <c r="H2016" s="192"/>
      <c r="I2016" s="253"/>
      <c r="J2016" s="253"/>
      <c r="K2016" s="606"/>
      <c r="L2016" s="193"/>
      <c r="M2016" s="193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94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57"/>
        <v/>
      </c>
      <c r="C2017" s="190"/>
      <c r="D2017" s="190"/>
      <c r="E2017" s="190"/>
      <c r="F2017" s="191"/>
      <c r="G2017" s="491"/>
      <c r="H2017" s="192"/>
      <c r="I2017" s="253"/>
      <c r="J2017" s="253"/>
      <c r="K2017" s="606"/>
      <c r="L2017" s="193"/>
      <c r="M2017" s="193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94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57"/>
        <v/>
      </c>
      <c r="C2018" s="190"/>
      <c r="D2018" s="190"/>
      <c r="E2018" s="190"/>
      <c r="F2018" s="191"/>
      <c r="G2018" s="491"/>
      <c r="H2018" s="192"/>
      <c r="I2018" s="253"/>
      <c r="J2018" s="253"/>
      <c r="K2018" s="606"/>
      <c r="L2018" s="193"/>
      <c r="M2018" s="193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94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57"/>
        <v/>
      </c>
      <c r="C2019" s="190"/>
      <c r="D2019" s="37"/>
      <c r="E2019" s="776"/>
      <c r="F2019" s="451"/>
      <c r="G2019" s="40"/>
      <c r="H2019" s="7"/>
      <c r="I2019" s="253"/>
      <c r="J2019" s="253"/>
      <c r="K2019" s="606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94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57"/>
        <v/>
      </c>
      <c r="C2020" s="190"/>
      <c r="D2020" s="37"/>
      <c r="E2020" s="776"/>
      <c r="F2020" s="40"/>
      <c r="G2020" s="40"/>
      <c r="H2020" s="7"/>
      <c r="I2020" s="253"/>
      <c r="J2020" s="253"/>
      <c r="K2020" s="606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94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57"/>
        <v/>
      </c>
      <c r="C2021" s="190"/>
      <c r="D2021" s="37"/>
      <c r="E2021" s="776"/>
      <c r="F2021" s="40"/>
      <c r="G2021" s="40"/>
      <c r="H2021" s="7"/>
      <c r="I2021" s="253"/>
      <c r="J2021" s="253"/>
      <c r="K2021" s="606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94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57"/>
        <v/>
      </c>
      <c r="C2022" s="190"/>
      <c r="D2022" s="37"/>
      <c r="E2022" s="776"/>
      <c r="F2022" s="40"/>
      <c r="G2022" s="40"/>
      <c r="H2022" s="7"/>
      <c r="I2022" s="253"/>
      <c r="J2022" s="253"/>
      <c r="K2022" s="606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94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si="57"/>
        <v/>
      </c>
      <c r="C2023" s="190"/>
      <c r="D2023" s="37"/>
      <c r="E2023" s="776"/>
      <c r="F2023" s="40"/>
      <c r="G2023" s="40"/>
      <c r="H2023" s="7"/>
      <c r="I2023" s="253"/>
      <c r="J2023" s="253"/>
      <c r="K2023" s="606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94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57"/>
        <v/>
      </c>
      <c r="C2024" s="190"/>
      <c r="D2024" s="37"/>
      <c r="E2024" s="776"/>
      <c r="F2024" s="40"/>
      <c r="G2024" s="40"/>
      <c r="H2024" s="7"/>
      <c r="I2024" s="253"/>
      <c r="J2024" s="253"/>
      <c r="K2024" s="606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94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57"/>
        <v/>
      </c>
      <c r="C2025" s="190"/>
      <c r="D2025" s="37"/>
      <c r="E2025" s="776"/>
      <c r="F2025" s="40"/>
      <c r="G2025" s="40"/>
      <c r="H2025" s="7"/>
      <c r="I2025" s="253"/>
      <c r="J2025" s="253"/>
      <c r="K2025" s="606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94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57"/>
        <v/>
      </c>
      <c r="C2026" s="190"/>
      <c r="D2026" s="37"/>
      <c r="E2026" s="776"/>
      <c r="F2026" s="40"/>
      <c r="G2026" s="40"/>
      <c r="H2026" s="7"/>
      <c r="I2026" s="253"/>
      <c r="J2026" s="253"/>
      <c r="K2026" s="606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94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57"/>
        <v/>
      </c>
      <c r="C2027" s="190"/>
      <c r="D2027" s="37"/>
      <c r="E2027" s="776"/>
      <c r="F2027" s="40"/>
      <c r="G2027" s="40"/>
      <c r="H2027" s="7"/>
      <c r="I2027" s="253"/>
      <c r="J2027" s="253"/>
      <c r="K2027" s="606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94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57"/>
        <v/>
      </c>
      <c r="C2028" s="190"/>
      <c r="D2028" s="37"/>
      <c r="E2028" s="776"/>
      <c r="F2028" s="40"/>
      <c r="G2028" s="40"/>
      <c r="H2028" s="7"/>
      <c r="I2028" s="253"/>
      <c r="J2028" s="253"/>
      <c r="K2028" s="606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94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57"/>
        <v/>
      </c>
      <c r="C2029" s="190"/>
      <c r="D2029" s="37"/>
      <c r="E2029" s="776"/>
      <c r="F2029" s="40"/>
      <c r="G2029" s="40"/>
      <c r="H2029" s="7"/>
      <c r="I2029" s="253"/>
      <c r="J2029" s="253"/>
      <c r="K2029" s="606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94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57"/>
        <v/>
      </c>
      <c r="C2030" s="190"/>
      <c r="D2030" s="37"/>
      <c r="E2030" s="776"/>
      <c r="F2030" s="40"/>
      <c r="G2030" s="40"/>
      <c r="H2030" s="7"/>
      <c r="I2030" s="253"/>
      <c r="J2030" s="253"/>
      <c r="K2030" s="606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94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57"/>
        <v/>
      </c>
      <c r="C2031" s="190"/>
      <c r="D2031" s="37"/>
      <c r="E2031" s="776"/>
      <c r="F2031" s="40"/>
      <c r="G2031" s="40"/>
      <c r="H2031" s="7"/>
      <c r="I2031" s="253"/>
      <c r="J2031" s="253"/>
      <c r="K2031" s="606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94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57"/>
        <v/>
      </c>
      <c r="C2032" s="190"/>
      <c r="D2032" s="37"/>
      <c r="E2032" s="776"/>
      <c r="F2032" s="40"/>
      <c r="G2032" s="40"/>
      <c r="H2032" s="7"/>
      <c r="I2032" s="253"/>
      <c r="J2032" s="253"/>
      <c r="K2032" s="606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94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57"/>
        <v/>
      </c>
      <c r="C2033" s="190"/>
      <c r="D2033" s="37"/>
      <c r="E2033" s="776"/>
      <c r="F2033" s="40"/>
      <c r="G2033" s="40"/>
      <c r="H2033" s="7"/>
      <c r="I2033" s="253"/>
      <c r="J2033" s="253"/>
      <c r="K2033" s="606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94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57"/>
        <v/>
      </c>
      <c r="C2034" s="190"/>
      <c r="D2034" s="37"/>
      <c r="E2034" s="776"/>
      <c r="F2034" s="40"/>
      <c r="G2034" s="40"/>
      <c r="H2034" s="7"/>
      <c r="I2034" s="253"/>
      <c r="J2034" s="253"/>
      <c r="K2034" s="606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94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57"/>
        <v/>
      </c>
      <c r="C2035" s="190"/>
      <c r="D2035" s="37"/>
      <c r="E2035" s="776"/>
      <c r="F2035" s="191"/>
      <c r="G2035" s="491"/>
      <c r="H2035" s="192"/>
      <c r="I2035" s="253"/>
      <c r="J2035" s="253"/>
      <c r="K2035" s="606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94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57"/>
        <v/>
      </c>
      <c r="C2036" s="190"/>
      <c r="D2036" s="37"/>
      <c r="E2036" s="776"/>
      <c r="F2036" s="191"/>
      <c r="G2036" s="491"/>
      <c r="H2036" s="192"/>
      <c r="I2036" s="253"/>
      <c r="J2036" s="253"/>
      <c r="K2036" s="606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94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57"/>
        <v/>
      </c>
      <c r="C2037" s="190"/>
      <c r="D2037" s="37"/>
      <c r="E2037" s="776"/>
      <c r="F2037" s="191"/>
      <c r="G2037" s="491"/>
      <c r="H2037" s="192"/>
      <c r="I2037" s="253"/>
      <c r="J2037" s="253"/>
      <c r="K2037" s="606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94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57"/>
        <v/>
      </c>
      <c r="C2038" s="190"/>
      <c r="D2038" s="37"/>
      <c r="E2038" s="776"/>
      <c r="F2038" s="191"/>
      <c r="G2038" s="491"/>
      <c r="H2038" s="192"/>
      <c r="I2038" s="253"/>
      <c r="J2038" s="253"/>
      <c r="K2038" s="606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94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si="57"/>
        <v/>
      </c>
      <c r="C2039" s="190"/>
      <c r="D2039" s="37"/>
      <c r="E2039" s="776"/>
      <c r="F2039" s="191"/>
      <c r="G2039" s="491"/>
      <c r="H2039" s="192"/>
      <c r="I2039" s="253"/>
      <c r="J2039" s="253"/>
      <c r="K2039" s="606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94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si="57"/>
        <v/>
      </c>
      <c r="C2040" s="190"/>
      <c r="D2040" s="37"/>
      <c r="E2040" s="776"/>
      <c r="F2040" s="191"/>
      <c r="G2040" s="491"/>
      <c r="H2040" s="192"/>
      <c r="I2040" s="253"/>
      <c r="J2040" s="253"/>
      <c r="K2040" s="606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94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57"/>
        <v/>
      </c>
      <c r="C2041" s="190"/>
      <c r="D2041" s="37"/>
      <c r="E2041" s="776"/>
      <c r="F2041" s="191"/>
      <c r="G2041" s="491"/>
      <c r="H2041" s="192"/>
      <c r="I2041" s="253"/>
      <c r="J2041" s="253"/>
      <c r="K2041" s="606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94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57"/>
        <v/>
      </c>
      <c r="C2042" s="190"/>
      <c r="D2042" s="37"/>
      <c r="E2042" s="776"/>
      <c r="F2042" s="191"/>
      <c r="G2042" s="491"/>
      <c r="H2042" s="192"/>
      <c r="I2042" s="253"/>
      <c r="J2042" s="253"/>
      <c r="K2042" s="606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94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57"/>
        <v/>
      </c>
      <c r="C2043" s="190"/>
      <c r="D2043" s="37"/>
      <c r="E2043" s="776"/>
      <c r="F2043" s="191"/>
      <c r="G2043" s="491"/>
      <c r="H2043" s="192"/>
      <c r="I2043" s="253"/>
      <c r="J2043" s="253"/>
      <c r="K2043" s="606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94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57"/>
        <v/>
      </c>
      <c r="C2044" s="190"/>
      <c r="D2044" s="37"/>
      <c r="E2044" s="776"/>
      <c r="F2044" s="191"/>
      <c r="G2044" s="491"/>
      <c r="H2044" s="192"/>
      <c r="I2044" s="253"/>
      <c r="J2044" s="253"/>
      <c r="K2044" s="606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94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57"/>
        <v/>
      </c>
      <c r="C2045" s="190"/>
      <c r="D2045" s="37"/>
      <c r="E2045" s="776"/>
      <c r="F2045" s="191"/>
      <c r="G2045" s="491"/>
      <c r="H2045" s="192"/>
      <c r="I2045" s="253"/>
      <c r="J2045" s="253"/>
      <c r="K2045" s="606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94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57"/>
        <v/>
      </c>
      <c r="C2046" s="190"/>
      <c r="D2046" s="37"/>
      <c r="E2046" s="776"/>
      <c r="F2046" s="191"/>
      <c r="G2046" s="491"/>
      <c r="H2046" s="192"/>
      <c r="I2046" s="253"/>
      <c r="J2046" s="253"/>
      <c r="K2046" s="606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94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57"/>
        <v/>
      </c>
      <c r="C2047" s="190"/>
      <c r="D2047" s="37"/>
      <c r="E2047" s="776"/>
      <c r="F2047" s="191"/>
      <c r="G2047" s="491"/>
      <c r="H2047" s="192"/>
      <c r="I2047" s="253"/>
      <c r="J2047" s="253"/>
      <c r="K2047" s="606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94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57"/>
        <v/>
      </c>
      <c r="C2048" s="190"/>
      <c r="D2048" s="37"/>
      <c r="E2048" s="776"/>
      <c r="F2048" s="191"/>
      <c r="G2048" s="491"/>
      <c r="H2048" s="192"/>
      <c r="I2048" s="253"/>
      <c r="J2048" s="253"/>
      <c r="K2048" s="606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94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57"/>
        <v/>
      </c>
      <c r="C2049" s="190"/>
      <c r="D2049" s="37"/>
      <c r="E2049" s="776"/>
      <c r="F2049" s="191"/>
      <c r="G2049" s="491"/>
      <c r="H2049" s="192"/>
      <c r="I2049" s="253"/>
      <c r="J2049" s="253"/>
      <c r="K2049" s="606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94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57"/>
        <v/>
      </c>
      <c r="C2050" s="190"/>
      <c r="D2050" s="37"/>
      <c r="E2050" s="776"/>
      <c r="F2050" s="191"/>
      <c r="G2050" s="491"/>
      <c r="H2050" s="192"/>
      <c r="I2050" s="253"/>
      <c r="J2050" s="253"/>
      <c r="K2050" s="606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94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57"/>
        <v/>
      </c>
      <c r="C2051" s="190"/>
      <c r="D2051" s="190"/>
      <c r="E2051" s="776"/>
      <c r="F2051" s="188"/>
      <c r="G2051" s="40"/>
      <c r="H2051" s="7"/>
      <c r="I2051" s="253"/>
      <c r="J2051" s="253"/>
      <c r="K2051" s="606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94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57"/>
        <v/>
      </c>
      <c r="C2052" s="190"/>
      <c r="D2052" s="190"/>
      <c r="E2052" s="776"/>
      <c r="F2052" s="40"/>
      <c r="G2052" s="40"/>
      <c r="H2052" s="7"/>
      <c r="I2052" s="253"/>
      <c r="J2052" s="253"/>
      <c r="K2052" s="606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94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57"/>
        <v/>
      </c>
      <c r="C2053" s="190"/>
      <c r="D2053" s="190"/>
      <c r="E2053" s="776"/>
      <c r="F2053" s="40"/>
      <c r="G2053" s="40"/>
      <c r="H2053" s="7"/>
      <c r="I2053" s="253"/>
      <c r="J2053" s="253"/>
      <c r="K2053" s="606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94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57"/>
        <v/>
      </c>
      <c r="C2054" s="190"/>
      <c r="D2054" s="190"/>
      <c r="E2054" s="776"/>
      <c r="F2054" s="451"/>
      <c r="G2054" s="40"/>
      <c r="H2054" s="7"/>
      <c r="I2054" s="253"/>
      <c r="J2054" s="253"/>
      <c r="K2054" s="606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94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57"/>
        <v/>
      </c>
      <c r="C2055" s="190"/>
      <c r="D2055" s="190"/>
      <c r="E2055" s="776"/>
      <c r="F2055" s="40"/>
      <c r="G2055" s="40"/>
      <c r="H2055" s="7"/>
      <c r="I2055" s="253"/>
      <c r="J2055" s="253"/>
      <c r="K2055" s="606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94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57"/>
        <v/>
      </c>
      <c r="C2056" s="190"/>
      <c r="D2056" s="190"/>
      <c r="E2056" s="776"/>
      <c r="F2056" s="40"/>
      <c r="G2056" s="40"/>
      <c r="H2056" s="7"/>
      <c r="I2056" s="253"/>
      <c r="J2056" s="253"/>
      <c r="K2056" s="606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94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57"/>
        <v/>
      </c>
      <c r="C2057" s="190"/>
      <c r="D2057" s="190"/>
      <c r="E2057" s="776"/>
      <c r="F2057" s="40"/>
      <c r="G2057" s="40"/>
      <c r="H2057" s="7"/>
      <c r="I2057" s="253"/>
      <c r="J2057" s="253"/>
      <c r="K2057" s="606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94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57"/>
        <v/>
      </c>
      <c r="C2058" s="190"/>
      <c r="D2058" s="190"/>
      <c r="E2058" s="776"/>
      <c r="F2058" s="293"/>
      <c r="G2058" s="40"/>
      <c r="H2058" s="7"/>
      <c r="I2058" s="253"/>
      <c r="J2058" s="253"/>
      <c r="K2058" s="606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94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57"/>
        <v/>
      </c>
      <c r="C2059" s="190"/>
      <c r="D2059" s="190"/>
      <c r="E2059" s="776"/>
      <c r="F2059" s="188"/>
      <c r="G2059" s="40"/>
      <c r="H2059" s="7"/>
      <c r="I2059" s="821"/>
      <c r="J2059" s="253"/>
      <c r="K2059" s="606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94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57"/>
        <v/>
      </c>
      <c r="C2060" s="190"/>
      <c r="D2060" s="190"/>
      <c r="E2060" s="190"/>
      <c r="F2060" s="191"/>
      <c r="G2060" s="491"/>
      <c r="H2060" s="192"/>
      <c r="I2060" s="253"/>
      <c r="J2060" s="253"/>
      <c r="K2060" s="606"/>
      <c r="L2060" s="193"/>
      <c r="M2060" s="193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94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si="57"/>
        <v/>
      </c>
      <c r="C2061" s="190"/>
      <c r="D2061" s="190"/>
      <c r="E2061" s="190"/>
      <c r="F2061" s="191"/>
      <c r="G2061" s="491"/>
      <c r="H2061" s="192"/>
      <c r="I2061" s="253"/>
      <c r="J2061" s="253"/>
      <c r="K2061" s="606"/>
      <c r="L2061" s="193"/>
      <c r="M2061" s="193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94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57"/>
        <v/>
      </c>
      <c r="C2062" s="190"/>
      <c r="D2062" s="190"/>
      <c r="E2062" s="190"/>
      <c r="F2062" s="191"/>
      <c r="G2062" s="491"/>
      <c r="H2062" s="192"/>
      <c r="I2062" s="253"/>
      <c r="J2062" s="253"/>
      <c r="K2062" s="606"/>
      <c r="L2062" s="193"/>
      <c r="M2062" s="193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94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57"/>
        <v/>
      </c>
      <c r="C2063" s="190"/>
      <c r="D2063" s="190"/>
      <c r="E2063" s="190"/>
      <c r="F2063" s="191"/>
      <c r="G2063" s="491"/>
      <c r="H2063" s="192"/>
      <c r="I2063" s="253"/>
      <c r="J2063" s="253"/>
      <c r="K2063" s="606"/>
      <c r="L2063" s="193"/>
      <c r="M2063" s="193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94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57"/>
        <v/>
      </c>
      <c r="C2064" s="190"/>
      <c r="D2064" s="190"/>
      <c r="E2064" s="190"/>
      <c r="F2064" s="191"/>
      <c r="G2064" s="491"/>
      <c r="H2064" s="192"/>
      <c r="I2064" s="253"/>
      <c r="J2064" s="253"/>
      <c r="K2064" s="606"/>
      <c r="L2064" s="193"/>
      <c r="M2064" s="193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94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57"/>
        <v/>
      </c>
      <c r="C2065" s="190"/>
      <c r="D2065" s="190"/>
      <c r="E2065" s="190"/>
      <c r="F2065" s="191"/>
      <c r="G2065" s="491"/>
      <c r="H2065" s="192"/>
      <c r="I2065" s="253"/>
      <c r="J2065" s="253"/>
      <c r="K2065" s="606"/>
      <c r="L2065" s="193"/>
      <c r="M2065" s="193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94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57"/>
        <v/>
      </c>
      <c r="C2066" s="190"/>
      <c r="D2066" s="190"/>
      <c r="E2066" s="190"/>
      <c r="F2066" s="191"/>
      <c r="G2066" s="491"/>
      <c r="H2066" s="192"/>
      <c r="I2066" s="253"/>
      <c r="J2066" s="253"/>
      <c r="K2066" s="606"/>
      <c r="L2066" s="193"/>
      <c r="M2066" s="193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94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57"/>
        <v/>
      </c>
      <c r="C2067" s="190"/>
      <c r="D2067" s="190"/>
      <c r="E2067" s="190"/>
      <c r="F2067" s="191"/>
      <c r="G2067" s="491"/>
      <c r="H2067" s="192"/>
      <c r="I2067" s="253"/>
      <c r="J2067" s="253"/>
      <c r="K2067" s="606"/>
      <c r="L2067" s="193"/>
      <c r="M2067" s="193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94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57"/>
        <v/>
      </c>
      <c r="C2068" s="190"/>
      <c r="D2068" s="190"/>
      <c r="E2068" s="190"/>
      <c r="F2068" s="191"/>
      <c r="G2068" s="491"/>
      <c r="H2068" s="192"/>
      <c r="I2068" s="253"/>
      <c r="J2068" s="253"/>
      <c r="K2068" s="606"/>
      <c r="L2068" s="193"/>
      <c r="M2068" s="193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94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57"/>
        <v/>
      </c>
      <c r="C2069" s="190"/>
      <c r="D2069" s="190"/>
      <c r="E2069" s="190"/>
      <c r="F2069" s="191"/>
      <c r="G2069" s="491"/>
      <c r="H2069" s="192"/>
      <c r="I2069" s="253"/>
      <c r="J2069" s="253"/>
      <c r="K2069" s="606"/>
      <c r="L2069" s="193"/>
      <c r="M2069" s="193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94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57"/>
        <v/>
      </c>
      <c r="C2070" s="190"/>
      <c r="D2070" s="190"/>
      <c r="E2070" s="190"/>
      <c r="F2070" s="191"/>
      <c r="G2070" s="491"/>
      <c r="H2070" s="192"/>
      <c r="I2070" s="253"/>
      <c r="J2070" s="253"/>
      <c r="K2070" s="606"/>
      <c r="L2070" s="193"/>
      <c r="M2070" s="193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94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57"/>
        <v/>
      </c>
      <c r="C2071" s="190"/>
      <c r="D2071" s="190"/>
      <c r="E2071" s="190"/>
      <c r="F2071" s="191"/>
      <c r="G2071" s="491"/>
      <c r="H2071" s="192"/>
      <c r="I2071" s="253"/>
      <c r="J2071" s="253"/>
      <c r="K2071" s="606"/>
      <c r="L2071" s="193"/>
      <c r="M2071" s="193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94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57"/>
        <v/>
      </c>
      <c r="C2072" s="190"/>
      <c r="D2072" s="190"/>
      <c r="E2072" s="190"/>
      <c r="F2072" s="191"/>
      <c r="G2072" s="491"/>
      <c r="H2072" s="192"/>
      <c r="I2072" s="253"/>
      <c r="J2072" s="253"/>
      <c r="K2072" s="606"/>
      <c r="L2072" s="193"/>
      <c r="M2072" s="193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94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ref="B2073:B2136" si="58">IF(C2073&lt;&gt;"",MONTH(C2073),"")</f>
        <v/>
      </c>
      <c r="C2073" s="190"/>
      <c r="D2073" s="190"/>
      <c r="E2073" s="190"/>
      <c r="F2073" s="191"/>
      <c r="G2073" s="491"/>
      <c r="H2073" s="192"/>
      <c r="I2073" s="253"/>
      <c r="J2073" s="253"/>
      <c r="K2073" s="606"/>
      <c r="L2073" s="193"/>
      <c r="M2073" s="193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94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58"/>
        <v/>
      </c>
      <c r="C2074" s="190"/>
      <c r="D2074" s="190"/>
      <c r="E2074" s="190"/>
      <c r="F2074" s="191"/>
      <c r="G2074" s="491"/>
      <c r="H2074" s="192"/>
      <c r="I2074" s="253"/>
      <c r="J2074" s="253"/>
      <c r="K2074" s="606"/>
      <c r="L2074" s="193"/>
      <c r="M2074" s="193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94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58"/>
        <v/>
      </c>
      <c r="C2075" s="190"/>
      <c r="D2075" s="190"/>
      <c r="E2075" s="190"/>
      <c r="F2075" s="191"/>
      <c r="G2075" s="491"/>
      <c r="H2075" s="192"/>
      <c r="I2075" s="253"/>
      <c r="J2075" s="253"/>
      <c r="K2075" s="606"/>
      <c r="L2075" s="193"/>
      <c r="M2075" s="193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94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58"/>
        <v/>
      </c>
      <c r="C2076" s="190"/>
      <c r="D2076" s="190"/>
      <c r="E2076" s="190"/>
      <c r="F2076" s="191"/>
      <c r="G2076" s="491"/>
      <c r="H2076" s="192"/>
      <c r="I2076" s="253"/>
      <c r="J2076" s="253"/>
      <c r="K2076" s="606"/>
      <c r="L2076" s="193"/>
      <c r="M2076" s="193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94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58"/>
        <v/>
      </c>
      <c r="C2077" s="190"/>
      <c r="D2077" s="190"/>
      <c r="E2077" s="190"/>
      <c r="F2077" s="191"/>
      <c r="G2077" s="491"/>
      <c r="H2077" s="192"/>
      <c r="I2077" s="253"/>
      <c r="J2077" s="253"/>
      <c r="K2077" s="606"/>
      <c r="L2077" s="193"/>
      <c r="M2077" s="193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94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58"/>
        <v/>
      </c>
      <c r="C2078" s="190"/>
      <c r="D2078" s="190"/>
      <c r="E2078" s="190"/>
      <c r="F2078" s="191"/>
      <c r="G2078" s="491"/>
      <c r="H2078" s="192"/>
      <c r="I2078" s="253"/>
      <c r="J2078" s="253"/>
      <c r="K2078" s="606"/>
      <c r="L2078" s="193"/>
      <c r="M2078" s="193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94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58"/>
        <v/>
      </c>
      <c r="C2079" s="190"/>
      <c r="D2079" s="37"/>
      <c r="E2079" s="776"/>
      <c r="F2079" s="40"/>
      <c r="G2079" s="40"/>
      <c r="H2079" s="7"/>
      <c r="I2079" s="253"/>
      <c r="J2079" s="253"/>
      <c r="K2079" s="606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94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58"/>
        <v/>
      </c>
      <c r="C2080" s="190"/>
      <c r="D2080" s="37"/>
      <c r="E2080" s="776"/>
      <c r="F2080" s="40"/>
      <c r="G2080" s="40"/>
      <c r="H2080" s="7"/>
      <c r="I2080" s="253"/>
      <c r="J2080" s="253"/>
      <c r="K2080" s="606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94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58"/>
        <v/>
      </c>
      <c r="C2081" s="190"/>
      <c r="D2081" s="37"/>
      <c r="E2081" s="776"/>
      <c r="F2081" s="40"/>
      <c r="G2081" s="40"/>
      <c r="H2081" s="7"/>
      <c r="I2081" s="253"/>
      <c r="J2081" s="253"/>
      <c r="K2081" s="606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94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58"/>
        <v/>
      </c>
      <c r="C2082" s="190"/>
      <c r="D2082" s="37"/>
      <c r="E2082" s="776"/>
      <c r="F2082" s="40"/>
      <c r="G2082" s="40"/>
      <c r="H2082" s="7"/>
      <c r="I2082" s="253"/>
      <c r="J2082" s="253"/>
      <c r="K2082" s="606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94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58"/>
        <v/>
      </c>
      <c r="C2083" s="190"/>
      <c r="D2083" s="37"/>
      <c r="E2083" s="776"/>
      <c r="F2083" s="40"/>
      <c r="G2083" s="40"/>
      <c r="H2083" s="7"/>
      <c r="I2083" s="253"/>
      <c r="J2083" s="253"/>
      <c r="K2083" s="606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94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58"/>
        <v/>
      </c>
      <c r="C2084" s="190"/>
      <c r="D2084" s="37"/>
      <c r="E2084" s="776"/>
      <c r="F2084" s="40"/>
      <c r="G2084" s="40"/>
      <c r="H2084" s="7"/>
      <c r="I2084" s="253"/>
      <c r="J2084" s="253"/>
      <c r="K2084" s="606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94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58"/>
        <v/>
      </c>
      <c r="C2085" s="190"/>
      <c r="D2085" s="37"/>
      <c r="E2085" s="776"/>
      <c r="F2085" s="40"/>
      <c r="G2085" s="40"/>
      <c r="H2085" s="7"/>
      <c r="I2085" s="253"/>
      <c r="J2085" s="253"/>
      <c r="K2085" s="606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94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58"/>
        <v/>
      </c>
      <c r="C2086" s="190"/>
      <c r="D2086" s="37"/>
      <c r="E2086" s="776"/>
      <c r="F2086" s="40"/>
      <c r="G2086" s="40"/>
      <c r="H2086" s="7"/>
      <c r="I2086" s="253"/>
      <c r="J2086" s="253"/>
      <c r="K2086" s="606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94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si="58"/>
        <v/>
      </c>
      <c r="C2087" s="190"/>
      <c r="D2087" s="37"/>
      <c r="E2087" s="776"/>
      <c r="F2087" s="40"/>
      <c r="G2087" s="40"/>
      <c r="H2087" s="7"/>
      <c r="I2087" s="253"/>
      <c r="J2087" s="253"/>
      <c r="K2087" s="606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94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58"/>
        <v/>
      </c>
      <c r="C2088" s="190"/>
      <c r="D2088" s="37"/>
      <c r="E2088" s="776"/>
      <c r="F2088" s="40"/>
      <c r="G2088" s="40"/>
      <c r="H2088" s="7"/>
      <c r="I2088" s="253"/>
      <c r="J2088" s="253"/>
      <c r="K2088" s="606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94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58"/>
        <v/>
      </c>
      <c r="C2089" s="190"/>
      <c r="D2089" s="37"/>
      <c r="E2089" s="776"/>
      <c r="F2089" s="40"/>
      <c r="G2089" s="40"/>
      <c r="H2089" s="7"/>
      <c r="I2089" s="253"/>
      <c r="J2089" s="253"/>
      <c r="K2089" s="606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94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58"/>
        <v/>
      </c>
      <c r="C2090" s="190"/>
      <c r="D2090" s="37"/>
      <c r="E2090" s="776"/>
      <c r="F2090" s="40"/>
      <c r="G2090" s="40"/>
      <c r="H2090" s="7"/>
      <c r="I2090" s="253"/>
      <c r="J2090" s="253"/>
      <c r="K2090" s="606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94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58"/>
        <v/>
      </c>
      <c r="C2091" s="190"/>
      <c r="D2091" s="37"/>
      <c r="E2091" s="776"/>
      <c r="F2091" s="40"/>
      <c r="G2091" s="40"/>
      <c r="H2091" s="7"/>
      <c r="I2091" s="253"/>
      <c r="J2091" s="253"/>
      <c r="K2091" s="606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94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58"/>
        <v/>
      </c>
      <c r="C2092" s="190"/>
      <c r="D2092" s="37"/>
      <c r="E2092" s="776"/>
      <c r="F2092" s="40"/>
      <c r="G2092" s="40"/>
      <c r="H2092" s="7"/>
      <c r="I2092" s="253"/>
      <c r="J2092" s="253"/>
      <c r="K2092" s="606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94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58"/>
        <v/>
      </c>
      <c r="C2093" s="190"/>
      <c r="D2093" s="37"/>
      <c r="E2093" s="776"/>
      <c r="F2093" s="40"/>
      <c r="G2093" s="40"/>
      <c r="H2093" s="7"/>
      <c r="I2093" s="253"/>
      <c r="J2093" s="253"/>
      <c r="K2093" s="606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94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58"/>
        <v/>
      </c>
      <c r="C2094" s="190"/>
      <c r="D2094" s="37"/>
      <c r="E2094" s="776"/>
      <c r="F2094" s="40"/>
      <c r="G2094" s="40"/>
      <c r="H2094" s="7"/>
      <c r="I2094" s="253"/>
      <c r="J2094" s="253"/>
      <c r="K2094" s="606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94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58"/>
        <v/>
      </c>
      <c r="C2095" s="190"/>
      <c r="D2095" s="37"/>
      <c r="E2095" s="776"/>
      <c r="F2095" s="40"/>
      <c r="G2095" s="40"/>
      <c r="H2095" s="7"/>
      <c r="I2095" s="253"/>
      <c r="J2095" s="253"/>
      <c r="K2095" s="606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94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58"/>
        <v/>
      </c>
      <c r="C2096" s="190"/>
      <c r="D2096" s="37"/>
      <c r="E2096" s="776"/>
      <c r="F2096" s="40"/>
      <c r="G2096" s="40"/>
      <c r="H2096" s="7"/>
      <c r="I2096" s="253"/>
      <c r="J2096" s="253"/>
      <c r="K2096" s="606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94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58"/>
        <v/>
      </c>
      <c r="C2097" s="190"/>
      <c r="D2097" s="37"/>
      <c r="E2097" s="776"/>
      <c r="F2097" s="191"/>
      <c r="G2097" s="491"/>
      <c r="H2097" s="192"/>
      <c r="I2097" s="253"/>
      <c r="J2097" s="253"/>
      <c r="K2097" s="606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94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58"/>
        <v/>
      </c>
      <c r="C2098" s="190"/>
      <c r="D2098" s="37"/>
      <c r="E2098" s="774"/>
      <c r="F2098" s="842"/>
      <c r="G2098" s="491"/>
      <c r="H2098" s="192"/>
      <c r="I2098" s="253"/>
      <c r="J2098" s="253"/>
      <c r="K2098" s="606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94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58"/>
        <v/>
      </c>
      <c r="C2099" s="190"/>
      <c r="D2099" s="37"/>
      <c r="E2099" s="774"/>
      <c r="F2099" s="842"/>
      <c r="G2099" s="491"/>
      <c r="H2099" s="192"/>
      <c r="I2099" s="253"/>
      <c r="J2099" s="253"/>
      <c r="K2099" s="606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94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58"/>
        <v/>
      </c>
      <c r="C2100" s="190"/>
      <c r="D2100" s="37"/>
      <c r="E2100" s="774"/>
      <c r="F2100" s="191"/>
      <c r="G2100" s="491"/>
      <c r="H2100" s="192"/>
      <c r="I2100" s="253"/>
      <c r="J2100" s="253"/>
      <c r="K2100" s="606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94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58"/>
        <v/>
      </c>
      <c r="C2101" s="190"/>
      <c r="D2101" s="37"/>
      <c r="E2101" s="774"/>
      <c r="F2101" s="191"/>
      <c r="G2101" s="491"/>
      <c r="H2101" s="192"/>
      <c r="I2101" s="253"/>
      <c r="J2101" s="253"/>
      <c r="K2101" s="606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94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58"/>
        <v/>
      </c>
      <c r="C2102" s="190"/>
      <c r="D2102" s="37"/>
      <c r="E2102" s="776"/>
      <c r="F2102" s="191"/>
      <c r="G2102" s="491"/>
      <c r="H2102" s="192"/>
      <c r="I2102" s="253"/>
      <c r="J2102" s="253"/>
      <c r="K2102" s="606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94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si="58"/>
        <v/>
      </c>
      <c r="C2103" s="190"/>
      <c r="D2103" s="37"/>
      <c r="E2103" s="776"/>
      <c r="F2103" s="191"/>
      <c r="G2103" s="491"/>
      <c r="H2103" s="192"/>
      <c r="I2103" s="253"/>
      <c r="J2103" s="253"/>
      <c r="K2103" s="606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94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si="58"/>
        <v/>
      </c>
      <c r="C2104" s="190"/>
      <c r="D2104" s="37"/>
      <c r="E2104" s="776"/>
      <c r="F2104" s="191"/>
      <c r="G2104" s="491"/>
      <c r="H2104" s="192"/>
      <c r="I2104" s="253"/>
      <c r="J2104" s="253"/>
      <c r="K2104" s="606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94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58"/>
        <v/>
      </c>
      <c r="C2105" s="190"/>
      <c r="D2105" s="37"/>
      <c r="E2105" s="776"/>
      <c r="F2105" s="191"/>
      <c r="G2105" s="491"/>
      <c r="H2105" s="192"/>
      <c r="I2105" s="253"/>
      <c r="J2105" s="253"/>
      <c r="K2105" s="606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94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58"/>
        <v/>
      </c>
      <c r="C2106" s="190"/>
      <c r="D2106" s="37"/>
      <c r="E2106" s="776"/>
      <c r="F2106" s="842"/>
      <c r="G2106" s="491"/>
      <c r="H2106" s="192"/>
      <c r="I2106" s="253"/>
      <c r="J2106" s="253"/>
      <c r="K2106" s="606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94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58"/>
        <v/>
      </c>
      <c r="C2107" s="190"/>
      <c r="D2107" s="37"/>
      <c r="E2107" s="776"/>
      <c r="F2107" s="191"/>
      <c r="G2107" s="491"/>
      <c r="H2107" s="192"/>
      <c r="I2107" s="253"/>
      <c r="J2107" s="253"/>
      <c r="K2107" s="606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94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58"/>
        <v/>
      </c>
      <c r="C2108" s="190"/>
      <c r="D2108" s="37"/>
      <c r="E2108" s="776"/>
      <c r="F2108" s="191"/>
      <c r="G2108" s="491"/>
      <c r="H2108" s="192"/>
      <c r="I2108" s="253"/>
      <c r="J2108" s="253"/>
      <c r="K2108" s="606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94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58"/>
        <v/>
      </c>
      <c r="C2109" s="190"/>
      <c r="D2109" s="37"/>
      <c r="E2109" s="776"/>
      <c r="F2109" s="191"/>
      <c r="G2109" s="491"/>
      <c r="H2109" s="192"/>
      <c r="I2109" s="253"/>
      <c r="J2109" s="253"/>
      <c r="K2109" s="606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94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58"/>
        <v/>
      </c>
      <c r="C2110" s="190"/>
      <c r="D2110" s="37"/>
      <c r="E2110" s="776"/>
      <c r="F2110" s="191"/>
      <c r="G2110" s="491"/>
      <c r="H2110" s="192"/>
      <c r="I2110" s="253"/>
      <c r="J2110" s="253"/>
      <c r="K2110" s="606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94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58"/>
        <v/>
      </c>
      <c r="C2111" s="190"/>
      <c r="D2111" s="37"/>
      <c r="E2111" s="776"/>
      <c r="F2111" s="191"/>
      <c r="G2111" s="491"/>
      <c r="H2111" s="192"/>
      <c r="I2111" s="253"/>
      <c r="J2111" s="253"/>
      <c r="K2111" s="606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94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58"/>
        <v/>
      </c>
      <c r="C2112" s="190"/>
      <c r="D2112" s="37"/>
      <c r="E2112" s="776"/>
      <c r="F2112" s="191"/>
      <c r="G2112" s="491"/>
      <c r="H2112" s="192"/>
      <c r="I2112" s="253"/>
      <c r="J2112" s="253"/>
      <c r="K2112" s="606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94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58"/>
        <v/>
      </c>
      <c r="C2113" s="190"/>
      <c r="D2113" s="37"/>
      <c r="E2113" s="776"/>
      <c r="F2113" s="191"/>
      <c r="G2113" s="491"/>
      <c r="H2113" s="192"/>
      <c r="I2113" s="253"/>
      <c r="J2113" s="253"/>
      <c r="K2113" s="606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94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58"/>
        <v/>
      </c>
      <c r="C2114" s="190"/>
      <c r="D2114" s="37"/>
      <c r="E2114" s="776"/>
      <c r="F2114" s="191"/>
      <c r="G2114" s="491"/>
      <c r="H2114" s="192"/>
      <c r="I2114" s="253"/>
      <c r="J2114" s="253"/>
      <c r="K2114" s="606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94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58"/>
        <v/>
      </c>
      <c r="C2115" s="183"/>
      <c r="D2115" s="183"/>
      <c r="E2115" s="183"/>
      <c r="F2115" s="188"/>
      <c r="G2115" s="608"/>
      <c r="H2115" s="192"/>
      <c r="I2115" s="253"/>
      <c r="J2115" s="253"/>
      <c r="K2115" s="606"/>
      <c r="L2115" s="607"/>
      <c r="M2115" s="607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94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58"/>
        <v/>
      </c>
      <c r="C2116" s="190"/>
      <c r="D2116" s="190"/>
      <c r="E2116" s="190"/>
      <c r="F2116" s="191"/>
      <c r="G2116" s="491"/>
      <c r="H2116" s="45"/>
      <c r="I2116" s="253"/>
      <c r="J2116" s="253"/>
      <c r="K2116" s="38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94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58"/>
        <v/>
      </c>
      <c r="C2117" s="190"/>
      <c r="D2117" s="190"/>
      <c r="E2117" s="190"/>
      <c r="F2117" s="191"/>
      <c r="G2117" s="491"/>
      <c r="H2117" s="45"/>
      <c r="I2117" s="253"/>
      <c r="J2117" s="253"/>
      <c r="K2117" s="38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94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58"/>
        <v/>
      </c>
      <c r="C2118" s="190"/>
      <c r="D2118" s="190"/>
      <c r="E2118" s="776"/>
      <c r="F2118" s="40"/>
      <c r="G2118" s="40"/>
      <c r="H2118" s="7"/>
      <c r="I2118" s="253"/>
      <c r="J2118" s="253"/>
      <c r="K2118" s="606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94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58"/>
        <v/>
      </c>
      <c r="C2119" s="190"/>
      <c r="D2119" s="190"/>
      <c r="E2119" s="776"/>
      <c r="F2119" s="40"/>
      <c r="G2119" s="40"/>
      <c r="H2119" s="7"/>
      <c r="I2119" s="253"/>
      <c r="J2119" s="253"/>
      <c r="K2119" s="606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94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58"/>
        <v/>
      </c>
      <c r="C2120" s="190"/>
      <c r="D2120" s="190"/>
      <c r="E2120" s="776"/>
      <c r="F2120" s="40"/>
      <c r="G2120" s="40"/>
      <c r="H2120" s="7"/>
      <c r="I2120" s="253"/>
      <c r="J2120" s="253"/>
      <c r="K2120" s="606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94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58"/>
        <v/>
      </c>
      <c r="C2121" s="190"/>
      <c r="D2121" s="190"/>
      <c r="E2121" s="776"/>
      <c r="F2121" s="188"/>
      <c r="G2121" s="40"/>
      <c r="H2121" s="7"/>
      <c r="I2121" s="253"/>
      <c r="J2121" s="253"/>
      <c r="K2121" s="606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94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58"/>
        <v/>
      </c>
      <c r="C2122" s="190"/>
      <c r="D2122" s="190"/>
      <c r="E2122" s="776"/>
      <c r="F2122" s="40"/>
      <c r="G2122" s="40"/>
      <c r="H2122" s="7"/>
      <c r="I2122" s="253"/>
      <c r="J2122" s="253"/>
      <c r="K2122" s="606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94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58"/>
        <v/>
      </c>
      <c r="C2123" s="190"/>
      <c r="D2123" s="190"/>
      <c r="E2123" s="776"/>
      <c r="F2123" s="40"/>
      <c r="G2123" s="40"/>
      <c r="H2123" s="7"/>
      <c r="I2123" s="253"/>
      <c r="J2123" s="253"/>
      <c r="K2123" s="606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94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58"/>
        <v/>
      </c>
      <c r="C2124" s="190"/>
      <c r="D2124" s="190"/>
      <c r="E2124" s="776"/>
      <c r="F2124" s="40"/>
      <c r="G2124" s="40"/>
      <c r="H2124" s="7"/>
      <c r="I2124" s="253"/>
      <c r="J2124" s="253"/>
      <c r="K2124" s="606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94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si="58"/>
        <v/>
      </c>
      <c r="C2125" s="190"/>
      <c r="D2125" s="190"/>
      <c r="E2125" s="776"/>
      <c r="F2125" s="188"/>
      <c r="G2125" s="40"/>
      <c r="H2125" s="7"/>
      <c r="I2125" s="253"/>
      <c r="J2125" s="253"/>
      <c r="K2125" s="606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94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58"/>
        <v/>
      </c>
      <c r="C2126" s="190"/>
      <c r="D2126" s="190"/>
      <c r="E2126" s="776"/>
      <c r="F2126" s="188"/>
      <c r="G2126" s="40"/>
      <c r="H2126" s="7"/>
      <c r="I2126" s="253"/>
      <c r="J2126" s="253"/>
      <c r="K2126" s="606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94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58"/>
        <v/>
      </c>
      <c r="C2127" s="190"/>
      <c r="D2127" s="190"/>
      <c r="E2127" s="776"/>
      <c r="F2127" s="188"/>
      <c r="G2127" s="40"/>
      <c r="H2127" s="7"/>
      <c r="I2127" s="253"/>
      <c r="J2127" s="253"/>
      <c r="K2127" s="606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94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58"/>
        <v/>
      </c>
      <c r="C2128" s="190"/>
      <c r="D2128" s="190"/>
      <c r="E2128" s="776"/>
      <c r="F2128" s="188"/>
      <c r="G2128" s="40"/>
      <c r="H2128" s="7"/>
      <c r="I2128" s="821"/>
      <c r="J2128" s="253"/>
      <c r="K2128" s="606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94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58"/>
        <v/>
      </c>
      <c r="C2129" s="190"/>
      <c r="D2129" s="190"/>
      <c r="E2129" s="776"/>
      <c r="F2129" s="188"/>
      <c r="G2129" s="40"/>
      <c r="H2129" s="7"/>
      <c r="I2129" s="253"/>
      <c r="J2129" s="253"/>
      <c r="K2129" s="606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94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58"/>
        <v/>
      </c>
      <c r="C2130" s="190"/>
      <c r="D2130" s="190"/>
      <c r="E2130" s="776"/>
      <c r="F2130" s="188"/>
      <c r="G2130" s="40"/>
      <c r="H2130" s="7"/>
      <c r="I2130" s="821"/>
      <c r="J2130" s="253"/>
      <c r="K2130" s="606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94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58"/>
        <v/>
      </c>
      <c r="C2131" s="190"/>
      <c r="D2131" s="190"/>
      <c r="E2131" s="776"/>
      <c r="F2131" s="188"/>
      <c r="G2131" s="40"/>
      <c r="H2131" s="7"/>
      <c r="I2131" s="821"/>
      <c r="J2131" s="253"/>
      <c r="K2131" s="606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94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58"/>
        <v/>
      </c>
      <c r="C2132" s="190"/>
      <c r="D2132" s="190"/>
      <c r="E2132" s="776"/>
      <c r="F2132" s="40"/>
      <c r="G2132" s="40"/>
      <c r="H2132" s="7"/>
      <c r="I2132" s="253"/>
      <c r="J2132" s="253"/>
      <c r="K2132" s="606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94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58"/>
        <v/>
      </c>
      <c r="C2133" s="190"/>
      <c r="D2133" s="190"/>
      <c r="E2133" s="776"/>
      <c r="F2133" s="451"/>
      <c r="G2133" s="40"/>
      <c r="H2133" s="7"/>
      <c r="I2133" s="253"/>
      <c r="J2133" s="253"/>
      <c r="K2133" s="606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94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58"/>
        <v/>
      </c>
      <c r="C2134" s="190"/>
      <c r="D2134" s="190"/>
      <c r="E2134" s="776"/>
      <c r="F2134" s="188"/>
      <c r="G2134" s="40"/>
      <c r="H2134" s="7"/>
      <c r="I2134" s="253"/>
      <c r="J2134" s="253"/>
      <c r="K2134" s="606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94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58"/>
        <v/>
      </c>
      <c r="C2135" s="190"/>
      <c r="D2135" s="190"/>
      <c r="E2135" s="776"/>
      <c r="F2135" s="40"/>
      <c r="G2135" s="40"/>
      <c r="H2135" s="7"/>
      <c r="I2135" s="253"/>
      <c r="J2135" s="253"/>
      <c r="K2135" s="606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94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58"/>
        <v/>
      </c>
      <c r="C2136" s="190"/>
      <c r="D2136" s="190"/>
      <c r="E2136" s="776"/>
      <c r="F2136" s="188"/>
      <c r="G2136" s="40"/>
      <c r="H2136" s="7"/>
      <c r="I2136" s="253"/>
      <c r="J2136" s="253"/>
      <c r="K2136" s="606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94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ref="B2137:B2200" si="59">IF(C2137&lt;&gt;"",MONTH(C2137),"")</f>
        <v/>
      </c>
      <c r="C2137" s="190"/>
      <c r="D2137" s="190"/>
      <c r="E2137" s="776"/>
      <c r="F2137" s="188"/>
      <c r="G2137" s="40"/>
      <c r="H2137" s="7"/>
      <c r="I2137" s="253"/>
      <c r="J2137" s="253"/>
      <c r="K2137" s="606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94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59"/>
        <v/>
      </c>
      <c r="C2138" s="190"/>
      <c r="D2138" s="190"/>
      <c r="E2138" s="776"/>
      <c r="F2138" s="188"/>
      <c r="G2138" s="40"/>
      <c r="H2138" s="7"/>
      <c r="I2138" s="253"/>
      <c r="J2138" s="253"/>
      <c r="K2138" s="606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94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59"/>
        <v/>
      </c>
      <c r="C2139" s="190"/>
      <c r="D2139" s="190"/>
      <c r="E2139" s="776"/>
      <c r="F2139" s="40"/>
      <c r="G2139" s="40"/>
      <c r="H2139" s="7"/>
      <c r="I2139" s="253"/>
      <c r="J2139" s="253"/>
      <c r="K2139" s="606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94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59"/>
        <v/>
      </c>
      <c r="C2140" s="190"/>
      <c r="D2140" s="190"/>
      <c r="E2140" s="776"/>
      <c r="F2140" s="40"/>
      <c r="G2140" s="40"/>
      <c r="H2140" s="7"/>
      <c r="I2140" s="253"/>
      <c r="J2140" s="253"/>
      <c r="K2140" s="606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94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59"/>
        <v/>
      </c>
      <c r="C2141" s="190"/>
      <c r="D2141" s="190"/>
      <c r="E2141" s="776"/>
      <c r="F2141" s="40"/>
      <c r="G2141" s="40"/>
      <c r="H2141" s="7"/>
      <c r="I2141" s="253"/>
      <c r="J2141" s="253"/>
      <c r="K2141" s="606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94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59"/>
        <v/>
      </c>
      <c r="C2142" s="190"/>
      <c r="D2142" s="190"/>
      <c r="E2142" s="776"/>
      <c r="F2142" s="40"/>
      <c r="G2142" s="40"/>
      <c r="H2142" s="7"/>
      <c r="I2142" s="253"/>
      <c r="J2142" s="253"/>
      <c r="K2142" s="606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94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59"/>
        <v/>
      </c>
      <c r="C2143" s="190"/>
      <c r="D2143" s="190"/>
      <c r="E2143" s="776"/>
      <c r="F2143" s="40"/>
      <c r="G2143" s="40"/>
      <c r="H2143" s="7"/>
      <c r="I2143" s="253"/>
      <c r="J2143" s="253"/>
      <c r="K2143" s="606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94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59"/>
        <v/>
      </c>
      <c r="C2144" s="190"/>
      <c r="D2144" s="190"/>
      <c r="E2144" s="776"/>
      <c r="F2144" s="40"/>
      <c r="G2144" s="40"/>
      <c r="H2144" s="7"/>
      <c r="I2144" s="253"/>
      <c r="J2144" s="253"/>
      <c r="K2144" s="606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94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59"/>
        <v/>
      </c>
      <c r="C2145" s="183"/>
      <c r="D2145" s="183"/>
      <c r="E2145" s="183"/>
      <c r="F2145" s="188"/>
      <c r="G2145" s="608"/>
      <c r="H2145" s="7"/>
      <c r="I2145" s="253"/>
      <c r="J2145" s="253"/>
      <c r="K2145" s="606"/>
      <c r="L2145" s="607"/>
      <c r="M2145" s="607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94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59"/>
        <v/>
      </c>
      <c r="C2146" s="190"/>
      <c r="D2146" s="190"/>
      <c r="E2146" s="190"/>
      <c r="F2146" s="191"/>
      <c r="G2146" s="491"/>
      <c r="H2146" s="192"/>
      <c r="I2146" s="253"/>
      <c r="J2146" s="253"/>
      <c r="K2146" s="606"/>
      <c r="L2146" s="193"/>
      <c r="M2146" s="193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94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59"/>
        <v/>
      </c>
      <c r="C2147" s="190"/>
      <c r="D2147" s="190"/>
      <c r="E2147" s="190"/>
      <c r="F2147" s="191"/>
      <c r="G2147" s="491"/>
      <c r="H2147" s="192"/>
      <c r="I2147" s="253"/>
      <c r="J2147" s="253"/>
      <c r="K2147" s="606"/>
      <c r="L2147" s="193"/>
      <c r="M2147" s="193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94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59"/>
        <v/>
      </c>
      <c r="C2148" s="190"/>
      <c r="D2148" s="190"/>
      <c r="E2148" s="190"/>
      <c r="F2148" s="191"/>
      <c r="G2148" s="491"/>
      <c r="H2148" s="192"/>
      <c r="I2148" s="253"/>
      <c r="J2148" s="253"/>
      <c r="K2148" s="606"/>
      <c r="L2148" s="193"/>
      <c r="M2148" s="193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94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59"/>
        <v/>
      </c>
      <c r="C2149" s="190"/>
      <c r="D2149" s="190"/>
      <c r="E2149" s="190"/>
      <c r="F2149" s="191"/>
      <c r="G2149" s="491"/>
      <c r="H2149" s="192"/>
      <c r="I2149" s="253"/>
      <c r="J2149" s="253"/>
      <c r="K2149" s="606"/>
      <c r="L2149" s="193"/>
      <c r="M2149" s="193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94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59"/>
        <v/>
      </c>
      <c r="C2150" s="190"/>
      <c r="D2150" s="190"/>
      <c r="E2150" s="190"/>
      <c r="F2150" s="191"/>
      <c r="G2150" s="491"/>
      <c r="H2150" s="192"/>
      <c r="I2150" s="253"/>
      <c r="J2150" s="253"/>
      <c r="K2150" s="606"/>
      <c r="L2150" s="193"/>
      <c r="M2150" s="193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94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si="59"/>
        <v/>
      </c>
      <c r="C2151" s="190"/>
      <c r="D2151" s="190"/>
      <c r="E2151" s="190"/>
      <c r="F2151" s="191"/>
      <c r="G2151" s="491"/>
      <c r="H2151" s="192"/>
      <c r="I2151" s="253"/>
      <c r="J2151" s="253"/>
      <c r="K2151" s="606"/>
      <c r="L2151" s="193"/>
      <c r="M2151" s="193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94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59"/>
        <v/>
      </c>
      <c r="C2152" s="190"/>
      <c r="D2152" s="190"/>
      <c r="E2152" s="190"/>
      <c r="F2152" s="191"/>
      <c r="G2152" s="491"/>
      <c r="H2152" s="192"/>
      <c r="I2152" s="253"/>
      <c r="J2152" s="253"/>
      <c r="K2152" s="606"/>
      <c r="L2152" s="193"/>
      <c r="M2152" s="193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94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59"/>
        <v/>
      </c>
      <c r="C2153" s="190"/>
      <c r="D2153" s="190"/>
      <c r="E2153" s="190"/>
      <c r="F2153" s="191"/>
      <c r="G2153" s="491"/>
      <c r="H2153" s="192"/>
      <c r="I2153" s="253"/>
      <c r="J2153" s="253"/>
      <c r="K2153" s="606"/>
      <c r="L2153" s="193"/>
      <c r="M2153" s="193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94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59"/>
        <v/>
      </c>
      <c r="C2154" s="190"/>
      <c r="D2154" s="190"/>
      <c r="E2154" s="190"/>
      <c r="F2154" s="191"/>
      <c r="G2154" s="491"/>
      <c r="H2154" s="192"/>
      <c r="I2154" s="253"/>
      <c r="J2154" s="253"/>
      <c r="K2154" s="606"/>
      <c r="L2154" s="193"/>
      <c r="M2154" s="193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94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59"/>
        <v/>
      </c>
      <c r="C2155" s="190"/>
      <c r="D2155" s="190"/>
      <c r="E2155" s="190"/>
      <c r="F2155" s="191"/>
      <c r="G2155" s="491"/>
      <c r="H2155" s="192"/>
      <c r="I2155" s="253"/>
      <c r="J2155" s="253"/>
      <c r="K2155" s="606"/>
      <c r="L2155" s="193"/>
      <c r="M2155" s="193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94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59"/>
        <v/>
      </c>
      <c r="C2156" s="190"/>
      <c r="D2156" s="190"/>
      <c r="E2156" s="190"/>
      <c r="F2156" s="191"/>
      <c r="G2156" s="491"/>
      <c r="H2156" s="192"/>
      <c r="I2156" s="253"/>
      <c r="J2156" s="253"/>
      <c r="K2156" s="606"/>
      <c r="L2156" s="193"/>
      <c r="M2156" s="193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94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59"/>
        <v/>
      </c>
      <c r="C2157" s="190"/>
      <c r="D2157" s="190"/>
      <c r="E2157" s="190"/>
      <c r="F2157" s="191"/>
      <c r="G2157" s="491"/>
      <c r="H2157" s="192"/>
      <c r="I2157" s="253"/>
      <c r="J2157" s="253"/>
      <c r="K2157" s="606"/>
      <c r="L2157" s="193"/>
      <c r="M2157" s="193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94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59"/>
        <v/>
      </c>
      <c r="C2158" s="190"/>
      <c r="D2158" s="190"/>
      <c r="E2158" s="190"/>
      <c r="F2158" s="188"/>
      <c r="G2158" s="491"/>
      <c r="H2158" s="192"/>
      <c r="I2158" s="253"/>
      <c r="J2158" s="253"/>
      <c r="K2158" s="606"/>
      <c r="L2158" s="193"/>
      <c r="M2158" s="193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94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59"/>
        <v/>
      </c>
      <c r="C2159" s="190"/>
      <c r="D2159" s="190"/>
      <c r="E2159" s="190"/>
      <c r="F2159" s="191"/>
      <c r="G2159" s="491"/>
      <c r="H2159" s="192"/>
      <c r="I2159" s="253"/>
      <c r="J2159" s="253"/>
      <c r="K2159" s="606"/>
      <c r="L2159" s="193"/>
      <c r="M2159" s="193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94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59"/>
        <v/>
      </c>
      <c r="C2160" s="190"/>
      <c r="D2160" s="190"/>
      <c r="E2160" s="190"/>
      <c r="F2160" s="191"/>
      <c r="G2160" s="491"/>
      <c r="H2160" s="192"/>
      <c r="I2160" s="253"/>
      <c r="J2160" s="253"/>
      <c r="K2160" s="606"/>
      <c r="L2160" s="193"/>
      <c r="M2160" s="193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94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59"/>
        <v/>
      </c>
      <c r="C2161" s="190"/>
      <c r="D2161" s="190"/>
      <c r="E2161" s="190"/>
      <c r="F2161" s="191"/>
      <c r="G2161" s="491"/>
      <c r="H2161" s="192"/>
      <c r="I2161" s="253"/>
      <c r="J2161" s="253"/>
      <c r="K2161" s="606"/>
      <c r="L2161" s="193"/>
      <c r="M2161" s="193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94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59"/>
        <v/>
      </c>
      <c r="C2162" s="190"/>
      <c r="D2162" s="190"/>
      <c r="E2162" s="190"/>
      <c r="F2162" s="191"/>
      <c r="G2162" s="491"/>
      <c r="H2162" s="192"/>
      <c r="I2162" s="253"/>
      <c r="J2162" s="253"/>
      <c r="K2162" s="606"/>
      <c r="L2162" s="193"/>
      <c r="M2162" s="193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94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59"/>
        <v/>
      </c>
      <c r="C2163" s="190"/>
      <c r="D2163" s="190"/>
      <c r="E2163" s="190"/>
      <c r="F2163" s="191"/>
      <c r="G2163" s="491"/>
      <c r="H2163" s="192"/>
      <c r="I2163" s="253"/>
      <c r="J2163" s="253"/>
      <c r="K2163" s="606"/>
      <c r="L2163" s="193"/>
      <c r="M2163" s="193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94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59"/>
        <v/>
      </c>
      <c r="C2164" s="190"/>
      <c r="D2164" s="190"/>
      <c r="E2164" s="190"/>
      <c r="F2164" s="191"/>
      <c r="G2164" s="491"/>
      <c r="H2164" s="192"/>
      <c r="I2164" s="253"/>
      <c r="J2164" s="253"/>
      <c r="K2164" s="606"/>
      <c r="L2164" s="193"/>
      <c r="M2164" s="193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94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59"/>
        <v/>
      </c>
      <c r="C2165" s="190"/>
      <c r="D2165" s="190"/>
      <c r="E2165" s="190"/>
      <c r="F2165" s="191"/>
      <c r="G2165" s="491"/>
      <c r="H2165" s="192"/>
      <c r="I2165" s="253"/>
      <c r="J2165" s="253"/>
      <c r="K2165" s="606"/>
      <c r="L2165" s="193"/>
      <c r="M2165" s="193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94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59"/>
        <v/>
      </c>
      <c r="C2166" s="190"/>
      <c r="D2166" s="190"/>
      <c r="E2166" s="190"/>
      <c r="F2166" s="191"/>
      <c r="G2166" s="491"/>
      <c r="H2166" s="192"/>
      <c r="I2166" s="253"/>
      <c r="J2166" s="253"/>
      <c r="K2166" s="606"/>
      <c r="L2166" s="193"/>
      <c r="M2166" s="193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94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si="59"/>
        <v/>
      </c>
      <c r="C2167" s="190"/>
      <c r="D2167" s="190"/>
      <c r="E2167" s="190"/>
      <c r="F2167" s="191"/>
      <c r="G2167" s="491"/>
      <c r="H2167" s="192"/>
      <c r="I2167" s="253"/>
      <c r="J2167" s="253"/>
      <c r="K2167" s="606"/>
      <c r="L2167" s="193"/>
      <c r="M2167" s="193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94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si="59"/>
        <v/>
      </c>
      <c r="C2168" s="190"/>
      <c r="D2168" s="190"/>
      <c r="E2168" s="190"/>
      <c r="F2168" s="191"/>
      <c r="G2168" s="491"/>
      <c r="H2168" s="192"/>
      <c r="I2168" s="253"/>
      <c r="J2168" s="253"/>
      <c r="K2168" s="606"/>
      <c r="L2168" s="193"/>
      <c r="M2168" s="193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94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59"/>
        <v/>
      </c>
      <c r="C2169" s="190"/>
      <c r="D2169" s="190"/>
      <c r="E2169" s="190"/>
      <c r="F2169" s="191"/>
      <c r="G2169" s="491"/>
      <c r="H2169" s="192"/>
      <c r="I2169" s="253"/>
      <c r="J2169" s="253"/>
      <c r="K2169" s="606"/>
      <c r="L2169" s="193"/>
      <c r="M2169" s="193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94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59"/>
        <v/>
      </c>
      <c r="C2170" s="190"/>
      <c r="D2170" s="190"/>
      <c r="E2170" s="190"/>
      <c r="F2170" s="191"/>
      <c r="G2170" s="491"/>
      <c r="H2170" s="192"/>
      <c r="I2170" s="253"/>
      <c r="J2170" s="253"/>
      <c r="K2170" s="606"/>
      <c r="L2170" s="193"/>
      <c r="M2170" s="193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94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59"/>
        <v/>
      </c>
      <c r="C2171" s="190"/>
      <c r="D2171" s="190"/>
      <c r="E2171" s="190"/>
      <c r="F2171" s="191"/>
      <c r="G2171" s="491"/>
      <c r="H2171" s="192"/>
      <c r="I2171" s="253"/>
      <c r="J2171" s="253"/>
      <c r="K2171" s="606"/>
      <c r="L2171" s="193"/>
      <c r="M2171" s="193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94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59"/>
        <v/>
      </c>
      <c r="C2172" s="190"/>
      <c r="D2172" s="190"/>
      <c r="E2172" s="190"/>
      <c r="F2172" s="191"/>
      <c r="G2172" s="491"/>
      <c r="H2172" s="192"/>
      <c r="I2172" s="253"/>
      <c r="J2172" s="253"/>
      <c r="K2172" s="606"/>
      <c r="L2172" s="193"/>
      <c r="M2172" s="193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94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59"/>
        <v/>
      </c>
      <c r="C2173" s="190"/>
      <c r="D2173" s="190"/>
      <c r="E2173" s="190"/>
      <c r="F2173" s="191"/>
      <c r="G2173" s="491"/>
      <c r="H2173" s="192"/>
      <c r="I2173" s="253"/>
      <c r="J2173" s="253"/>
      <c r="K2173" s="606"/>
      <c r="L2173" s="193"/>
      <c r="M2173" s="193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94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59"/>
        <v/>
      </c>
      <c r="C2174" s="190"/>
      <c r="D2174" s="190"/>
      <c r="E2174" s="776"/>
      <c r="F2174" s="40"/>
      <c r="G2174" s="40"/>
      <c r="H2174" s="7"/>
      <c r="I2174" s="253"/>
      <c r="J2174" s="253"/>
      <c r="K2174" s="606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94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59"/>
        <v/>
      </c>
      <c r="C2175" s="190"/>
      <c r="D2175" s="190"/>
      <c r="E2175" s="776"/>
      <c r="F2175" s="40"/>
      <c r="G2175" s="40"/>
      <c r="H2175" s="7"/>
      <c r="I2175" s="253"/>
      <c r="J2175" s="253"/>
      <c r="K2175" s="606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94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59"/>
        <v/>
      </c>
      <c r="C2176" s="190"/>
      <c r="D2176" s="190"/>
      <c r="E2176" s="776"/>
      <c r="F2176" s="188"/>
      <c r="G2176" s="40"/>
      <c r="H2176" s="7"/>
      <c r="I2176" s="253"/>
      <c r="J2176" s="253"/>
      <c r="K2176" s="606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94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59"/>
        <v/>
      </c>
      <c r="C2177" s="190"/>
      <c r="D2177" s="190"/>
      <c r="E2177" s="776"/>
      <c r="F2177" s="40"/>
      <c r="G2177" s="40"/>
      <c r="H2177" s="7"/>
      <c r="I2177" s="253"/>
      <c r="J2177" s="253"/>
      <c r="K2177" s="606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94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59"/>
        <v/>
      </c>
      <c r="C2178" s="190"/>
      <c r="D2178" s="190"/>
      <c r="E2178" s="776"/>
      <c r="F2178" s="188"/>
      <c r="G2178" s="40"/>
      <c r="H2178" s="7"/>
      <c r="I2178" s="253"/>
      <c r="J2178" s="253"/>
      <c r="K2178" s="606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94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59"/>
        <v/>
      </c>
      <c r="C2179" s="190"/>
      <c r="D2179" s="190"/>
      <c r="E2179" s="776"/>
      <c r="F2179" s="188"/>
      <c r="G2179" s="40"/>
      <c r="H2179" s="7"/>
      <c r="I2179" s="253"/>
      <c r="J2179" s="253"/>
      <c r="K2179" s="606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94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59"/>
        <v/>
      </c>
      <c r="C2180" s="190"/>
      <c r="D2180" s="190"/>
      <c r="E2180" s="776"/>
      <c r="F2180" s="188"/>
      <c r="G2180" s="40"/>
      <c r="H2180" s="7"/>
      <c r="I2180" s="253"/>
      <c r="J2180" s="253"/>
      <c r="K2180" s="606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94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59"/>
        <v/>
      </c>
      <c r="C2181" s="190"/>
      <c r="D2181" s="190"/>
      <c r="E2181" s="776"/>
      <c r="F2181" s="188"/>
      <c r="G2181" s="40"/>
      <c r="H2181" s="7"/>
      <c r="I2181" s="253"/>
      <c r="J2181" s="253"/>
      <c r="K2181" s="606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94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59"/>
        <v/>
      </c>
      <c r="C2182" s="190"/>
      <c r="D2182" s="190"/>
      <c r="E2182" s="776"/>
      <c r="F2182" s="188"/>
      <c r="G2182" s="40"/>
      <c r="H2182" s="7"/>
      <c r="I2182" s="821"/>
      <c r="J2182" s="253"/>
      <c r="K2182" s="606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94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59"/>
        <v/>
      </c>
      <c r="C2183" s="190"/>
      <c r="D2183" s="37"/>
      <c r="E2183" s="776"/>
      <c r="F2183" s="40"/>
      <c r="G2183" s="40"/>
      <c r="H2183" s="7"/>
      <c r="I2183" s="253"/>
      <c r="J2183" s="253"/>
      <c r="K2183" s="606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94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59"/>
        <v/>
      </c>
      <c r="C2184" s="190"/>
      <c r="D2184" s="37"/>
      <c r="E2184" s="776"/>
      <c r="F2184" s="40"/>
      <c r="G2184" s="40"/>
      <c r="H2184" s="7"/>
      <c r="I2184" s="253"/>
      <c r="J2184" s="253"/>
      <c r="K2184" s="606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94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59"/>
        <v/>
      </c>
      <c r="C2185" s="190"/>
      <c r="D2185" s="37"/>
      <c r="E2185" s="776"/>
      <c r="F2185" s="40"/>
      <c r="G2185" s="40"/>
      <c r="H2185" s="7"/>
      <c r="I2185" s="253"/>
      <c r="J2185" s="253"/>
      <c r="K2185" s="606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94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59"/>
        <v/>
      </c>
      <c r="C2186" s="190"/>
      <c r="D2186" s="37"/>
      <c r="E2186" s="776"/>
      <c r="F2186" s="40"/>
      <c r="G2186" s="40"/>
      <c r="H2186" s="7"/>
      <c r="I2186" s="253"/>
      <c r="J2186" s="253"/>
      <c r="K2186" s="606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94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59"/>
        <v/>
      </c>
      <c r="C2187" s="190"/>
      <c r="D2187" s="37"/>
      <c r="E2187" s="776"/>
      <c r="F2187" s="191"/>
      <c r="G2187" s="40"/>
      <c r="H2187" s="7"/>
      <c r="I2187" s="253"/>
      <c r="J2187" s="253"/>
      <c r="K2187" s="606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94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59"/>
        <v/>
      </c>
      <c r="C2188" s="190"/>
      <c r="D2188" s="37"/>
      <c r="E2188" s="776"/>
      <c r="F2188" s="40"/>
      <c r="G2188" s="40"/>
      <c r="H2188" s="7"/>
      <c r="I2188" s="253"/>
      <c r="J2188" s="253"/>
      <c r="K2188" s="606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94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si="59"/>
        <v/>
      </c>
      <c r="C2189" s="190"/>
      <c r="D2189" s="37"/>
      <c r="E2189" s="776"/>
      <c r="F2189" s="40"/>
      <c r="G2189" s="40"/>
      <c r="H2189" s="7"/>
      <c r="I2189" s="253"/>
      <c r="J2189" s="253"/>
      <c r="K2189" s="606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94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59"/>
        <v/>
      </c>
      <c r="C2190" s="190"/>
      <c r="D2190" s="37"/>
      <c r="E2190" s="776"/>
      <c r="F2190" s="40"/>
      <c r="G2190" s="40"/>
      <c r="H2190" s="7"/>
      <c r="I2190" s="253"/>
      <c r="J2190" s="253"/>
      <c r="K2190" s="606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94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59"/>
        <v/>
      </c>
      <c r="C2191" s="190"/>
      <c r="D2191" s="37"/>
      <c r="E2191" s="776"/>
      <c r="F2191" s="40"/>
      <c r="G2191" s="40"/>
      <c r="H2191" s="7"/>
      <c r="I2191" s="253"/>
      <c r="J2191" s="253"/>
      <c r="K2191" s="606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94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59"/>
        <v/>
      </c>
      <c r="C2192" s="190"/>
      <c r="D2192" s="37"/>
      <c r="E2192" s="776"/>
      <c r="F2192" s="191"/>
      <c r="G2192" s="40"/>
      <c r="H2192" s="7"/>
      <c r="I2192" s="253"/>
      <c r="J2192" s="253"/>
      <c r="K2192" s="606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94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59"/>
        <v/>
      </c>
      <c r="C2193" s="190"/>
      <c r="D2193" s="37"/>
      <c r="E2193" s="776"/>
      <c r="F2193" s="451"/>
      <c r="G2193" s="40"/>
      <c r="H2193" s="7"/>
      <c r="I2193" s="253"/>
      <c r="J2193" s="253"/>
      <c r="K2193" s="606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94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59"/>
        <v/>
      </c>
      <c r="C2194" s="190"/>
      <c r="D2194" s="37"/>
      <c r="E2194" s="776"/>
      <c r="F2194" s="40"/>
      <c r="G2194" s="40"/>
      <c r="H2194" s="7"/>
      <c r="I2194" s="253"/>
      <c r="J2194" s="253"/>
      <c r="K2194" s="606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94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59"/>
        <v/>
      </c>
      <c r="C2195" s="190"/>
      <c r="D2195" s="37"/>
      <c r="E2195" s="776"/>
      <c r="F2195" s="188"/>
      <c r="G2195" s="40"/>
      <c r="H2195" s="7"/>
      <c r="I2195" s="253"/>
      <c r="J2195" s="253"/>
      <c r="K2195" s="606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94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59"/>
        <v/>
      </c>
      <c r="C2196" s="190"/>
      <c r="D2196" s="37"/>
      <c r="E2196" s="776"/>
      <c r="F2196" s="40"/>
      <c r="G2196" s="40"/>
      <c r="H2196" s="7"/>
      <c r="I2196" s="253"/>
      <c r="J2196" s="253"/>
      <c r="K2196" s="606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94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59"/>
        <v/>
      </c>
      <c r="C2197" s="190"/>
      <c r="D2197" s="37"/>
      <c r="E2197" s="776"/>
      <c r="F2197" s="191"/>
      <c r="G2197" s="40"/>
      <c r="H2197" s="7"/>
      <c r="I2197" s="253"/>
      <c r="J2197" s="253"/>
      <c r="K2197" s="606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94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59"/>
        <v/>
      </c>
      <c r="C2198" s="190"/>
      <c r="D2198" s="37"/>
      <c r="E2198" s="776"/>
      <c r="F2198" s="40"/>
      <c r="G2198" s="40"/>
      <c r="H2198" s="7"/>
      <c r="I2198" s="253"/>
      <c r="J2198" s="253"/>
      <c r="K2198" s="606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94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59"/>
        <v/>
      </c>
      <c r="C2199" s="190"/>
      <c r="D2199" s="37"/>
      <c r="E2199" s="776"/>
      <c r="F2199" s="191"/>
      <c r="G2199" s="40"/>
      <c r="H2199" s="7"/>
      <c r="I2199" s="253"/>
      <c r="J2199" s="253"/>
      <c r="K2199" s="606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94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59"/>
        <v/>
      </c>
      <c r="C2200" s="190"/>
      <c r="D2200" s="37"/>
      <c r="E2200" s="776"/>
      <c r="F2200" s="40"/>
      <c r="G2200" s="40"/>
      <c r="H2200" s="7"/>
      <c r="I2200" s="253"/>
      <c r="J2200" s="253"/>
      <c r="K2200" s="606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94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ref="B2201:B2264" si="60">IF(C2201&lt;&gt;"",MONTH(C2201),"")</f>
        <v/>
      </c>
      <c r="C2201" s="190"/>
      <c r="D2201" s="37"/>
      <c r="E2201" s="776"/>
      <c r="F2201" s="40"/>
      <c r="G2201" s="40"/>
      <c r="H2201" s="7"/>
      <c r="I2201" s="253"/>
      <c r="J2201" s="253"/>
      <c r="K2201" s="606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94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60"/>
        <v/>
      </c>
      <c r="C2202" s="190"/>
      <c r="D2202" s="37"/>
      <c r="E2202" s="776"/>
      <c r="F2202" s="40"/>
      <c r="G2202" s="40"/>
      <c r="H2202" s="7"/>
      <c r="I2202" s="253"/>
      <c r="J2202" s="253"/>
      <c r="K2202" s="606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94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60"/>
        <v/>
      </c>
      <c r="C2203" s="190"/>
      <c r="D2203" s="37"/>
      <c r="E2203" s="776"/>
      <c r="F2203" s="40"/>
      <c r="G2203" s="40"/>
      <c r="H2203" s="7"/>
      <c r="I2203" s="253"/>
      <c r="J2203" s="253"/>
      <c r="K2203" s="606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94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60"/>
        <v/>
      </c>
      <c r="C2204" s="190"/>
      <c r="D2204" s="37"/>
      <c r="E2204" s="776"/>
      <c r="F2204" s="40"/>
      <c r="G2204" s="40"/>
      <c r="H2204" s="7"/>
      <c r="I2204" s="253"/>
      <c r="J2204" s="253"/>
      <c r="K2204" s="606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94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60"/>
        <v/>
      </c>
      <c r="C2205" s="190"/>
      <c r="D2205" s="37"/>
      <c r="E2205" s="776"/>
      <c r="F2205" s="40"/>
      <c r="G2205" s="40"/>
      <c r="H2205" s="7"/>
      <c r="I2205" s="253"/>
      <c r="J2205" s="253"/>
      <c r="K2205" s="606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94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60"/>
        <v/>
      </c>
      <c r="C2206" s="190"/>
      <c r="D2206" s="37"/>
      <c r="E2206" s="776"/>
      <c r="F2206" s="40"/>
      <c r="G2206" s="40"/>
      <c r="H2206" s="7"/>
      <c r="I2206" s="253"/>
      <c r="J2206" s="253"/>
      <c r="K2206" s="606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94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60"/>
        <v/>
      </c>
      <c r="C2207" s="190"/>
      <c r="D2207" s="37"/>
      <c r="E2207" s="776"/>
      <c r="F2207" s="40"/>
      <c r="G2207" s="40"/>
      <c r="H2207" s="7"/>
      <c r="I2207" s="253"/>
      <c r="J2207" s="253"/>
      <c r="K2207" s="606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94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60"/>
        <v/>
      </c>
      <c r="C2208" s="190"/>
      <c r="D2208" s="37"/>
      <c r="E2208" s="776"/>
      <c r="F2208" s="40"/>
      <c r="G2208" s="40"/>
      <c r="H2208" s="7"/>
      <c r="I2208" s="253"/>
      <c r="J2208" s="253"/>
      <c r="K2208" s="606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94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60"/>
        <v/>
      </c>
      <c r="C2209" s="190"/>
      <c r="D2209" s="37"/>
      <c r="E2209" s="776"/>
      <c r="F2209" s="40"/>
      <c r="G2209" s="40"/>
      <c r="H2209" s="7"/>
      <c r="I2209" s="253"/>
      <c r="J2209" s="253"/>
      <c r="K2209" s="606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94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60"/>
        <v/>
      </c>
      <c r="C2210" s="190"/>
      <c r="D2210" s="37"/>
      <c r="E2210" s="776"/>
      <c r="F2210" s="191"/>
      <c r="G2210" s="491"/>
      <c r="H2210" s="192"/>
      <c r="I2210" s="253"/>
      <c r="J2210" s="253"/>
      <c r="K2210" s="606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94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60"/>
        <v/>
      </c>
      <c r="C2211" s="190"/>
      <c r="D2211" s="37"/>
      <c r="E2211" s="776"/>
      <c r="F2211" s="191"/>
      <c r="G2211" s="491"/>
      <c r="H2211" s="192"/>
      <c r="I2211" s="253"/>
      <c r="J2211" s="253"/>
      <c r="K2211" s="606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94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60"/>
        <v/>
      </c>
      <c r="C2212" s="190"/>
      <c r="D2212" s="37"/>
      <c r="E2212" s="776"/>
      <c r="F2212" s="191"/>
      <c r="G2212" s="491"/>
      <c r="H2212" s="192"/>
      <c r="I2212" s="253"/>
      <c r="J2212" s="253"/>
      <c r="K2212" s="606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94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60"/>
        <v/>
      </c>
      <c r="C2213" s="190"/>
      <c r="D2213" s="37"/>
      <c r="E2213" s="776"/>
      <c r="F2213" s="191"/>
      <c r="G2213" s="491"/>
      <c r="H2213" s="192"/>
      <c r="I2213" s="253"/>
      <c r="J2213" s="253"/>
      <c r="K2213" s="606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94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60"/>
        <v/>
      </c>
      <c r="C2214" s="190"/>
      <c r="D2214" s="37"/>
      <c r="E2214" s="776"/>
      <c r="F2214" s="191"/>
      <c r="G2214" s="491"/>
      <c r="H2214" s="192"/>
      <c r="I2214" s="253"/>
      <c r="J2214" s="253"/>
      <c r="K2214" s="606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94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si="60"/>
        <v/>
      </c>
      <c r="C2215" s="190"/>
      <c r="D2215" s="37"/>
      <c r="E2215" s="776"/>
      <c r="F2215" s="191"/>
      <c r="G2215" s="491"/>
      <c r="H2215" s="192"/>
      <c r="I2215" s="253"/>
      <c r="J2215" s="253"/>
      <c r="K2215" s="606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94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60"/>
        <v/>
      </c>
      <c r="C2216" s="190"/>
      <c r="D2216" s="37"/>
      <c r="E2216" s="776"/>
      <c r="F2216" s="191"/>
      <c r="G2216" s="491"/>
      <c r="H2216" s="192"/>
      <c r="I2216" s="253"/>
      <c r="J2216" s="253"/>
      <c r="K2216" s="606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94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60"/>
        <v/>
      </c>
      <c r="C2217" s="190"/>
      <c r="D2217" s="37"/>
      <c r="E2217" s="776"/>
      <c r="F2217" s="191"/>
      <c r="G2217" s="491"/>
      <c r="H2217" s="192"/>
      <c r="I2217" s="253"/>
      <c r="J2217" s="253"/>
      <c r="K2217" s="606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94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60"/>
        <v/>
      </c>
      <c r="C2218" s="190"/>
      <c r="D2218" s="37"/>
      <c r="E2218" s="776"/>
      <c r="F2218" s="191"/>
      <c r="G2218" s="491"/>
      <c r="H2218" s="192"/>
      <c r="I2218" s="253"/>
      <c r="J2218" s="253"/>
      <c r="K2218" s="606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94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60"/>
        <v/>
      </c>
      <c r="C2219" s="190"/>
      <c r="D2219" s="37"/>
      <c r="E2219" s="776"/>
      <c r="F2219" s="191"/>
      <c r="G2219" s="491"/>
      <c r="H2219" s="192"/>
      <c r="I2219" s="253"/>
      <c r="J2219" s="253"/>
      <c r="K2219" s="606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94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60"/>
        <v/>
      </c>
      <c r="C2220" s="190"/>
      <c r="D2220" s="37"/>
      <c r="E2220" s="776"/>
      <c r="F2220" s="191"/>
      <c r="G2220" s="491"/>
      <c r="H2220" s="192"/>
      <c r="I2220" s="253"/>
      <c r="J2220" s="253"/>
      <c r="K2220" s="606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94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60"/>
        <v/>
      </c>
      <c r="C2221" s="190"/>
      <c r="D2221" s="37"/>
      <c r="E2221" s="776"/>
      <c r="F2221" s="191"/>
      <c r="G2221" s="491"/>
      <c r="H2221" s="192"/>
      <c r="I2221" s="253"/>
      <c r="J2221" s="253"/>
      <c r="K2221" s="606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94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60"/>
        <v/>
      </c>
      <c r="C2222" s="190"/>
      <c r="D2222" s="37"/>
      <c r="E2222" s="776"/>
      <c r="F2222" s="188"/>
      <c r="G2222" s="491"/>
      <c r="H2222" s="192"/>
      <c r="I2222" s="253"/>
      <c r="J2222" s="253"/>
      <c r="K2222" s="606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94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60"/>
        <v/>
      </c>
      <c r="C2223" s="190"/>
      <c r="D2223" s="37"/>
      <c r="E2223" s="776"/>
      <c r="F2223" s="191"/>
      <c r="G2223" s="491"/>
      <c r="H2223" s="192"/>
      <c r="I2223" s="253"/>
      <c r="J2223" s="253"/>
      <c r="K2223" s="606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94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60"/>
        <v/>
      </c>
      <c r="C2224" s="190"/>
      <c r="D2224" s="37"/>
      <c r="E2224" s="776"/>
      <c r="F2224" s="191"/>
      <c r="G2224" s="491"/>
      <c r="H2224" s="192"/>
      <c r="I2224" s="253"/>
      <c r="J2224" s="253"/>
      <c r="K2224" s="606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94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60"/>
        <v/>
      </c>
      <c r="C2225" s="190"/>
      <c r="D2225" s="37"/>
      <c r="E2225" s="776"/>
      <c r="F2225" s="191"/>
      <c r="G2225" s="491"/>
      <c r="H2225" s="192"/>
      <c r="I2225" s="253"/>
      <c r="J2225" s="253"/>
      <c r="K2225" s="606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94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60"/>
        <v/>
      </c>
      <c r="C2226" s="190"/>
      <c r="D2226" s="37"/>
      <c r="E2226" s="776"/>
      <c r="F2226" s="191"/>
      <c r="G2226" s="491"/>
      <c r="H2226" s="192"/>
      <c r="I2226" s="253"/>
      <c r="J2226" s="253"/>
      <c r="K2226" s="606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94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60"/>
        <v/>
      </c>
      <c r="C2227" s="190"/>
      <c r="D2227" s="37"/>
      <c r="E2227" s="776"/>
      <c r="F2227" s="191"/>
      <c r="G2227" s="491"/>
      <c r="H2227" s="192"/>
      <c r="I2227" s="253"/>
      <c r="J2227" s="253"/>
      <c r="K2227" s="606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94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60"/>
        <v/>
      </c>
      <c r="C2228" s="190"/>
      <c r="D2228" s="37"/>
      <c r="E2228" s="776"/>
      <c r="F2228" s="191"/>
      <c r="G2228" s="491"/>
      <c r="H2228" s="192"/>
      <c r="I2228" s="253"/>
      <c r="J2228" s="253"/>
      <c r="K2228" s="606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94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60"/>
        <v/>
      </c>
      <c r="C2229" s="190"/>
      <c r="D2229" s="37"/>
      <c r="E2229" s="776"/>
      <c r="F2229" s="191"/>
      <c r="G2229" s="491"/>
      <c r="H2229" s="192"/>
      <c r="I2229" s="253"/>
      <c r="J2229" s="253"/>
      <c r="K2229" s="606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94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60"/>
        <v/>
      </c>
      <c r="C2230" s="190"/>
      <c r="D2230" s="37"/>
      <c r="E2230" s="776"/>
      <c r="F2230" s="191"/>
      <c r="G2230" s="491"/>
      <c r="H2230" s="192"/>
      <c r="I2230" s="253"/>
      <c r="J2230" s="253"/>
      <c r="K2230" s="606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94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si="60"/>
        <v/>
      </c>
      <c r="C2231" s="190"/>
      <c r="D2231" s="37"/>
      <c r="E2231" s="776"/>
      <c r="F2231" s="191"/>
      <c r="G2231" s="491"/>
      <c r="H2231" s="192"/>
      <c r="I2231" s="253"/>
      <c r="J2231" s="253"/>
      <c r="K2231" s="606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94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si="60"/>
        <v/>
      </c>
      <c r="C2232" s="190"/>
      <c r="D2232" s="37"/>
      <c r="E2232" s="776"/>
      <c r="F2232" s="191"/>
      <c r="G2232" s="491"/>
      <c r="H2232" s="192"/>
      <c r="I2232" s="253"/>
      <c r="J2232" s="253"/>
      <c r="K2232" s="606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94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60"/>
        <v/>
      </c>
      <c r="C2233" s="190"/>
      <c r="D2233" s="37"/>
      <c r="E2233" s="776"/>
      <c r="F2233" s="191"/>
      <c r="G2233" s="491"/>
      <c r="H2233" s="192"/>
      <c r="I2233" s="253"/>
      <c r="J2233" s="253"/>
      <c r="K2233" s="606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94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60"/>
        <v/>
      </c>
      <c r="C2234" s="190"/>
      <c r="D2234" s="37"/>
      <c r="E2234" s="776"/>
      <c r="F2234" s="191"/>
      <c r="G2234" s="491"/>
      <c r="H2234" s="192"/>
      <c r="I2234" s="253"/>
      <c r="J2234" s="253"/>
      <c r="K2234" s="606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94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60"/>
        <v/>
      </c>
      <c r="C2235" s="190"/>
      <c r="D2235" s="37"/>
      <c r="E2235" s="776"/>
      <c r="F2235" s="191"/>
      <c r="G2235" s="491"/>
      <c r="H2235" s="192"/>
      <c r="I2235" s="253"/>
      <c r="J2235" s="253"/>
      <c r="K2235" s="606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94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60"/>
        <v/>
      </c>
      <c r="C2236" s="190"/>
      <c r="D2236" s="37"/>
      <c r="E2236" s="776"/>
      <c r="F2236" s="191"/>
      <c r="G2236" s="491"/>
      <c r="H2236" s="192"/>
      <c r="I2236" s="253"/>
      <c r="J2236" s="253"/>
      <c r="K2236" s="606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94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60"/>
        <v/>
      </c>
      <c r="C2237" s="190"/>
      <c r="D2237" s="190"/>
      <c r="E2237" s="776"/>
      <c r="F2237" s="188"/>
      <c r="G2237" s="40"/>
      <c r="H2237" s="7"/>
      <c r="I2237" s="821"/>
      <c r="J2237" s="253"/>
      <c r="K2237" s="606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94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60"/>
        <v/>
      </c>
      <c r="C2238" s="190"/>
      <c r="D2238" s="190"/>
      <c r="E2238" s="776"/>
      <c r="F2238" s="188"/>
      <c r="G2238" s="40"/>
      <c r="H2238" s="7"/>
      <c r="I2238" s="821"/>
      <c r="J2238" s="253"/>
      <c r="K2238" s="606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94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60"/>
        <v/>
      </c>
      <c r="C2239" s="190"/>
      <c r="D2239" s="190"/>
      <c r="E2239" s="776"/>
      <c r="F2239" s="188"/>
      <c r="G2239" s="40"/>
      <c r="H2239" s="7"/>
      <c r="I2239" s="821"/>
      <c r="J2239" s="253"/>
      <c r="K2239" s="606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94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60"/>
        <v/>
      </c>
      <c r="C2240" s="190"/>
      <c r="D2240" s="190"/>
      <c r="E2240" s="776"/>
      <c r="F2240" s="188"/>
      <c r="G2240" s="40"/>
      <c r="H2240" s="7"/>
      <c r="I2240" s="821"/>
      <c r="J2240" s="253"/>
      <c r="K2240" s="606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94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60"/>
        <v/>
      </c>
      <c r="C2241" s="190"/>
      <c r="D2241" s="190"/>
      <c r="E2241" s="776"/>
      <c r="F2241" s="188"/>
      <c r="G2241" s="40"/>
      <c r="H2241" s="7"/>
      <c r="I2241" s="821"/>
      <c r="J2241" s="253"/>
      <c r="K2241" s="606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94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60"/>
        <v/>
      </c>
      <c r="C2242" s="190"/>
      <c r="D2242" s="190"/>
      <c r="E2242" s="776"/>
      <c r="F2242" s="188"/>
      <c r="G2242" s="40"/>
      <c r="H2242" s="7"/>
      <c r="I2242" s="253"/>
      <c r="J2242" s="253"/>
      <c r="K2242" s="606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94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60"/>
        <v/>
      </c>
      <c r="C2243" s="190"/>
      <c r="D2243" s="190"/>
      <c r="E2243" s="776"/>
      <c r="F2243" s="188"/>
      <c r="G2243" s="40"/>
      <c r="H2243" s="7"/>
      <c r="I2243" s="821"/>
      <c r="J2243" s="253"/>
      <c r="K2243" s="606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94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60"/>
        <v/>
      </c>
      <c r="C2244" s="190"/>
      <c r="D2244" s="190"/>
      <c r="E2244" s="776"/>
      <c r="F2244" s="188"/>
      <c r="G2244" s="40"/>
      <c r="H2244" s="7"/>
      <c r="I2244" s="821"/>
      <c r="J2244" s="253"/>
      <c r="K2244" s="606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94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60"/>
        <v/>
      </c>
      <c r="C2245" s="190"/>
      <c r="D2245" s="190"/>
      <c r="E2245" s="776"/>
      <c r="F2245" s="188"/>
      <c r="G2245" s="40"/>
      <c r="H2245" s="7"/>
      <c r="I2245" s="821"/>
      <c r="J2245" s="253"/>
      <c r="K2245" s="606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94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60"/>
        <v/>
      </c>
      <c r="C2246" s="190"/>
      <c r="D2246" s="190"/>
      <c r="E2246" s="774"/>
      <c r="F2246" s="188"/>
      <c r="G2246" s="40"/>
      <c r="H2246" s="7"/>
      <c r="I2246" s="821"/>
      <c r="J2246" s="253"/>
      <c r="K2246" s="606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94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60"/>
        <v/>
      </c>
      <c r="C2247" s="190"/>
      <c r="D2247" s="190"/>
      <c r="E2247" s="774"/>
      <c r="F2247" s="188"/>
      <c r="G2247" s="40"/>
      <c r="H2247" s="7"/>
      <c r="I2247" s="821"/>
      <c r="J2247" s="253"/>
      <c r="K2247" s="606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94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60"/>
        <v/>
      </c>
      <c r="C2248" s="190"/>
      <c r="D2248" s="190"/>
      <c r="E2248" s="774"/>
      <c r="F2248" s="188"/>
      <c r="G2248" s="40"/>
      <c r="H2248" s="7"/>
      <c r="I2248" s="821"/>
      <c r="J2248" s="253"/>
      <c r="K2248" s="606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94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60"/>
        <v/>
      </c>
      <c r="C2249" s="190"/>
      <c r="D2249" s="190"/>
      <c r="E2249" s="774"/>
      <c r="F2249" s="188"/>
      <c r="G2249" s="40"/>
      <c r="H2249" s="7"/>
      <c r="I2249" s="821"/>
      <c r="J2249" s="253"/>
      <c r="K2249" s="606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94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60"/>
        <v/>
      </c>
      <c r="C2250" s="190"/>
      <c r="D2250" s="190"/>
      <c r="E2250" s="774"/>
      <c r="F2250" s="40"/>
      <c r="G2250" s="40"/>
      <c r="H2250" s="7"/>
      <c r="I2250" s="253"/>
      <c r="J2250" s="253"/>
      <c r="K2250" s="606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94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60"/>
        <v/>
      </c>
      <c r="C2251" s="190"/>
      <c r="D2251" s="190"/>
      <c r="E2251" s="774"/>
      <c r="F2251" s="188"/>
      <c r="G2251" s="40"/>
      <c r="H2251" s="7"/>
      <c r="I2251" s="253"/>
      <c r="J2251" s="253"/>
      <c r="K2251" s="606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94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60"/>
        <v/>
      </c>
      <c r="C2252" s="190"/>
      <c r="D2252" s="190"/>
      <c r="E2252" s="774"/>
      <c r="F2252" s="188"/>
      <c r="G2252" s="40"/>
      <c r="H2252" s="7"/>
      <c r="I2252" s="253"/>
      <c r="J2252" s="253"/>
      <c r="K2252" s="606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94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60"/>
        <v/>
      </c>
      <c r="C2253" s="190"/>
      <c r="D2253" s="190"/>
      <c r="E2253" s="774"/>
      <c r="F2253" s="40"/>
      <c r="G2253" s="40"/>
      <c r="H2253" s="7"/>
      <c r="I2253" s="253"/>
      <c r="J2253" s="253"/>
      <c r="K2253" s="606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94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60"/>
        <v/>
      </c>
      <c r="C2254" s="190"/>
      <c r="D2254" s="190"/>
      <c r="E2254" s="774"/>
      <c r="F2254" s="40"/>
      <c r="G2254" s="40"/>
      <c r="H2254" s="7"/>
      <c r="I2254" s="253"/>
      <c r="J2254" s="253"/>
      <c r="K2254" s="606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94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60"/>
        <v/>
      </c>
      <c r="C2255" s="190"/>
      <c r="D2255" s="190"/>
      <c r="E2255" s="774"/>
      <c r="F2255" s="40"/>
      <c r="G2255" s="40"/>
      <c r="H2255" s="7"/>
      <c r="I2255" s="253"/>
      <c r="J2255" s="253"/>
      <c r="K2255" s="606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94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60"/>
        <v/>
      </c>
      <c r="C2256" s="190"/>
      <c r="D2256" s="190"/>
      <c r="E2256" s="774"/>
      <c r="F2256" s="188"/>
      <c r="G2256" s="40"/>
      <c r="H2256" s="7"/>
      <c r="I2256" s="253"/>
      <c r="J2256" s="253"/>
      <c r="K2256" s="606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94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60"/>
        <v/>
      </c>
      <c r="C2257" s="190"/>
      <c r="D2257" s="190"/>
      <c r="E2257" s="774"/>
      <c r="F2257" s="40"/>
      <c r="G2257" s="40"/>
      <c r="H2257" s="7"/>
      <c r="I2257" s="253"/>
      <c r="J2257" s="253"/>
      <c r="K2257" s="606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94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60"/>
        <v/>
      </c>
      <c r="C2258" s="190"/>
      <c r="D2258" s="190"/>
      <c r="E2258" s="846"/>
      <c r="F2258" s="191"/>
      <c r="G2258" s="491"/>
      <c r="H2258" s="192"/>
      <c r="I2258" s="253"/>
      <c r="J2258" s="253"/>
      <c r="K2258" s="606"/>
      <c r="L2258" s="193"/>
      <c r="M2258" s="193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94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60"/>
        <v/>
      </c>
      <c r="C2259" s="190"/>
      <c r="D2259" s="190"/>
      <c r="E2259" s="846"/>
      <c r="F2259" s="191"/>
      <c r="G2259" s="491"/>
      <c r="H2259" s="192"/>
      <c r="I2259" s="253"/>
      <c r="J2259" s="253"/>
      <c r="K2259" s="606"/>
      <c r="L2259" s="193"/>
      <c r="M2259" s="193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94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60"/>
        <v/>
      </c>
      <c r="C2260" s="190"/>
      <c r="D2260" s="190"/>
      <c r="E2260" s="846"/>
      <c r="F2260" s="191"/>
      <c r="G2260" s="491"/>
      <c r="H2260" s="192"/>
      <c r="I2260" s="253"/>
      <c r="J2260" s="253"/>
      <c r="K2260" s="606"/>
      <c r="L2260" s="193"/>
      <c r="M2260" s="193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94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60"/>
        <v/>
      </c>
      <c r="C2261" s="190"/>
      <c r="D2261" s="190"/>
      <c r="E2261" s="846"/>
      <c r="F2261" s="191"/>
      <c r="G2261" s="491"/>
      <c r="H2261" s="192"/>
      <c r="I2261" s="253"/>
      <c r="J2261" s="253"/>
      <c r="K2261" s="606"/>
      <c r="L2261" s="193"/>
      <c r="M2261" s="193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94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60"/>
        <v/>
      </c>
      <c r="C2262" s="190"/>
      <c r="D2262" s="190"/>
      <c r="E2262" s="846"/>
      <c r="F2262" s="191"/>
      <c r="G2262" s="491"/>
      <c r="H2262" s="192"/>
      <c r="I2262" s="253"/>
      <c r="J2262" s="253"/>
      <c r="K2262" s="606"/>
      <c r="L2262" s="193"/>
      <c r="M2262" s="193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94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60"/>
        <v/>
      </c>
      <c r="C2263" s="190"/>
      <c r="D2263" s="190"/>
      <c r="E2263" s="846"/>
      <c r="F2263" s="191"/>
      <c r="G2263" s="491"/>
      <c r="H2263" s="192"/>
      <c r="I2263" s="253"/>
      <c r="J2263" s="253"/>
      <c r="K2263" s="606"/>
      <c r="L2263" s="193"/>
      <c r="M2263" s="193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94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60"/>
        <v/>
      </c>
      <c r="C2264" s="190"/>
      <c r="D2264" s="190"/>
      <c r="E2264" s="846"/>
      <c r="F2264" s="191"/>
      <c r="G2264" s="491"/>
      <c r="H2264" s="192"/>
      <c r="I2264" s="253"/>
      <c r="J2264" s="253"/>
      <c r="K2264" s="606"/>
      <c r="L2264" s="193"/>
      <c r="M2264" s="193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94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ref="B2265:B2328" si="61">IF(C2265&lt;&gt;"",MONTH(C2265),"")</f>
        <v/>
      </c>
      <c r="C2265" s="190"/>
      <c r="D2265" s="190"/>
      <c r="E2265" s="846"/>
      <c r="F2265" s="191"/>
      <c r="G2265" s="491"/>
      <c r="H2265" s="192"/>
      <c r="I2265" s="253"/>
      <c r="J2265" s="253"/>
      <c r="K2265" s="606"/>
      <c r="L2265" s="193"/>
      <c r="M2265" s="193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94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61"/>
        <v/>
      </c>
      <c r="C2266" s="190"/>
      <c r="D2266" s="190"/>
      <c r="E2266" s="846"/>
      <c r="F2266" s="191"/>
      <c r="G2266" s="491"/>
      <c r="H2266" s="192"/>
      <c r="I2266" s="253"/>
      <c r="J2266" s="253"/>
      <c r="K2266" s="606"/>
      <c r="L2266" s="193"/>
      <c r="M2266" s="193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94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61"/>
        <v/>
      </c>
      <c r="C2267" s="190"/>
      <c r="D2267" s="190"/>
      <c r="E2267" s="846"/>
      <c r="F2267" s="191"/>
      <c r="G2267" s="491"/>
      <c r="H2267" s="192"/>
      <c r="I2267" s="253"/>
      <c r="J2267" s="253"/>
      <c r="K2267" s="606"/>
      <c r="L2267" s="193"/>
      <c r="M2267" s="193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94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61"/>
        <v/>
      </c>
      <c r="C2268" s="190"/>
      <c r="D2268" s="190"/>
      <c r="E2268" s="846"/>
      <c r="F2268" s="191"/>
      <c r="G2268" s="491"/>
      <c r="H2268" s="192"/>
      <c r="I2268" s="253"/>
      <c r="J2268" s="253"/>
      <c r="K2268" s="606"/>
      <c r="L2268" s="193"/>
      <c r="M2268" s="193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94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61"/>
        <v/>
      </c>
      <c r="C2269" s="190"/>
      <c r="D2269" s="190"/>
      <c r="E2269" s="846"/>
      <c r="F2269" s="191"/>
      <c r="G2269" s="491"/>
      <c r="H2269" s="192"/>
      <c r="I2269" s="253"/>
      <c r="J2269" s="253"/>
      <c r="K2269" s="606"/>
      <c r="L2269" s="193"/>
      <c r="M2269" s="193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94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61"/>
        <v/>
      </c>
      <c r="C2270" s="190"/>
      <c r="D2270" s="190"/>
      <c r="E2270" s="846"/>
      <c r="F2270" s="191"/>
      <c r="G2270" s="491"/>
      <c r="H2270" s="192"/>
      <c r="I2270" s="253"/>
      <c r="J2270" s="253"/>
      <c r="K2270" s="606"/>
      <c r="L2270" s="193"/>
      <c r="M2270" s="193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94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61"/>
        <v/>
      </c>
      <c r="C2271" s="190"/>
      <c r="D2271" s="190"/>
      <c r="E2271" s="846"/>
      <c r="F2271" s="191"/>
      <c r="G2271" s="491"/>
      <c r="H2271" s="192"/>
      <c r="I2271" s="253"/>
      <c r="J2271" s="253"/>
      <c r="K2271" s="606"/>
      <c r="L2271" s="193"/>
      <c r="M2271" s="193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94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61"/>
        <v/>
      </c>
      <c r="C2272" s="190"/>
      <c r="D2272" s="190"/>
      <c r="E2272" s="846"/>
      <c r="F2272" s="191"/>
      <c r="G2272" s="491"/>
      <c r="H2272" s="192"/>
      <c r="I2272" s="253"/>
      <c r="J2272" s="253"/>
      <c r="K2272" s="606"/>
      <c r="L2272" s="193"/>
      <c r="M2272" s="193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94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61"/>
        <v/>
      </c>
      <c r="C2273" s="190"/>
      <c r="D2273" s="190"/>
      <c r="E2273" s="846"/>
      <c r="F2273" s="191"/>
      <c r="G2273" s="491"/>
      <c r="H2273" s="192"/>
      <c r="I2273" s="253"/>
      <c r="J2273" s="253"/>
      <c r="K2273" s="606"/>
      <c r="L2273" s="193"/>
      <c r="M2273" s="193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94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61"/>
        <v/>
      </c>
      <c r="C2274" s="190"/>
      <c r="D2274" s="190"/>
      <c r="E2274" s="846"/>
      <c r="F2274" s="191"/>
      <c r="G2274" s="491"/>
      <c r="H2274" s="192"/>
      <c r="I2274" s="253"/>
      <c r="J2274" s="253"/>
      <c r="K2274" s="606"/>
      <c r="L2274" s="193"/>
      <c r="M2274" s="193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94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61"/>
        <v/>
      </c>
      <c r="C2275" s="190"/>
      <c r="D2275" s="190"/>
      <c r="E2275" s="846"/>
      <c r="F2275" s="191"/>
      <c r="G2275" s="491"/>
      <c r="H2275" s="192"/>
      <c r="I2275" s="253"/>
      <c r="J2275" s="253"/>
      <c r="K2275" s="606"/>
      <c r="L2275" s="193"/>
      <c r="M2275" s="193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94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61"/>
        <v/>
      </c>
      <c r="C2276" s="190"/>
      <c r="D2276" s="190"/>
      <c r="E2276" s="846"/>
      <c r="F2276" s="191"/>
      <c r="G2276" s="491"/>
      <c r="H2276" s="192"/>
      <c r="I2276" s="253"/>
      <c r="J2276" s="253"/>
      <c r="K2276" s="606"/>
      <c r="L2276" s="193"/>
      <c r="M2276" s="193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94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61"/>
        <v/>
      </c>
      <c r="C2277" s="190"/>
      <c r="D2277" s="190"/>
      <c r="E2277" s="846"/>
      <c r="F2277" s="191"/>
      <c r="G2277" s="491"/>
      <c r="H2277" s="192"/>
      <c r="I2277" s="253"/>
      <c r="J2277" s="253"/>
      <c r="K2277" s="606"/>
      <c r="L2277" s="193"/>
      <c r="M2277" s="193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94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61"/>
        <v/>
      </c>
      <c r="C2278" s="190"/>
      <c r="D2278" s="190"/>
      <c r="E2278" s="846"/>
      <c r="F2278" s="191"/>
      <c r="G2278" s="491"/>
      <c r="H2278" s="192"/>
      <c r="I2278" s="253"/>
      <c r="J2278" s="253"/>
      <c r="K2278" s="606"/>
      <c r="L2278" s="193"/>
      <c r="M2278" s="193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94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61"/>
        <v/>
      </c>
      <c r="C2279" s="190"/>
      <c r="D2279" s="190"/>
      <c r="E2279" s="846"/>
      <c r="F2279" s="191"/>
      <c r="G2279" s="491"/>
      <c r="H2279" s="192"/>
      <c r="I2279" s="253"/>
      <c r="J2279" s="253"/>
      <c r="K2279" s="606"/>
      <c r="L2279" s="193"/>
      <c r="M2279" s="193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94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61"/>
        <v/>
      </c>
      <c r="C2280" s="190"/>
      <c r="D2280" s="190"/>
      <c r="E2280" s="846"/>
      <c r="F2280" s="191"/>
      <c r="G2280" s="491"/>
      <c r="H2280" s="192"/>
      <c r="I2280" s="253"/>
      <c r="J2280" s="253"/>
      <c r="K2280" s="606"/>
      <c r="L2280" s="193"/>
      <c r="M2280" s="193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94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61"/>
        <v/>
      </c>
      <c r="C2281" s="190"/>
      <c r="D2281" s="190"/>
      <c r="E2281" s="846"/>
      <c r="F2281" s="191"/>
      <c r="G2281" s="491"/>
      <c r="H2281" s="192"/>
      <c r="I2281" s="253"/>
      <c r="J2281" s="253"/>
      <c r="K2281" s="606"/>
      <c r="L2281" s="193"/>
      <c r="M2281" s="193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94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61"/>
        <v/>
      </c>
      <c r="C2282" s="190"/>
      <c r="D2282" s="190"/>
      <c r="E2282" s="846"/>
      <c r="F2282" s="191"/>
      <c r="G2282" s="491"/>
      <c r="H2282" s="192"/>
      <c r="I2282" s="253"/>
      <c r="J2282" s="253"/>
      <c r="K2282" s="606"/>
      <c r="L2282" s="193"/>
      <c r="M2282" s="193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94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61"/>
        <v/>
      </c>
      <c r="C2283" s="190"/>
      <c r="D2283" s="190"/>
      <c r="E2283" s="846"/>
      <c r="F2283" s="191"/>
      <c r="G2283" s="491"/>
      <c r="H2283" s="192"/>
      <c r="I2283" s="253"/>
      <c r="J2283" s="253"/>
      <c r="K2283" s="606"/>
      <c r="L2283" s="193"/>
      <c r="M2283" s="193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94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61"/>
        <v/>
      </c>
      <c r="C2284" s="190"/>
      <c r="D2284" s="190"/>
      <c r="E2284" s="846"/>
      <c r="F2284" s="191"/>
      <c r="G2284" s="491"/>
      <c r="H2284" s="192"/>
      <c r="I2284" s="253"/>
      <c r="J2284" s="253"/>
      <c r="K2284" s="606"/>
      <c r="L2284" s="193"/>
      <c r="M2284" s="193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94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61"/>
        <v/>
      </c>
      <c r="C2285" s="190"/>
      <c r="D2285" s="190"/>
      <c r="E2285" s="846"/>
      <c r="F2285" s="191"/>
      <c r="G2285" s="491"/>
      <c r="H2285" s="192"/>
      <c r="I2285" s="253"/>
      <c r="J2285" s="253"/>
      <c r="K2285" s="606"/>
      <c r="L2285" s="193"/>
      <c r="M2285" s="193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94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61"/>
        <v/>
      </c>
      <c r="C2286" s="190"/>
      <c r="D2286" s="190"/>
      <c r="E2286" s="846"/>
      <c r="F2286" s="191"/>
      <c r="G2286" s="491"/>
      <c r="H2286" s="192"/>
      <c r="I2286" s="253"/>
      <c r="J2286" s="253"/>
      <c r="K2286" s="606"/>
      <c r="L2286" s="193"/>
      <c r="M2286" s="193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94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61"/>
        <v/>
      </c>
      <c r="C2287" s="190"/>
      <c r="D2287" s="190"/>
      <c r="E2287" s="846"/>
      <c r="F2287" s="191"/>
      <c r="G2287" s="491"/>
      <c r="H2287" s="192"/>
      <c r="I2287" s="253"/>
      <c r="J2287" s="253"/>
      <c r="K2287" s="606"/>
      <c r="L2287" s="193"/>
      <c r="M2287" s="193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94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61"/>
        <v/>
      </c>
      <c r="C2288" s="190"/>
      <c r="D2288" s="190"/>
      <c r="E2288" s="846"/>
      <c r="F2288" s="191"/>
      <c r="G2288" s="491"/>
      <c r="H2288" s="192"/>
      <c r="I2288" s="253"/>
      <c r="J2288" s="253"/>
      <c r="K2288" s="606"/>
      <c r="L2288" s="193"/>
      <c r="M2288" s="193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94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61"/>
        <v/>
      </c>
      <c r="C2289" s="190"/>
      <c r="D2289" s="37"/>
      <c r="E2289" s="774"/>
      <c r="F2289" s="40"/>
      <c r="G2289" s="40"/>
      <c r="H2289" s="7"/>
      <c r="I2289" s="253"/>
      <c r="J2289" s="253"/>
      <c r="K2289" s="606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94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61"/>
        <v/>
      </c>
      <c r="C2290" s="190"/>
      <c r="D2290" s="37"/>
      <c r="E2290" s="774"/>
      <c r="F2290" s="40"/>
      <c r="G2290" s="40"/>
      <c r="H2290" s="7"/>
      <c r="I2290" s="253"/>
      <c r="J2290" s="253"/>
      <c r="K2290" s="606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94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61"/>
        <v/>
      </c>
      <c r="C2291" s="190"/>
      <c r="D2291" s="37"/>
      <c r="E2291" s="774"/>
      <c r="F2291" s="40"/>
      <c r="G2291" s="40"/>
      <c r="H2291" s="7"/>
      <c r="I2291" s="253"/>
      <c r="J2291" s="253"/>
      <c r="K2291" s="606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94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61"/>
        <v/>
      </c>
      <c r="C2292" s="190"/>
      <c r="D2292" s="37"/>
      <c r="E2292" s="774"/>
      <c r="F2292" s="40"/>
      <c r="G2292" s="40"/>
      <c r="H2292" s="7"/>
      <c r="I2292" s="253"/>
      <c r="J2292" s="253"/>
      <c r="K2292" s="606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94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61"/>
        <v/>
      </c>
      <c r="C2293" s="190"/>
      <c r="D2293" s="37"/>
      <c r="E2293" s="774"/>
      <c r="F2293" s="40"/>
      <c r="G2293" s="40"/>
      <c r="H2293" s="7"/>
      <c r="I2293" s="253"/>
      <c r="J2293" s="253"/>
      <c r="K2293" s="606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94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61"/>
        <v/>
      </c>
      <c r="C2294" s="190"/>
      <c r="D2294" s="37"/>
      <c r="E2294" s="774"/>
      <c r="F2294" s="40"/>
      <c r="G2294" s="40"/>
      <c r="H2294" s="7"/>
      <c r="I2294" s="253"/>
      <c r="J2294" s="253"/>
      <c r="K2294" s="606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94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si="61"/>
        <v/>
      </c>
      <c r="C2295" s="190"/>
      <c r="D2295" s="37"/>
      <c r="E2295" s="774"/>
      <c r="F2295" s="40"/>
      <c r="G2295" s="40"/>
      <c r="H2295" s="7"/>
      <c r="I2295" s="253"/>
      <c r="J2295" s="253"/>
      <c r="K2295" s="606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94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61"/>
        <v/>
      </c>
      <c r="C2296" s="190"/>
      <c r="D2296" s="37"/>
      <c r="E2296" s="774"/>
      <c r="F2296" s="40"/>
      <c r="G2296" s="40"/>
      <c r="H2296" s="7"/>
      <c r="I2296" s="253"/>
      <c r="J2296" s="253"/>
      <c r="K2296" s="606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94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61"/>
        <v/>
      </c>
      <c r="C2297" s="190"/>
      <c r="D2297" s="37"/>
      <c r="E2297" s="774"/>
      <c r="F2297" s="40"/>
      <c r="G2297" s="40"/>
      <c r="H2297" s="7"/>
      <c r="I2297" s="253"/>
      <c r="J2297" s="253"/>
      <c r="K2297" s="606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94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61"/>
        <v/>
      </c>
      <c r="C2298" s="190"/>
      <c r="D2298" s="37"/>
      <c r="E2298" s="774"/>
      <c r="F2298" s="40"/>
      <c r="G2298" s="40"/>
      <c r="H2298" s="7"/>
      <c r="I2298" s="253"/>
      <c r="J2298" s="253"/>
      <c r="K2298" s="606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94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61"/>
        <v/>
      </c>
      <c r="C2299" s="190"/>
      <c r="D2299" s="37"/>
      <c r="E2299" s="774"/>
      <c r="F2299" s="40"/>
      <c r="G2299" s="40"/>
      <c r="H2299" s="7"/>
      <c r="I2299" s="253"/>
      <c r="J2299" s="253"/>
      <c r="K2299" s="606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94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61"/>
        <v/>
      </c>
      <c r="C2300" s="190"/>
      <c r="D2300" s="37"/>
      <c r="E2300" s="774"/>
      <c r="F2300" s="40"/>
      <c r="G2300" s="40"/>
      <c r="H2300" s="7"/>
      <c r="I2300" s="253"/>
      <c r="J2300" s="253"/>
      <c r="K2300" s="606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94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61"/>
        <v/>
      </c>
      <c r="C2301" s="190"/>
      <c r="D2301" s="37"/>
      <c r="E2301" s="774"/>
      <c r="F2301" s="40"/>
      <c r="G2301" s="40"/>
      <c r="H2301" s="7"/>
      <c r="I2301" s="253"/>
      <c r="J2301" s="253"/>
      <c r="K2301" s="606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94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61"/>
        <v/>
      </c>
      <c r="C2302" s="190"/>
      <c r="D2302" s="37"/>
      <c r="E2302" s="774"/>
      <c r="F2302" s="40"/>
      <c r="G2302" s="40"/>
      <c r="H2302" s="7"/>
      <c r="I2302" s="253"/>
      <c r="J2302" s="253"/>
      <c r="K2302" s="606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94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61"/>
        <v/>
      </c>
      <c r="C2303" s="190"/>
      <c r="D2303" s="37"/>
      <c r="E2303" s="774"/>
      <c r="F2303" s="40"/>
      <c r="G2303" s="40"/>
      <c r="H2303" s="7"/>
      <c r="I2303" s="253"/>
      <c r="J2303" s="253"/>
      <c r="K2303" s="606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94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61"/>
        <v/>
      </c>
      <c r="C2304" s="190"/>
      <c r="D2304" s="37"/>
      <c r="E2304" s="774"/>
      <c r="F2304" s="40"/>
      <c r="G2304" s="40"/>
      <c r="H2304" s="7"/>
      <c r="I2304" s="253"/>
      <c r="J2304" s="253"/>
      <c r="K2304" s="606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94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61"/>
        <v/>
      </c>
      <c r="C2305" s="190"/>
      <c r="D2305" s="37"/>
      <c r="E2305" s="774"/>
      <c r="F2305" s="40"/>
      <c r="G2305" s="40"/>
      <c r="H2305" s="7"/>
      <c r="I2305" s="253"/>
      <c r="J2305" s="253"/>
      <c r="K2305" s="606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94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61"/>
        <v/>
      </c>
      <c r="C2306" s="190"/>
      <c r="D2306" s="37"/>
      <c r="E2306" s="774"/>
      <c r="F2306" s="40"/>
      <c r="G2306" s="40"/>
      <c r="H2306" s="7"/>
      <c r="I2306" s="253"/>
      <c r="J2306" s="253"/>
      <c r="K2306" s="606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94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61"/>
        <v/>
      </c>
      <c r="C2307" s="190"/>
      <c r="D2307" s="37"/>
      <c r="E2307" s="774"/>
      <c r="F2307" s="40"/>
      <c r="G2307" s="40"/>
      <c r="H2307" s="7"/>
      <c r="I2307" s="253"/>
      <c r="J2307" s="253"/>
      <c r="K2307" s="606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94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61"/>
        <v/>
      </c>
      <c r="C2308" s="190"/>
      <c r="D2308" s="37"/>
      <c r="E2308" s="774"/>
      <c r="F2308" s="40"/>
      <c r="G2308" s="40"/>
      <c r="H2308" s="7"/>
      <c r="I2308" s="253"/>
      <c r="J2308" s="253"/>
      <c r="K2308" s="606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94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61"/>
        <v/>
      </c>
      <c r="C2309" s="190"/>
      <c r="D2309" s="37"/>
      <c r="E2309" s="774"/>
      <c r="F2309" s="40"/>
      <c r="G2309" s="40"/>
      <c r="H2309" s="7"/>
      <c r="I2309" s="253"/>
      <c r="J2309" s="253"/>
      <c r="K2309" s="606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94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61"/>
        <v/>
      </c>
      <c r="C2310" s="190"/>
      <c r="D2310" s="37"/>
      <c r="E2310" s="774"/>
      <c r="F2310" s="40"/>
      <c r="G2310" s="40"/>
      <c r="H2310" s="7"/>
      <c r="I2310" s="253"/>
      <c r="J2310" s="253"/>
      <c r="K2310" s="606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94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61"/>
        <v/>
      </c>
      <c r="C2311" s="190"/>
      <c r="D2311" s="37"/>
      <c r="E2311" s="774"/>
      <c r="F2311" s="40"/>
      <c r="G2311" s="40"/>
      <c r="H2311" s="7"/>
      <c r="I2311" s="253"/>
      <c r="J2311" s="253"/>
      <c r="K2311" s="606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94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61"/>
        <v/>
      </c>
      <c r="C2312" s="190"/>
      <c r="D2312" s="37"/>
      <c r="E2312" s="774"/>
      <c r="F2312" s="40"/>
      <c r="G2312" s="40"/>
      <c r="H2312" s="7"/>
      <c r="I2312" s="253"/>
      <c r="J2312" s="253"/>
      <c r="K2312" s="606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94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61"/>
        <v/>
      </c>
      <c r="C2313" s="190"/>
      <c r="D2313" s="37"/>
      <c r="E2313" s="774"/>
      <c r="F2313" s="40"/>
      <c r="G2313" s="40"/>
      <c r="H2313" s="7"/>
      <c r="I2313" s="253"/>
      <c r="J2313" s="253"/>
      <c r="K2313" s="606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94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61"/>
        <v/>
      </c>
      <c r="C2314" s="190"/>
      <c r="D2314" s="37"/>
      <c r="E2314" s="774"/>
      <c r="F2314" s="40"/>
      <c r="G2314" s="40"/>
      <c r="H2314" s="7"/>
      <c r="I2314" s="253"/>
      <c r="J2314" s="253"/>
      <c r="K2314" s="606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94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61"/>
        <v/>
      </c>
      <c r="C2315" s="190"/>
      <c r="D2315" s="37"/>
      <c r="E2315" s="774"/>
      <c r="F2315" s="40"/>
      <c r="G2315" s="40"/>
      <c r="H2315" s="7"/>
      <c r="I2315" s="253"/>
      <c r="J2315" s="253"/>
      <c r="K2315" s="606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94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61"/>
        <v/>
      </c>
      <c r="C2316" s="190"/>
      <c r="D2316" s="37"/>
      <c r="E2316" s="774"/>
      <c r="F2316" s="451"/>
      <c r="G2316" s="40"/>
      <c r="H2316" s="7"/>
      <c r="I2316" s="253"/>
      <c r="J2316" s="253"/>
      <c r="K2316" s="606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94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61"/>
        <v/>
      </c>
      <c r="C2317" s="190"/>
      <c r="D2317" s="37"/>
      <c r="E2317" s="774"/>
      <c r="F2317" s="40"/>
      <c r="G2317" s="40"/>
      <c r="H2317" s="7"/>
      <c r="I2317" s="253"/>
      <c r="J2317" s="253"/>
      <c r="K2317" s="606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94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61"/>
        <v/>
      </c>
      <c r="C2318" s="190"/>
      <c r="D2318" s="37"/>
      <c r="E2318" s="774"/>
      <c r="F2318" s="40"/>
      <c r="G2318" s="40"/>
      <c r="H2318" s="7"/>
      <c r="I2318" s="253"/>
      <c r="J2318" s="253"/>
      <c r="K2318" s="606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94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61"/>
        <v/>
      </c>
      <c r="C2319" s="190"/>
      <c r="D2319" s="37"/>
      <c r="E2319" s="774"/>
      <c r="F2319" s="191"/>
      <c r="G2319" s="491"/>
      <c r="H2319" s="192"/>
      <c r="I2319" s="253"/>
      <c r="J2319" s="253"/>
      <c r="K2319" s="606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94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61"/>
        <v/>
      </c>
      <c r="C2320" s="190"/>
      <c r="D2320" s="37"/>
      <c r="E2320" s="774"/>
      <c r="F2320" s="191"/>
      <c r="G2320" s="491"/>
      <c r="H2320" s="192"/>
      <c r="I2320" s="253"/>
      <c r="J2320" s="253"/>
      <c r="K2320" s="606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94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61"/>
        <v/>
      </c>
      <c r="C2321" s="190"/>
      <c r="D2321" s="37"/>
      <c r="E2321" s="774"/>
      <c r="F2321" s="191"/>
      <c r="G2321" s="491"/>
      <c r="H2321" s="192"/>
      <c r="I2321" s="253"/>
      <c r="J2321" s="253"/>
      <c r="K2321" s="606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94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61"/>
        <v/>
      </c>
      <c r="C2322" s="190"/>
      <c r="D2322" s="37"/>
      <c r="E2322" s="774"/>
      <c r="F2322" s="191"/>
      <c r="G2322" s="491"/>
      <c r="H2322" s="192"/>
      <c r="I2322" s="253"/>
      <c r="J2322" s="253"/>
      <c r="K2322" s="606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94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61"/>
        <v/>
      </c>
      <c r="C2323" s="190"/>
      <c r="D2323" s="37"/>
      <c r="E2323" s="774"/>
      <c r="F2323" s="191"/>
      <c r="G2323" s="491"/>
      <c r="H2323" s="192"/>
      <c r="I2323" s="253"/>
      <c r="J2323" s="253"/>
      <c r="K2323" s="606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94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61"/>
        <v/>
      </c>
      <c r="C2324" s="190"/>
      <c r="D2324" s="37"/>
      <c r="E2324" s="774"/>
      <c r="F2324" s="191"/>
      <c r="G2324" s="491"/>
      <c r="H2324" s="192"/>
      <c r="I2324" s="253"/>
      <c r="J2324" s="253"/>
      <c r="K2324" s="606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94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61"/>
        <v/>
      </c>
      <c r="C2325" s="190"/>
      <c r="D2325" s="37"/>
      <c r="E2325" s="774"/>
      <c r="F2325" s="191"/>
      <c r="G2325" s="491"/>
      <c r="H2325" s="192"/>
      <c r="I2325" s="253"/>
      <c r="J2325" s="253"/>
      <c r="K2325" s="606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94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61"/>
        <v/>
      </c>
      <c r="C2326" s="190"/>
      <c r="D2326" s="37"/>
      <c r="E2326" s="774"/>
      <c r="F2326" s="191"/>
      <c r="G2326" s="491"/>
      <c r="H2326" s="192"/>
      <c r="I2326" s="253"/>
      <c r="J2326" s="253"/>
      <c r="K2326" s="606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94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61"/>
        <v/>
      </c>
      <c r="C2327" s="190"/>
      <c r="D2327" s="37"/>
      <c r="E2327" s="774"/>
      <c r="F2327" s="191"/>
      <c r="G2327" s="491"/>
      <c r="H2327" s="192"/>
      <c r="I2327" s="253"/>
      <c r="J2327" s="253"/>
      <c r="K2327" s="606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94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61"/>
        <v/>
      </c>
      <c r="C2328" s="190"/>
      <c r="D2328" s="37"/>
      <c r="E2328" s="774"/>
      <c r="F2328" s="191"/>
      <c r="G2328" s="491"/>
      <c r="H2328" s="192"/>
      <c r="I2328" s="253"/>
      <c r="J2328" s="253"/>
      <c r="K2328" s="606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94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ref="B2329:B2392" si="62">IF(C2329&lt;&gt;"",MONTH(C2329),"")</f>
        <v/>
      </c>
      <c r="C2329" s="190"/>
      <c r="D2329" s="37"/>
      <c r="E2329" s="774"/>
      <c r="F2329" s="191"/>
      <c r="G2329" s="491"/>
      <c r="H2329" s="192"/>
      <c r="I2329" s="253"/>
      <c r="J2329" s="253"/>
      <c r="K2329" s="606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94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62"/>
        <v/>
      </c>
      <c r="C2330" s="190"/>
      <c r="D2330" s="37"/>
      <c r="E2330" s="774"/>
      <c r="F2330" s="191"/>
      <c r="G2330" s="491"/>
      <c r="H2330" s="192"/>
      <c r="I2330" s="253"/>
      <c r="J2330" s="253"/>
      <c r="K2330" s="606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94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62"/>
        <v/>
      </c>
      <c r="C2331" s="190"/>
      <c r="D2331" s="37"/>
      <c r="E2331" s="774"/>
      <c r="F2331" s="191"/>
      <c r="G2331" s="491"/>
      <c r="H2331" s="192"/>
      <c r="I2331" s="253"/>
      <c r="J2331" s="253"/>
      <c r="K2331" s="606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94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62"/>
        <v/>
      </c>
      <c r="C2332" s="190"/>
      <c r="D2332" s="37"/>
      <c r="E2332" s="774"/>
      <c r="F2332" s="191"/>
      <c r="G2332" s="491"/>
      <c r="H2332" s="192"/>
      <c r="I2332" s="253"/>
      <c r="J2332" s="253"/>
      <c r="K2332" s="606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94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62"/>
        <v/>
      </c>
      <c r="C2333" s="190"/>
      <c r="D2333" s="37"/>
      <c r="E2333" s="774"/>
      <c r="F2333" s="191"/>
      <c r="G2333" s="491"/>
      <c r="H2333" s="192"/>
      <c r="I2333" s="253"/>
      <c r="J2333" s="253"/>
      <c r="K2333" s="606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94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62"/>
        <v/>
      </c>
      <c r="C2334" s="190"/>
      <c r="D2334" s="37"/>
      <c r="E2334" s="774"/>
      <c r="F2334" s="191"/>
      <c r="G2334" s="491"/>
      <c r="H2334" s="192"/>
      <c r="I2334" s="253"/>
      <c r="J2334" s="253"/>
      <c r="K2334" s="606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94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62"/>
        <v/>
      </c>
      <c r="C2335" s="190"/>
      <c r="D2335" s="37"/>
      <c r="E2335" s="774"/>
      <c r="F2335" s="191"/>
      <c r="G2335" s="491"/>
      <c r="H2335" s="192"/>
      <c r="I2335" s="253"/>
      <c r="J2335" s="253"/>
      <c r="K2335" s="606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94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62"/>
        <v/>
      </c>
      <c r="C2336" s="190"/>
      <c r="D2336" s="37"/>
      <c r="E2336" s="774"/>
      <c r="F2336" s="191"/>
      <c r="G2336" s="491"/>
      <c r="H2336" s="192"/>
      <c r="I2336" s="253"/>
      <c r="J2336" s="253"/>
      <c r="K2336" s="606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94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62"/>
        <v/>
      </c>
      <c r="C2337" s="190"/>
      <c r="D2337" s="37"/>
      <c r="E2337" s="774"/>
      <c r="F2337" s="191"/>
      <c r="G2337" s="491"/>
      <c r="H2337" s="192"/>
      <c r="I2337" s="253"/>
      <c r="J2337" s="253"/>
      <c r="K2337" s="606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94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62"/>
        <v/>
      </c>
      <c r="C2338" s="190"/>
      <c r="D2338" s="37"/>
      <c r="E2338" s="774"/>
      <c r="F2338" s="191"/>
      <c r="G2338" s="491"/>
      <c r="H2338" s="192"/>
      <c r="I2338" s="253"/>
      <c r="J2338" s="253"/>
      <c r="K2338" s="606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94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62"/>
        <v/>
      </c>
      <c r="C2339" s="190"/>
      <c r="D2339" s="37"/>
      <c r="E2339" s="774"/>
      <c r="F2339" s="191"/>
      <c r="G2339" s="491"/>
      <c r="H2339" s="192"/>
      <c r="I2339" s="253"/>
      <c r="J2339" s="253"/>
      <c r="K2339" s="606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94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62"/>
        <v/>
      </c>
      <c r="C2340" s="190"/>
      <c r="D2340" s="37"/>
      <c r="E2340" s="774"/>
      <c r="F2340" s="191"/>
      <c r="G2340" s="491"/>
      <c r="H2340" s="192"/>
      <c r="I2340" s="253"/>
      <c r="J2340" s="253"/>
      <c r="K2340" s="606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94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62"/>
        <v/>
      </c>
      <c r="C2341" s="190"/>
      <c r="D2341" s="37"/>
      <c r="E2341" s="774"/>
      <c r="F2341" s="191"/>
      <c r="G2341" s="491"/>
      <c r="H2341" s="192"/>
      <c r="I2341" s="253"/>
      <c r="J2341" s="253"/>
      <c r="K2341" s="606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94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62"/>
        <v/>
      </c>
      <c r="C2342" s="190"/>
      <c r="D2342" s="37"/>
      <c r="E2342" s="774"/>
      <c r="F2342" s="191"/>
      <c r="G2342" s="491"/>
      <c r="H2342" s="192"/>
      <c r="I2342" s="253"/>
      <c r="J2342" s="253"/>
      <c r="K2342" s="606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94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62"/>
        <v/>
      </c>
      <c r="C2343" s="190"/>
      <c r="D2343" s="37"/>
      <c r="E2343" s="774"/>
      <c r="F2343" s="191"/>
      <c r="G2343" s="491"/>
      <c r="H2343" s="192"/>
      <c r="I2343" s="253"/>
      <c r="J2343" s="253"/>
      <c r="K2343" s="606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94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62"/>
        <v/>
      </c>
      <c r="C2344" s="190"/>
      <c r="D2344" s="37"/>
      <c r="E2344" s="774"/>
      <c r="F2344" s="191"/>
      <c r="G2344" s="491"/>
      <c r="H2344" s="192"/>
      <c r="I2344" s="253"/>
      <c r="J2344" s="253"/>
      <c r="K2344" s="606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94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62"/>
        <v/>
      </c>
      <c r="C2345" s="190"/>
      <c r="D2345" s="37"/>
      <c r="E2345" s="774"/>
      <c r="F2345" s="191"/>
      <c r="G2345" s="491"/>
      <c r="H2345" s="192"/>
      <c r="I2345" s="253"/>
      <c r="J2345" s="253"/>
      <c r="K2345" s="606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94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62"/>
        <v/>
      </c>
      <c r="C2346" s="190"/>
      <c r="D2346" s="37"/>
      <c r="E2346" s="774"/>
      <c r="F2346" s="191"/>
      <c r="G2346" s="491"/>
      <c r="H2346" s="192"/>
      <c r="I2346" s="253"/>
      <c r="J2346" s="253"/>
      <c r="K2346" s="606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94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62"/>
        <v/>
      </c>
      <c r="C2347" s="190"/>
      <c r="D2347" s="37"/>
      <c r="E2347" s="774"/>
      <c r="F2347" s="191"/>
      <c r="G2347" s="491"/>
      <c r="H2347" s="192"/>
      <c r="I2347" s="253"/>
      <c r="J2347" s="253"/>
      <c r="K2347" s="606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94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62"/>
        <v/>
      </c>
      <c r="C2348" s="190"/>
      <c r="D2348" s="37"/>
      <c r="E2348" s="774"/>
      <c r="F2348" s="191"/>
      <c r="G2348" s="491"/>
      <c r="H2348" s="192"/>
      <c r="I2348" s="253"/>
      <c r="J2348" s="253"/>
      <c r="K2348" s="606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94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62"/>
        <v/>
      </c>
      <c r="C2349" s="190"/>
      <c r="D2349" s="190"/>
      <c r="E2349" s="774"/>
      <c r="F2349" s="40"/>
      <c r="G2349" s="40"/>
      <c r="H2349" s="7"/>
      <c r="I2349" s="253"/>
      <c r="J2349" s="253"/>
      <c r="K2349" s="606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94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62"/>
        <v/>
      </c>
      <c r="C2350" s="190"/>
      <c r="D2350" s="190"/>
      <c r="E2350" s="774"/>
      <c r="F2350" s="40"/>
      <c r="G2350" s="40"/>
      <c r="H2350" s="7"/>
      <c r="I2350" s="253"/>
      <c r="J2350" s="253"/>
      <c r="K2350" s="606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94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62"/>
        <v/>
      </c>
      <c r="C2351" s="190"/>
      <c r="D2351" s="190"/>
      <c r="E2351" s="774"/>
      <c r="F2351" s="188"/>
      <c r="G2351" s="40"/>
      <c r="H2351" s="7"/>
      <c r="I2351" s="253"/>
      <c r="J2351" s="253"/>
      <c r="K2351" s="606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94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62"/>
        <v/>
      </c>
      <c r="C2352" s="190"/>
      <c r="D2352" s="190"/>
      <c r="E2352" s="774"/>
      <c r="F2352" s="40"/>
      <c r="G2352" s="40"/>
      <c r="H2352" s="7"/>
      <c r="I2352" s="253"/>
      <c r="J2352" s="253"/>
      <c r="K2352" s="606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94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62"/>
        <v/>
      </c>
      <c r="C2353" s="190"/>
      <c r="D2353" s="190"/>
      <c r="E2353" s="774"/>
      <c r="F2353" s="40"/>
      <c r="G2353" s="40"/>
      <c r="H2353" s="7"/>
      <c r="I2353" s="253"/>
      <c r="J2353" s="253"/>
      <c r="K2353" s="606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94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62"/>
        <v/>
      </c>
      <c r="C2354" s="190"/>
      <c r="D2354" s="190"/>
      <c r="E2354" s="774"/>
      <c r="F2354" s="40"/>
      <c r="G2354" s="40"/>
      <c r="H2354" s="7"/>
      <c r="I2354" s="253"/>
      <c r="J2354" s="253"/>
      <c r="K2354" s="606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94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62"/>
        <v/>
      </c>
      <c r="C2355" s="190"/>
      <c r="D2355" s="190"/>
      <c r="E2355" s="774"/>
      <c r="F2355" s="188"/>
      <c r="G2355" s="40"/>
      <c r="H2355" s="7"/>
      <c r="I2355" s="821"/>
      <c r="J2355" s="253"/>
      <c r="K2355" s="606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94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62"/>
        <v/>
      </c>
      <c r="C2356" s="183"/>
      <c r="D2356" s="190"/>
      <c r="E2356" s="856"/>
      <c r="F2356" s="188"/>
      <c r="G2356" s="608"/>
      <c r="H2356" s="192"/>
      <c r="I2356" s="253"/>
      <c r="J2356" s="253"/>
      <c r="K2356" s="606"/>
      <c r="L2356" s="607"/>
      <c r="M2356" s="607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94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62"/>
        <v/>
      </c>
      <c r="C2357" s="183"/>
      <c r="D2357" s="183"/>
      <c r="E2357" s="856"/>
      <c r="F2357" s="188"/>
      <c r="G2357" s="608"/>
      <c r="H2357" s="7"/>
      <c r="I2357" s="253"/>
      <c r="J2357" s="253"/>
      <c r="K2357" s="606"/>
      <c r="L2357" s="607"/>
      <c r="M2357" s="607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94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62"/>
        <v/>
      </c>
      <c r="C2358" s="183"/>
      <c r="D2358" s="183"/>
      <c r="E2358" s="856"/>
      <c r="F2358" s="188"/>
      <c r="G2358" s="608"/>
      <c r="H2358" s="7"/>
      <c r="I2358" s="253"/>
      <c r="J2358" s="253"/>
      <c r="K2358" s="606"/>
      <c r="L2358" s="607"/>
      <c r="M2358" s="607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94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si="62"/>
        <v/>
      </c>
      <c r="C2359" s="183"/>
      <c r="D2359" s="183"/>
      <c r="E2359" s="856"/>
      <c r="F2359" s="188"/>
      <c r="G2359" s="608"/>
      <c r="H2359" s="7"/>
      <c r="I2359" s="253"/>
      <c r="J2359" s="253"/>
      <c r="K2359" s="606"/>
      <c r="L2359" s="607"/>
      <c r="M2359" s="607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94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62"/>
        <v/>
      </c>
      <c r="C2360" s="183"/>
      <c r="D2360" s="183"/>
      <c r="E2360" s="856"/>
      <c r="F2360" s="188"/>
      <c r="G2360" s="608"/>
      <c r="H2360" s="7"/>
      <c r="I2360" s="253"/>
      <c r="J2360" s="253"/>
      <c r="K2360" s="606"/>
      <c r="L2360" s="607"/>
      <c r="M2360" s="607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94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62"/>
        <v/>
      </c>
      <c r="C2361" s="183"/>
      <c r="D2361" s="183"/>
      <c r="E2361" s="856"/>
      <c r="F2361" s="188"/>
      <c r="G2361" s="608"/>
      <c r="H2361" s="7"/>
      <c r="I2361" s="253"/>
      <c r="J2361" s="253"/>
      <c r="K2361" s="606"/>
      <c r="L2361" s="607"/>
      <c r="M2361" s="607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94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62"/>
        <v/>
      </c>
      <c r="C2362" s="190"/>
      <c r="D2362" s="190"/>
      <c r="E2362" s="846"/>
      <c r="F2362" s="191"/>
      <c r="G2362" s="491"/>
      <c r="H2362" s="7"/>
      <c r="I2362" s="253"/>
      <c r="J2362" s="253"/>
      <c r="K2362" s="606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94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62"/>
        <v/>
      </c>
      <c r="C2363" s="190"/>
      <c r="D2363" s="190"/>
      <c r="E2363" s="846"/>
      <c r="F2363" s="191"/>
      <c r="G2363" s="491"/>
      <c r="H2363" s="7"/>
      <c r="I2363" s="253"/>
      <c r="J2363" s="253"/>
      <c r="K2363" s="38"/>
      <c r="L2363" s="193"/>
      <c r="M2363" s="193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94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62"/>
        <v/>
      </c>
      <c r="C2364" s="190"/>
      <c r="D2364" s="190"/>
      <c r="E2364" s="846"/>
      <c r="F2364" s="191"/>
      <c r="G2364" s="491"/>
      <c r="H2364" s="192"/>
      <c r="I2364" s="253"/>
      <c r="J2364" s="253"/>
      <c r="K2364" s="606"/>
      <c r="L2364" s="193"/>
      <c r="M2364" s="193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94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62"/>
        <v/>
      </c>
      <c r="C2365" s="190"/>
      <c r="D2365" s="190"/>
      <c r="E2365" s="846"/>
      <c r="F2365" s="191"/>
      <c r="G2365" s="491"/>
      <c r="H2365" s="192"/>
      <c r="I2365" s="253"/>
      <c r="J2365" s="253"/>
      <c r="K2365" s="38"/>
      <c r="L2365" s="193"/>
      <c r="M2365" s="193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94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62"/>
        <v/>
      </c>
      <c r="C2366" s="190"/>
      <c r="D2366" s="190"/>
      <c r="E2366" s="846"/>
      <c r="F2366" s="191"/>
      <c r="G2366" s="491"/>
      <c r="H2366" s="192"/>
      <c r="I2366" s="253"/>
      <c r="J2366" s="253"/>
      <c r="K2366" s="606"/>
      <c r="L2366" s="193"/>
      <c r="M2366" s="193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94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62"/>
        <v/>
      </c>
      <c r="C2367" s="190"/>
      <c r="D2367" s="190"/>
      <c r="E2367" s="846"/>
      <c r="F2367" s="191"/>
      <c r="G2367" s="491"/>
      <c r="H2367" s="192"/>
      <c r="I2367" s="253"/>
      <c r="J2367" s="253"/>
      <c r="K2367" s="606"/>
      <c r="L2367" s="193"/>
      <c r="M2367" s="193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94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62"/>
        <v/>
      </c>
      <c r="C2368" s="190"/>
      <c r="D2368" s="190"/>
      <c r="E2368" s="846"/>
      <c r="F2368" s="191"/>
      <c r="G2368" s="491"/>
      <c r="H2368" s="192"/>
      <c r="I2368" s="253"/>
      <c r="J2368" s="253"/>
      <c r="K2368" s="606"/>
      <c r="L2368" s="193"/>
      <c r="M2368" s="193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94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62"/>
        <v/>
      </c>
      <c r="C2369" s="190"/>
      <c r="D2369" s="190"/>
      <c r="E2369" s="846"/>
      <c r="F2369" s="191"/>
      <c r="G2369" s="491"/>
      <c r="H2369" s="192"/>
      <c r="I2369" s="253"/>
      <c r="J2369" s="253"/>
      <c r="K2369" s="606"/>
      <c r="L2369" s="193"/>
      <c r="M2369" s="193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94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62"/>
        <v/>
      </c>
      <c r="C2370" s="190"/>
      <c r="D2370" s="190"/>
      <c r="E2370" s="846"/>
      <c r="F2370" s="191"/>
      <c r="G2370" s="491"/>
      <c r="H2370" s="192"/>
      <c r="I2370" s="253"/>
      <c r="J2370" s="253"/>
      <c r="K2370" s="606"/>
      <c r="L2370" s="193"/>
      <c r="M2370" s="193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94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62"/>
        <v/>
      </c>
      <c r="C2371" s="190"/>
      <c r="D2371" s="190"/>
      <c r="E2371" s="846"/>
      <c r="F2371" s="191"/>
      <c r="G2371" s="491"/>
      <c r="H2371" s="192"/>
      <c r="I2371" s="253"/>
      <c r="J2371" s="253"/>
      <c r="K2371" s="606"/>
      <c r="L2371" s="193"/>
      <c r="M2371" s="193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94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62"/>
        <v/>
      </c>
      <c r="C2372" s="190"/>
      <c r="D2372" s="190"/>
      <c r="E2372" s="846"/>
      <c r="F2372" s="191"/>
      <c r="G2372" s="491"/>
      <c r="H2372" s="192"/>
      <c r="I2372" s="253"/>
      <c r="J2372" s="253"/>
      <c r="K2372" s="606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94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62"/>
        <v/>
      </c>
      <c r="C2373" s="190"/>
      <c r="D2373" s="190"/>
      <c r="E2373" s="846"/>
      <c r="F2373" s="191"/>
      <c r="G2373" s="491"/>
      <c r="H2373" s="192"/>
      <c r="I2373" s="253"/>
      <c r="J2373" s="253"/>
      <c r="K2373" s="606"/>
      <c r="L2373" s="193"/>
      <c r="M2373" s="193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94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62"/>
        <v/>
      </c>
      <c r="C2374" s="190"/>
      <c r="D2374" s="37"/>
      <c r="E2374" s="774"/>
      <c r="F2374" s="40"/>
      <c r="G2374" s="40"/>
      <c r="H2374" s="7"/>
      <c r="I2374" s="253"/>
      <c r="J2374" s="253"/>
      <c r="K2374" s="606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94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62"/>
        <v/>
      </c>
      <c r="C2375" s="190"/>
      <c r="D2375" s="37"/>
      <c r="E2375" s="774"/>
      <c r="F2375" s="40"/>
      <c r="G2375" s="40"/>
      <c r="H2375" s="7"/>
      <c r="I2375" s="253"/>
      <c r="J2375" s="253"/>
      <c r="K2375" s="606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94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62"/>
        <v/>
      </c>
      <c r="C2376" s="190"/>
      <c r="D2376" s="37"/>
      <c r="E2376" s="774"/>
      <c r="F2376" s="40"/>
      <c r="G2376" s="40"/>
      <c r="H2376" s="7"/>
      <c r="I2376" s="253"/>
      <c r="J2376" s="253"/>
      <c r="K2376" s="606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94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62"/>
        <v/>
      </c>
      <c r="C2377" s="190"/>
      <c r="D2377" s="37"/>
      <c r="E2377" s="774"/>
      <c r="F2377" s="40"/>
      <c r="G2377" s="40"/>
      <c r="H2377" s="7"/>
      <c r="I2377" s="253"/>
      <c r="J2377" s="253"/>
      <c r="K2377" s="606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94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62"/>
        <v/>
      </c>
      <c r="C2378" s="190"/>
      <c r="D2378" s="37"/>
      <c r="E2378" s="774"/>
      <c r="F2378" s="40"/>
      <c r="G2378" s="40"/>
      <c r="H2378" s="7"/>
      <c r="I2378" s="253"/>
      <c r="J2378" s="253"/>
      <c r="K2378" s="606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94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62"/>
        <v/>
      </c>
      <c r="C2379" s="190"/>
      <c r="D2379" s="37"/>
      <c r="E2379" s="774"/>
      <c r="F2379" s="40"/>
      <c r="G2379" s="40"/>
      <c r="H2379" s="7"/>
      <c r="I2379" s="253"/>
      <c r="J2379" s="253"/>
      <c r="K2379" s="606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94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62"/>
        <v/>
      </c>
      <c r="C2380" s="190"/>
      <c r="D2380" s="37"/>
      <c r="E2380" s="774"/>
      <c r="F2380" s="40"/>
      <c r="G2380" s="40"/>
      <c r="H2380" s="7"/>
      <c r="I2380" s="253"/>
      <c r="J2380" s="253"/>
      <c r="K2380" s="606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94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62"/>
        <v/>
      </c>
      <c r="C2381" s="190"/>
      <c r="D2381" s="37"/>
      <c r="E2381" s="774"/>
      <c r="F2381" s="191"/>
      <c r="G2381" s="491"/>
      <c r="H2381" s="192"/>
      <c r="I2381" s="253"/>
      <c r="J2381" s="253"/>
      <c r="K2381" s="606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94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62"/>
        <v/>
      </c>
      <c r="C2382" s="190"/>
      <c r="D2382" s="37"/>
      <c r="E2382" s="774"/>
      <c r="F2382" s="191"/>
      <c r="G2382" s="491"/>
      <c r="H2382" s="192"/>
      <c r="I2382" s="253"/>
      <c r="J2382" s="253"/>
      <c r="K2382" s="606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94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62"/>
        <v/>
      </c>
      <c r="C2383" s="190"/>
      <c r="D2383" s="37"/>
      <c r="E2383" s="774"/>
      <c r="F2383" s="191"/>
      <c r="G2383" s="491"/>
      <c r="H2383" s="192"/>
      <c r="I2383" s="253"/>
      <c r="J2383" s="253"/>
      <c r="K2383" s="606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94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62"/>
        <v/>
      </c>
      <c r="C2384" s="190"/>
      <c r="D2384" s="37"/>
      <c r="E2384" s="774"/>
      <c r="F2384" s="191"/>
      <c r="G2384" s="491"/>
      <c r="H2384" s="192"/>
      <c r="I2384" s="253"/>
      <c r="J2384" s="253"/>
      <c r="K2384" s="606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94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62"/>
        <v/>
      </c>
      <c r="C2385" s="190"/>
      <c r="D2385" s="37"/>
      <c r="E2385" s="774"/>
      <c r="F2385" s="191"/>
      <c r="G2385" s="491"/>
      <c r="H2385" s="192"/>
      <c r="I2385" s="253"/>
      <c r="J2385" s="253"/>
      <c r="K2385" s="606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94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62"/>
        <v/>
      </c>
      <c r="C2386" s="190"/>
      <c r="D2386" s="37"/>
      <c r="E2386" s="774"/>
      <c r="F2386" s="191"/>
      <c r="G2386" s="491"/>
      <c r="H2386" s="192"/>
      <c r="I2386" s="253"/>
      <c r="J2386" s="253"/>
      <c r="K2386" s="606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94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62"/>
        <v/>
      </c>
      <c r="C2387" s="190"/>
      <c r="D2387" s="37"/>
      <c r="E2387" s="774"/>
      <c r="F2387" s="191"/>
      <c r="G2387" s="491"/>
      <c r="H2387" s="192"/>
      <c r="I2387" s="253"/>
      <c r="J2387" s="253"/>
      <c r="K2387" s="606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94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62"/>
        <v/>
      </c>
      <c r="C2388" s="190"/>
      <c r="D2388" s="190"/>
      <c r="E2388" s="846"/>
      <c r="F2388" s="191"/>
      <c r="G2388" s="491"/>
      <c r="H2388" s="192"/>
      <c r="I2388" s="253"/>
      <c r="J2388" s="253"/>
      <c r="K2388" s="606"/>
      <c r="L2388" s="193"/>
      <c r="M2388" s="193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94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62"/>
        <v/>
      </c>
      <c r="C2389" s="190"/>
      <c r="D2389" s="190"/>
      <c r="E2389" s="846"/>
      <c r="F2389" s="191"/>
      <c r="G2389" s="491"/>
      <c r="H2389" s="192"/>
      <c r="I2389" s="253"/>
      <c r="J2389" s="253"/>
      <c r="K2389" s="38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94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62"/>
        <v/>
      </c>
      <c r="C2390" s="190"/>
      <c r="D2390" s="190"/>
      <c r="E2390" s="846"/>
      <c r="F2390" s="191"/>
      <c r="G2390" s="491"/>
      <c r="H2390" s="7"/>
      <c r="I2390" s="254"/>
      <c r="J2390" s="254"/>
      <c r="K2390" s="606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94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62"/>
        <v/>
      </c>
      <c r="C2391" s="190"/>
      <c r="D2391" s="190"/>
      <c r="E2391" s="846"/>
      <c r="F2391" s="191"/>
      <c r="G2391" s="491"/>
      <c r="H2391" s="7"/>
      <c r="I2391" s="254"/>
      <c r="J2391" s="254"/>
      <c r="K2391" s="38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94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62"/>
        <v/>
      </c>
      <c r="C2392" s="183"/>
      <c r="D2392" s="183"/>
      <c r="E2392" s="856"/>
      <c r="F2392" s="188"/>
      <c r="G2392" s="608"/>
      <c r="H2392" s="7"/>
      <c r="I2392" s="253"/>
      <c r="J2392" s="253"/>
      <c r="K2392" s="606"/>
      <c r="L2392" s="607"/>
      <c r="M2392" s="607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94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ref="B2393:B2456" si="63">IF(C2393&lt;&gt;"",MONTH(C2393),"")</f>
        <v/>
      </c>
      <c r="C2393" s="190"/>
      <c r="D2393" s="190"/>
      <c r="E2393" s="846"/>
      <c r="F2393" s="191"/>
      <c r="G2393" s="491"/>
      <c r="H2393" s="192"/>
      <c r="I2393" s="253"/>
      <c r="J2393" s="253"/>
      <c r="K2393" s="606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94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63"/>
        <v/>
      </c>
      <c r="C2394" s="190"/>
      <c r="D2394" s="190"/>
      <c r="E2394" s="846"/>
      <c r="F2394" s="191"/>
      <c r="G2394" s="491"/>
      <c r="H2394" s="192"/>
      <c r="I2394" s="253"/>
      <c r="J2394" s="253"/>
      <c r="K2394" s="606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94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63"/>
        <v/>
      </c>
      <c r="C2395" s="190"/>
      <c r="D2395" s="190"/>
      <c r="E2395" s="846"/>
      <c r="F2395" s="191"/>
      <c r="G2395" s="491"/>
      <c r="H2395" s="192"/>
      <c r="I2395" s="253"/>
      <c r="J2395" s="253"/>
      <c r="K2395" s="606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94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63"/>
        <v/>
      </c>
      <c r="C2396" s="190"/>
      <c r="D2396" s="190"/>
      <c r="E2396" s="846"/>
      <c r="F2396" s="191"/>
      <c r="G2396" s="491"/>
      <c r="H2396" s="192"/>
      <c r="I2396" s="253"/>
      <c r="J2396" s="253"/>
      <c r="K2396" s="38"/>
      <c r="L2396" s="193"/>
      <c r="M2396" s="193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94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63"/>
        <v/>
      </c>
      <c r="C2397" s="190"/>
      <c r="D2397" s="190"/>
      <c r="E2397" s="774"/>
      <c r="F2397" s="188"/>
      <c r="G2397" s="40"/>
      <c r="H2397" s="7"/>
      <c r="I2397" s="821"/>
      <c r="J2397" s="253"/>
      <c r="K2397" s="606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94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63"/>
        <v/>
      </c>
      <c r="C2398" s="190"/>
      <c r="D2398" s="190"/>
      <c r="E2398" s="774"/>
      <c r="F2398" s="188"/>
      <c r="G2398" s="40"/>
      <c r="H2398" s="7"/>
      <c r="I2398" s="821"/>
      <c r="J2398" s="253"/>
      <c r="K2398" s="606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94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63"/>
        <v/>
      </c>
      <c r="C2399" s="190"/>
      <c r="D2399" s="190"/>
      <c r="E2399" s="774"/>
      <c r="F2399" s="188"/>
      <c r="G2399" s="40"/>
      <c r="H2399" s="7"/>
      <c r="I2399" s="253"/>
      <c r="J2399" s="253"/>
      <c r="K2399" s="606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94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63"/>
        <v/>
      </c>
      <c r="C2400" s="190"/>
      <c r="D2400" s="190"/>
      <c r="E2400" s="774"/>
      <c r="F2400" s="40"/>
      <c r="G2400" s="40"/>
      <c r="H2400" s="7"/>
      <c r="I2400" s="253"/>
      <c r="J2400" s="253"/>
      <c r="K2400" s="606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94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63"/>
        <v/>
      </c>
      <c r="C2401" s="190"/>
      <c r="D2401" s="190"/>
      <c r="E2401" s="774"/>
      <c r="F2401" s="40"/>
      <c r="G2401" s="40"/>
      <c r="H2401" s="7"/>
      <c r="I2401" s="253"/>
      <c r="J2401" s="253"/>
      <c r="K2401" s="606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94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63"/>
        <v/>
      </c>
      <c r="C2402" s="190"/>
      <c r="D2402" s="190"/>
      <c r="E2402" s="846"/>
      <c r="F2402" s="191"/>
      <c r="G2402" s="491"/>
      <c r="H2402" s="192"/>
      <c r="I2402" s="253"/>
      <c r="J2402" s="253"/>
      <c r="K2402" s="606"/>
      <c r="L2402" s="193"/>
      <c r="M2402" s="193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94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63"/>
        <v/>
      </c>
      <c r="C2403" s="190"/>
      <c r="D2403" s="190"/>
      <c r="E2403" s="846"/>
      <c r="F2403" s="191"/>
      <c r="G2403" s="491"/>
      <c r="H2403" s="192"/>
      <c r="I2403" s="253"/>
      <c r="J2403" s="253"/>
      <c r="K2403" s="38"/>
      <c r="L2403" s="193"/>
      <c r="M2403" s="193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94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63"/>
        <v/>
      </c>
      <c r="C2404" s="190"/>
      <c r="D2404" s="190"/>
      <c r="E2404" s="846"/>
      <c r="F2404" s="191"/>
      <c r="G2404" s="491"/>
      <c r="H2404" s="45"/>
      <c r="I2404" s="253"/>
      <c r="J2404" s="253"/>
      <c r="K2404" s="38"/>
      <c r="L2404" s="193"/>
      <c r="M2404" s="607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94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63"/>
        <v/>
      </c>
      <c r="C2405" s="190"/>
      <c r="D2405" s="190"/>
      <c r="E2405" s="846"/>
      <c r="F2405" s="191"/>
      <c r="G2405" s="491"/>
      <c r="H2405" s="192"/>
      <c r="I2405" s="253"/>
      <c r="J2405" s="253"/>
      <c r="K2405" s="606"/>
      <c r="L2405" s="193"/>
      <c r="M2405" s="193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94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63"/>
        <v/>
      </c>
      <c r="C2406" s="190"/>
      <c r="D2406" s="190"/>
      <c r="E2406" s="846"/>
      <c r="F2406" s="191"/>
      <c r="G2406" s="491"/>
      <c r="H2406" s="192"/>
      <c r="I2406" s="253"/>
      <c r="J2406" s="253"/>
      <c r="K2406" s="606"/>
      <c r="L2406" s="193"/>
      <c r="M2406" s="193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94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63"/>
        <v/>
      </c>
      <c r="C2407" s="190"/>
      <c r="D2407" s="190"/>
      <c r="E2407" s="846"/>
      <c r="F2407" s="191"/>
      <c r="G2407" s="491"/>
      <c r="H2407" s="192"/>
      <c r="I2407" s="253"/>
      <c r="J2407" s="253"/>
      <c r="K2407" s="38"/>
      <c r="L2407" s="193"/>
      <c r="M2407" s="193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94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63"/>
        <v/>
      </c>
      <c r="C2408" s="183"/>
      <c r="D2408" s="183"/>
      <c r="E2408" s="846"/>
      <c r="F2408" s="188"/>
      <c r="G2408" s="608"/>
      <c r="H2408" s="7"/>
      <c r="I2408" s="253"/>
      <c r="J2408" s="253"/>
      <c r="K2408" s="606"/>
      <c r="L2408" s="607"/>
      <c r="M2408" s="607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94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63"/>
        <v/>
      </c>
      <c r="C2409" s="183"/>
      <c r="D2409" s="183"/>
      <c r="E2409" s="846"/>
      <c r="F2409" s="188"/>
      <c r="G2409" s="608"/>
      <c r="H2409" s="7"/>
      <c r="I2409" s="253"/>
      <c r="J2409" s="253"/>
      <c r="K2409" s="606"/>
      <c r="L2409" s="607"/>
      <c r="M2409" s="607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94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63"/>
        <v/>
      </c>
      <c r="C2410" s="183"/>
      <c r="D2410" s="183"/>
      <c r="E2410" s="846"/>
      <c r="F2410" s="188"/>
      <c r="G2410" s="608"/>
      <c r="H2410" s="7"/>
      <c r="I2410" s="253"/>
      <c r="J2410" s="253"/>
      <c r="K2410" s="606"/>
      <c r="L2410" s="607"/>
      <c r="M2410" s="607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94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63"/>
        <v/>
      </c>
      <c r="C2411" s="190"/>
      <c r="D2411" s="190"/>
      <c r="E2411" s="846"/>
      <c r="F2411" s="191"/>
      <c r="G2411" s="491"/>
      <c r="H2411" s="192"/>
      <c r="I2411" s="253"/>
      <c r="J2411" s="253"/>
      <c r="K2411" s="606"/>
      <c r="L2411" s="193"/>
      <c r="M2411" s="193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94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63"/>
        <v/>
      </c>
      <c r="C2412" s="190"/>
      <c r="D2412" s="190"/>
      <c r="E2412" s="846"/>
      <c r="F2412" s="191"/>
      <c r="G2412" s="491"/>
      <c r="H2412" s="192"/>
      <c r="I2412" s="253"/>
      <c r="J2412" s="253"/>
      <c r="K2412" s="606"/>
      <c r="L2412" s="193"/>
      <c r="M2412" s="193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94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63"/>
        <v/>
      </c>
      <c r="C2413" s="190"/>
      <c r="D2413" s="190"/>
      <c r="E2413" s="846"/>
      <c r="F2413" s="191"/>
      <c r="G2413" s="491"/>
      <c r="H2413" s="192"/>
      <c r="I2413" s="253"/>
      <c r="J2413" s="253"/>
      <c r="K2413" s="606"/>
      <c r="L2413" s="193"/>
      <c r="M2413" s="193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94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63"/>
        <v/>
      </c>
      <c r="C2414" s="190"/>
      <c r="D2414" s="190"/>
      <c r="E2414" s="846"/>
      <c r="F2414" s="191"/>
      <c r="G2414" s="491"/>
      <c r="H2414" s="192"/>
      <c r="I2414" s="253"/>
      <c r="J2414" s="253"/>
      <c r="K2414" s="606"/>
      <c r="L2414" s="193"/>
      <c r="M2414" s="193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94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63"/>
        <v/>
      </c>
      <c r="C2415" s="190"/>
      <c r="D2415" s="190"/>
      <c r="E2415" s="846"/>
      <c r="F2415" s="191"/>
      <c r="G2415" s="491"/>
      <c r="H2415" s="192"/>
      <c r="I2415" s="253"/>
      <c r="J2415" s="253"/>
      <c r="K2415" s="606"/>
      <c r="L2415" s="193"/>
      <c r="M2415" s="193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94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63"/>
        <v/>
      </c>
      <c r="C2416" s="190"/>
      <c r="D2416" s="190"/>
      <c r="E2416" s="846"/>
      <c r="F2416" s="191"/>
      <c r="G2416" s="491"/>
      <c r="H2416" s="192"/>
      <c r="I2416" s="253"/>
      <c r="J2416" s="253"/>
      <c r="K2416" s="606"/>
      <c r="L2416" s="193"/>
      <c r="M2416" s="193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94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63"/>
        <v/>
      </c>
      <c r="C2417" s="190"/>
      <c r="D2417" s="190"/>
      <c r="E2417" s="846"/>
      <c r="F2417" s="191"/>
      <c r="G2417" s="491"/>
      <c r="H2417" s="192"/>
      <c r="I2417" s="253"/>
      <c r="J2417" s="253"/>
      <c r="K2417" s="606"/>
      <c r="L2417" s="193"/>
      <c r="M2417" s="193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94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63"/>
        <v/>
      </c>
      <c r="C2418" s="190"/>
      <c r="D2418" s="190"/>
      <c r="E2418" s="846"/>
      <c r="F2418" s="191"/>
      <c r="G2418" s="491"/>
      <c r="H2418" s="192"/>
      <c r="I2418" s="253"/>
      <c r="J2418" s="253"/>
      <c r="K2418" s="606"/>
      <c r="L2418" s="193"/>
      <c r="M2418" s="193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94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63"/>
        <v/>
      </c>
      <c r="C2419" s="190"/>
      <c r="D2419" s="190"/>
      <c r="E2419" s="846"/>
      <c r="F2419" s="191"/>
      <c r="G2419" s="491"/>
      <c r="H2419" s="192"/>
      <c r="I2419" s="253"/>
      <c r="J2419" s="253"/>
      <c r="K2419" s="38"/>
      <c r="L2419" s="193"/>
      <c r="M2419" s="193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94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63"/>
        <v/>
      </c>
      <c r="C2420" s="190"/>
      <c r="D2420" s="190"/>
      <c r="E2420" s="846"/>
      <c r="F2420" s="191"/>
      <c r="G2420" s="491"/>
      <c r="H2420" s="192"/>
      <c r="I2420" s="253"/>
      <c r="J2420" s="253"/>
      <c r="K2420" s="606"/>
      <c r="L2420" s="193"/>
      <c r="M2420" s="193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94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63"/>
        <v/>
      </c>
      <c r="C2421" s="190"/>
      <c r="D2421" s="190"/>
      <c r="E2421" s="846"/>
      <c r="F2421" s="191"/>
      <c r="G2421" s="491"/>
      <c r="H2421" s="192"/>
      <c r="I2421" s="253"/>
      <c r="J2421" s="253"/>
      <c r="K2421" s="606"/>
      <c r="L2421" s="193"/>
      <c r="M2421" s="193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94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63"/>
        <v/>
      </c>
      <c r="C2422" s="190"/>
      <c r="D2422" s="190"/>
      <c r="E2422" s="846"/>
      <c r="F2422" s="191"/>
      <c r="G2422" s="491"/>
      <c r="H2422" s="192"/>
      <c r="I2422" s="253"/>
      <c r="J2422" s="253"/>
      <c r="K2422" s="38"/>
      <c r="L2422" s="193"/>
      <c r="M2422" s="193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94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si="63"/>
        <v/>
      </c>
      <c r="C2423" s="190"/>
      <c r="D2423" s="190"/>
      <c r="E2423" s="846"/>
      <c r="F2423" s="191"/>
      <c r="G2423" s="491"/>
      <c r="H2423" s="192"/>
      <c r="I2423" s="253"/>
      <c r="J2423" s="253"/>
      <c r="K2423" s="606"/>
      <c r="L2423" s="193"/>
      <c r="M2423" s="193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94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63"/>
        <v/>
      </c>
      <c r="C2424" s="190"/>
      <c r="D2424" s="190"/>
      <c r="E2424" s="846"/>
      <c r="F2424" s="191"/>
      <c r="G2424" s="491"/>
      <c r="H2424" s="192"/>
      <c r="I2424" s="253"/>
      <c r="J2424" s="253"/>
      <c r="K2424" s="606"/>
      <c r="L2424" s="193"/>
      <c r="M2424" s="193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94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63"/>
        <v/>
      </c>
      <c r="C2425" s="190"/>
      <c r="D2425" s="190"/>
      <c r="E2425" s="846"/>
      <c r="F2425" s="191"/>
      <c r="G2425" s="491"/>
      <c r="H2425" s="192"/>
      <c r="I2425" s="253"/>
      <c r="J2425" s="253"/>
      <c r="K2425" s="606"/>
      <c r="L2425" s="193"/>
      <c r="M2425" s="193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94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63"/>
        <v/>
      </c>
      <c r="C2426" s="190"/>
      <c r="D2426" s="190"/>
      <c r="E2426" s="846"/>
      <c r="F2426" s="191"/>
      <c r="G2426" s="491"/>
      <c r="H2426" s="192"/>
      <c r="I2426" s="254"/>
      <c r="J2426" s="254"/>
      <c r="K2426" s="606"/>
      <c r="L2426" s="193"/>
      <c r="M2426" s="193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94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63"/>
        <v/>
      </c>
      <c r="C2427" s="190"/>
      <c r="D2427" s="190"/>
      <c r="E2427" s="846"/>
      <c r="F2427" s="191"/>
      <c r="G2427" s="491"/>
      <c r="H2427" s="7"/>
      <c r="I2427" s="253"/>
      <c r="J2427" s="253"/>
      <c r="K2427" s="606"/>
      <c r="L2427" s="193"/>
      <c r="M2427" s="193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94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63"/>
        <v/>
      </c>
      <c r="C2428" s="190"/>
      <c r="D2428" s="190"/>
      <c r="E2428" s="846"/>
      <c r="F2428" s="191"/>
      <c r="G2428" s="491"/>
      <c r="H2428" s="7"/>
      <c r="I2428" s="253"/>
      <c r="J2428" s="253"/>
      <c r="K2428" s="606"/>
      <c r="L2428" s="193"/>
      <c r="M2428" s="193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94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63"/>
        <v/>
      </c>
      <c r="C2429" s="190"/>
      <c r="D2429" s="190"/>
      <c r="E2429" s="846"/>
      <c r="F2429" s="191"/>
      <c r="G2429" s="491"/>
      <c r="H2429" s="7"/>
      <c r="I2429" s="253"/>
      <c r="J2429" s="253"/>
      <c r="K2429" s="606"/>
      <c r="L2429" s="193"/>
      <c r="M2429" s="193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94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63"/>
        <v/>
      </c>
      <c r="C2430" s="190"/>
      <c r="D2430" s="37"/>
      <c r="E2430" s="774"/>
      <c r="F2430" s="40"/>
      <c r="G2430" s="40"/>
      <c r="H2430" s="7"/>
      <c r="I2430" s="253"/>
      <c r="J2430" s="253"/>
      <c r="K2430" s="606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94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63"/>
        <v/>
      </c>
      <c r="C2431" s="190"/>
      <c r="D2431" s="37"/>
      <c r="E2431" s="774"/>
      <c r="F2431" s="40"/>
      <c r="G2431" s="40"/>
      <c r="H2431" s="7"/>
      <c r="I2431" s="253"/>
      <c r="J2431" s="253"/>
      <c r="K2431" s="606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94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63"/>
        <v/>
      </c>
      <c r="C2432" s="190"/>
      <c r="D2432" s="37"/>
      <c r="E2432" s="774"/>
      <c r="F2432" s="40"/>
      <c r="G2432" s="40"/>
      <c r="H2432" s="7"/>
      <c r="I2432" s="253"/>
      <c r="J2432" s="253"/>
      <c r="K2432" s="606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94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63"/>
        <v/>
      </c>
      <c r="C2433" s="190"/>
      <c r="D2433" s="37"/>
      <c r="E2433" s="774"/>
      <c r="F2433" s="40"/>
      <c r="G2433" s="40"/>
      <c r="H2433" s="7"/>
      <c r="I2433" s="253"/>
      <c r="J2433" s="253"/>
      <c r="K2433" s="606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94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63"/>
        <v/>
      </c>
      <c r="C2434" s="190"/>
      <c r="D2434" s="37"/>
      <c r="E2434" s="774"/>
      <c r="F2434" s="40"/>
      <c r="G2434" s="40"/>
      <c r="H2434" s="7"/>
      <c r="I2434" s="253"/>
      <c r="J2434" s="253"/>
      <c r="K2434" s="606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94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63"/>
        <v/>
      </c>
      <c r="C2435" s="190"/>
      <c r="D2435" s="37"/>
      <c r="E2435" s="774"/>
      <c r="F2435" s="191"/>
      <c r="G2435" s="491"/>
      <c r="H2435" s="192"/>
      <c r="I2435" s="253"/>
      <c r="J2435" s="253"/>
      <c r="K2435" s="606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94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63"/>
        <v/>
      </c>
      <c r="C2436" s="190"/>
      <c r="D2436" s="37"/>
      <c r="E2436" s="774"/>
      <c r="F2436" s="191"/>
      <c r="G2436" s="491"/>
      <c r="H2436" s="192"/>
      <c r="I2436" s="253"/>
      <c r="J2436" s="253"/>
      <c r="K2436" s="606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94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63"/>
        <v/>
      </c>
      <c r="C2437" s="190"/>
      <c r="D2437" s="37"/>
      <c r="E2437" s="774"/>
      <c r="F2437" s="191"/>
      <c r="G2437" s="491"/>
      <c r="H2437" s="192"/>
      <c r="I2437" s="253"/>
      <c r="J2437" s="253"/>
      <c r="K2437" s="606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94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63"/>
        <v/>
      </c>
      <c r="C2438" s="190"/>
      <c r="D2438" s="37"/>
      <c r="E2438" s="774"/>
      <c r="F2438" s="191"/>
      <c r="G2438" s="491"/>
      <c r="H2438" s="7"/>
      <c r="I2438" s="253"/>
      <c r="J2438" s="253"/>
      <c r="K2438" s="606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94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63"/>
        <v/>
      </c>
      <c r="C2439" s="190"/>
      <c r="D2439" s="37"/>
      <c r="E2439" s="774"/>
      <c r="F2439" s="191"/>
      <c r="G2439" s="491"/>
      <c r="H2439" s="7"/>
      <c r="I2439" s="253"/>
      <c r="J2439" s="253"/>
      <c r="K2439" s="606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94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63"/>
        <v/>
      </c>
      <c r="C2440" s="183"/>
      <c r="D2440" s="183"/>
      <c r="E2440" s="856"/>
      <c r="F2440" s="188"/>
      <c r="G2440" s="608"/>
      <c r="H2440" s="817"/>
      <c r="I2440" s="253"/>
      <c r="J2440" s="253"/>
      <c r="K2440" s="606"/>
      <c r="L2440" s="607"/>
      <c r="M2440" s="607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94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63"/>
        <v/>
      </c>
      <c r="C2441" s="190"/>
      <c r="D2441" s="190"/>
      <c r="E2441" s="846"/>
      <c r="F2441" s="188"/>
      <c r="G2441" s="40"/>
      <c r="H2441" s="7"/>
      <c r="I2441" s="253"/>
      <c r="J2441" s="253"/>
      <c r="K2441" s="606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94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63"/>
        <v/>
      </c>
      <c r="C2442" s="190"/>
      <c r="D2442" s="190"/>
      <c r="E2442" s="846"/>
      <c r="F2442" s="40"/>
      <c r="G2442" s="40"/>
      <c r="H2442" s="7"/>
      <c r="I2442" s="253"/>
      <c r="J2442" s="253"/>
      <c r="K2442" s="606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94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63"/>
        <v/>
      </c>
      <c r="C2443" s="190"/>
      <c r="D2443" s="190"/>
      <c r="E2443" s="846"/>
      <c r="F2443" s="188"/>
      <c r="G2443" s="40"/>
      <c r="H2443" s="7"/>
      <c r="I2443" s="253"/>
      <c r="J2443" s="253"/>
      <c r="K2443" s="606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94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63"/>
        <v/>
      </c>
      <c r="C2444" s="190"/>
      <c r="D2444" s="190"/>
      <c r="E2444" s="846"/>
      <c r="F2444" s="40"/>
      <c r="G2444" s="40"/>
      <c r="H2444" s="7"/>
      <c r="I2444" s="253"/>
      <c r="J2444" s="253"/>
      <c r="K2444" s="606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94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63"/>
        <v/>
      </c>
      <c r="C2445" s="190"/>
      <c r="D2445" s="190"/>
      <c r="E2445" s="846"/>
      <c r="F2445" s="40"/>
      <c r="G2445" s="40"/>
      <c r="H2445" s="7"/>
      <c r="I2445" s="253"/>
      <c r="J2445" s="253"/>
      <c r="K2445" s="606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94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63"/>
        <v/>
      </c>
      <c r="C2446" s="190"/>
      <c r="D2446" s="190"/>
      <c r="E2446" s="846"/>
      <c r="F2446" s="40"/>
      <c r="G2446" s="40"/>
      <c r="H2446" s="7"/>
      <c r="I2446" s="253"/>
      <c r="J2446" s="253"/>
      <c r="K2446" s="606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94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63"/>
        <v/>
      </c>
      <c r="C2447" s="190"/>
      <c r="D2447" s="190"/>
      <c r="E2447" s="846"/>
      <c r="F2447" s="40"/>
      <c r="G2447" s="40"/>
      <c r="H2447" s="7"/>
      <c r="I2447" s="253"/>
      <c r="J2447" s="253"/>
      <c r="K2447" s="606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94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63"/>
        <v/>
      </c>
      <c r="C2448" s="190"/>
      <c r="D2448" s="190"/>
      <c r="E2448" s="846"/>
      <c r="F2448" s="40"/>
      <c r="G2448" s="40"/>
      <c r="H2448" s="7"/>
      <c r="I2448" s="253"/>
      <c r="J2448" s="253"/>
      <c r="K2448" s="606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94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63"/>
        <v/>
      </c>
      <c r="C2449" s="183"/>
      <c r="D2449" s="183"/>
      <c r="E2449" s="856"/>
      <c r="F2449" s="188"/>
      <c r="G2449" s="608"/>
      <c r="H2449" s="192"/>
      <c r="I2449" s="253"/>
      <c r="J2449" s="253"/>
      <c r="K2449" s="606"/>
      <c r="L2449" s="607"/>
      <c r="M2449" s="607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94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63"/>
        <v/>
      </c>
      <c r="C2450" s="183"/>
      <c r="D2450" s="183"/>
      <c r="E2450" s="856"/>
      <c r="F2450" s="188"/>
      <c r="G2450" s="608"/>
      <c r="H2450" s="192"/>
      <c r="I2450" s="253"/>
      <c r="J2450" s="253"/>
      <c r="K2450" s="606"/>
      <c r="L2450" s="607"/>
      <c r="M2450" s="607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94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63"/>
        <v/>
      </c>
      <c r="C2451" s="190"/>
      <c r="D2451" s="190"/>
      <c r="E2451" s="846"/>
      <c r="F2451" s="191"/>
      <c r="G2451" s="491"/>
      <c r="H2451" s="7"/>
      <c r="I2451" s="253"/>
      <c r="J2451" s="253"/>
      <c r="K2451" s="606"/>
      <c r="L2451" s="193"/>
      <c r="M2451" s="193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94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63"/>
        <v/>
      </c>
      <c r="C2452" s="190"/>
      <c r="D2452" s="190"/>
      <c r="E2452" s="846"/>
      <c r="F2452" s="191"/>
      <c r="G2452" s="491"/>
      <c r="H2452" s="7"/>
      <c r="I2452" s="253"/>
      <c r="J2452" s="253"/>
      <c r="K2452" s="606"/>
      <c r="L2452" s="193"/>
      <c r="M2452" s="193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94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63"/>
        <v/>
      </c>
      <c r="C2453" s="190"/>
      <c r="D2453" s="37"/>
      <c r="E2453" s="846"/>
      <c r="F2453" s="451"/>
      <c r="G2453" s="40"/>
      <c r="H2453" s="7"/>
      <c r="I2453" s="253"/>
      <c r="J2453" s="253"/>
      <c r="K2453" s="606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94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63"/>
        <v/>
      </c>
      <c r="C2454" s="190"/>
      <c r="D2454" s="37"/>
      <c r="E2454" s="846"/>
      <c r="F2454" s="191"/>
      <c r="G2454" s="491"/>
      <c r="H2454" s="7"/>
      <c r="I2454" s="253"/>
      <c r="J2454" s="253"/>
      <c r="K2454" s="606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94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63"/>
        <v/>
      </c>
      <c r="C2455" s="183"/>
      <c r="D2455" s="183"/>
      <c r="E2455" s="856"/>
      <c r="F2455" s="188"/>
      <c r="G2455" s="608"/>
      <c r="H2455" s="192"/>
      <c r="I2455" s="253"/>
      <c r="J2455" s="253"/>
      <c r="K2455" s="606"/>
      <c r="L2455" s="607"/>
      <c r="M2455" s="607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94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63"/>
        <v/>
      </c>
      <c r="C2456" s="190"/>
      <c r="D2456" s="190"/>
      <c r="E2456" s="846"/>
      <c r="F2456" s="191"/>
      <c r="G2456" s="491"/>
      <c r="H2456" s="7"/>
      <c r="I2456" s="254"/>
      <c r="J2456" s="254"/>
      <c r="K2456" s="606"/>
      <c r="L2456" s="193"/>
      <c r="M2456" s="193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94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ref="B2457:B2520" si="64">IF(C2457&lt;&gt;"",MONTH(C2457),"")</f>
        <v/>
      </c>
      <c r="C2457" s="190"/>
      <c r="D2457" s="190"/>
      <c r="E2457" s="846"/>
      <c r="F2457" s="191"/>
      <c r="G2457" s="491"/>
      <c r="H2457" s="7"/>
      <c r="I2457" s="254"/>
      <c r="J2457" s="254"/>
      <c r="K2457" s="38"/>
      <c r="L2457" s="193"/>
      <c r="M2457" s="193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94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64"/>
        <v/>
      </c>
      <c r="C2458" s="190"/>
      <c r="D2458" s="190"/>
      <c r="E2458" s="846"/>
      <c r="F2458" s="40"/>
      <c r="G2458" s="40"/>
      <c r="H2458" s="7"/>
      <c r="I2458" s="253"/>
      <c r="J2458" s="253"/>
      <c r="K2458" s="606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94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64"/>
        <v/>
      </c>
      <c r="C2459" s="190"/>
      <c r="D2459" s="190"/>
      <c r="E2459" s="846"/>
      <c r="F2459" s="188"/>
      <c r="G2459" s="40"/>
      <c r="H2459" s="7"/>
      <c r="I2459" s="253"/>
      <c r="J2459" s="253"/>
      <c r="K2459" s="606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94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64"/>
        <v/>
      </c>
      <c r="C2460" s="190"/>
      <c r="D2460" s="190"/>
      <c r="E2460" s="846"/>
      <c r="F2460" s="188"/>
      <c r="G2460" s="40"/>
      <c r="H2460" s="7"/>
      <c r="I2460" s="253"/>
      <c r="J2460" s="253"/>
      <c r="K2460" s="606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94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64"/>
        <v/>
      </c>
      <c r="C2461" s="190"/>
      <c r="D2461" s="190"/>
      <c r="E2461" s="846"/>
      <c r="F2461" s="188"/>
      <c r="G2461" s="40"/>
      <c r="H2461" s="7"/>
      <c r="I2461" s="253"/>
      <c r="J2461" s="253"/>
      <c r="K2461" s="606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94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64"/>
        <v/>
      </c>
      <c r="C2462" s="190"/>
      <c r="D2462" s="190"/>
      <c r="E2462" s="846"/>
      <c r="F2462" s="40"/>
      <c r="G2462" s="40"/>
      <c r="H2462" s="7"/>
      <c r="I2462" s="253"/>
      <c r="J2462" s="253"/>
      <c r="K2462" s="606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94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64"/>
        <v/>
      </c>
      <c r="C2463" s="190"/>
      <c r="D2463" s="190"/>
      <c r="E2463" s="846"/>
      <c r="F2463" s="40"/>
      <c r="G2463" s="40"/>
      <c r="H2463" s="7"/>
      <c r="I2463" s="253"/>
      <c r="J2463" s="253"/>
      <c r="K2463" s="606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94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64"/>
        <v/>
      </c>
      <c r="C2464" s="190"/>
      <c r="D2464" s="190"/>
      <c r="E2464" s="846"/>
      <c r="F2464" s="40"/>
      <c r="G2464" s="40"/>
      <c r="H2464" s="7"/>
      <c r="I2464" s="253"/>
      <c r="J2464" s="253"/>
      <c r="K2464" s="606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94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64"/>
        <v/>
      </c>
      <c r="C2465" s="190"/>
      <c r="D2465" s="190"/>
      <c r="E2465" s="846"/>
      <c r="F2465" s="40"/>
      <c r="G2465" s="40"/>
      <c r="H2465" s="7"/>
      <c r="I2465" s="253"/>
      <c r="J2465" s="253"/>
      <c r="K2465" s="606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94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64"/>
        <v/>
      </c>
      <c r="C2466" s="190"/>
      <c r="D2466" s="190"/>
      <c r="E2466" s="846"/>
      <c r="F2466" s="40"/>
      <c r="G2466" s="40"/>
      <c r="H2466" s="7"/>
      <c r="I2466" s="253"/>
      <c r="J2466" s="253"/>
      <c r="K2466" s="606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94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64"/>
        <v/>
      </c>
      <c r="C2467" s="190"/>
      <c r="D2467" s="190"/>
      <c r="E2467" s="846"/>
      <c r="F2467" s="40"/>
      <c r="G2467" s="40"/>
      <c r="H2467" s="7"/>
      <c r="I2467" s="253"/>
      <c r="J2467" s="253"/>
      <c r="K2467" s="606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94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64"/>
        <v/>
      </c>
      <c r="C2468" s="190"/>
      <c r="D2468" s="190"/>
      <c r="E2468" s="846"/>
      <c r="F2468" s="40"/>
      <c r="G2468" s="40"/>
      <c r="H2468" s="7"/>
      <c r="I2468" s="253"/>
      <c r="J2468" s="253"/>
      <c r="K2468" s="606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94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64"/>
        <v/>
      </c>
      <c r="C2469" s="190"/>
      <c r="D2469" s="190"/>
      <c r="E2469" s="846"/>
      <c r="F2469" s="40"/>
      <c r="G2469" s="40"/>
      <c r="H2469" s="7"/>
      <c r="I2469" s="253"/>
      <c r="J2469" s="253"/>
      <c r="K2469" s="606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94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64"/>
        <v/>
      </c>
      <c r="C2470" s="190"/>
      <c r="D2470" s="190"/>
      <c r="E2470" s="846"/>
      <c r="F2470" s="40"/>
      <c r="G2470" s="40"/>
      <c r="H2470" s="7"/>
      <c r="I2470" s="253"/>
      <c r="J2470" s="253"/>
      <c r="K2470" s="606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94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64"/>
        <v/>
      </c>
      <c r="C2471" s="190"/>
      <c r="D2471" s="190"/>
      <c r="E2471" s="846"/>
      <c r="F2471" s="40"/>
      <c r="G2471" s="40"/>
      <c r="H2471" s="7"/>
      <c r="I2471" s="253"/>
      <c r="J2471" s="253"/>
      <c r="K2471" s="606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94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64"/>
        <v/>
      </c>
      <c r="C2472" s="190"/>
      <c r="D2472" s="190"/>
      <c r="E2472" s="846"/>
      <c r="F2472" s="40"/>
      <c r="G2472" s="40"/>
      <c r="H2472" s="7"/>
      <c r="I2472" s="253"/>
      <c r="J2472" s="253"/>
      <c r="K2472" s="606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94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64"/>
        <v/>
      </c>
      <c r="C2473" s="190"/>
      <c r="D2473" s="190"/>
      <c r="E2473" s="846"/>
      <c r="F2473" s="40"/>
      <c r="G2473" s="40"/>
      <c r="H2473" s="7"/>
      <c r="I2473" s="253"/>
      <c r="J2473" s="253"/>
      <c r="K2473" s="606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94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64"/>
        <v/>
      </c>
      <c r="C2474" s="190"/>
      <c r="D2474" s="190"/>
      <c r="E2474" s="846"/>
      <c r="F2474" s="40"/>
      <c r="G2474" s="40"/>
      <c r="H2474" s="7"/>
      <c r="I2474" s="253"/>
      <c r="J2474" s="253"/>
      <c r="K2474" s="606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94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64"/>
        <v/>
      </c>
      <c r="C2475" s="190"/>
      <c r="D2475" s="190"/>
      <c r="E2475" s="846"/>
      <c r="F2475" s="40"/>
      <c r="G2475" s="40"/>
      <c r="H2475" s="7"/>
      <c r="I2475" s="253"/>
      <c r="J2475" s="253"/>
      <c r="K2475" s="606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94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64"/>
        <v/>
      </c>
      <c r="C2476" s="190"/>
      <c r="D2476" s="190"/>
      <c r="E2476" s="846"/>
      <c r="F2476" s="40"/>
      <c r="G2476" s="40"/>
      <c r="H2476" s="7"/>
      <c r="I2476" s="253"/>
      <c r="J2476" s="253"/>
      <c r="K2476" s="606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94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64"/>
        <v/>
      </c>
      <c r="C2477" s="190"/>
      <c r="D2477" s="190"/>
      <c r="E2477" s="846"/>
      <c r="F2477" s="40"/>
      <c r="G2477" s="40"/>
      <c r="H2477" s="7"/>
      <c r="I2477" s="253"/>
      <c r="J2477" s="253"/>
      <c r="K2477" s="606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94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64"/>
        <v/>
      </c>
      <c r="C2478" s="190"/>
      <c r="D2478" s="190"/>
      <c r="E2478" s="846"/>
      <c r="F2478" s="40"/>
      <c r="G2478" s="40"/>
      <c r="H2478" s="7"/>
      <c r="I2478" s="253"/>
      <c r="J2478" s="253"/>
      <c r="K2478" s="606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94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64"/>
        <v/>
      </c>
      <c r="C2479" s="190"/>
      <c r="D2479" s="190"/>
      <c r="E2479" s="846"/>
      <c r="F2479" s="188"/>
      <c r="G2479" s="40"/>
      <c r="H2479" s="7"/>
      <c r="I2479" s="253"/>
      <c r="J2479" s="253"/>
      <c r="K2479" s="606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94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64"/>
        <v/>
      </c>
      <c r="C2480" s="190"/>
      <c r="D2480" s="190"/>
      <c r="E2480" s="846"/>
      <c r="F2480" s="40"/>
      <c r="G2480" s="40"/>
      <c r="H2480" s="7"/>
      <c r="I2480" s="253"/>
      <c r="J2480" s="253"/>
      <c r="K2480" s="606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94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64"/>
        <v/>
      </c>
      <c r="C2481" s="190"/>
      <c r="D2481" s="190"/>
      <c r="E2481" s="846"/>
      <c r="F2481" s="40"/>
      <c r="G2481" s="40"/>
      <c r="H2481" s="7"/>
      <c r="I2481" s="253"/>
      <c r="J2481" s="253"/>
      <c r="K2481" s="606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94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64"/>
        <v/>
      </c>
      <c r="C2482" s="190"/>
      <c r="D2482" s="190"/>
      <c r="E2482" s="846"/>
      <c r="F2482" s="40"/>
      <c r="G2482" s="40"/>
      <c r="H2482" s="7"/>
      <c r="I2482" s="253"/>
      <c r="J2482" s="253"/>
      <c r="K2482" s="606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94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64"/>
        <v/>
      </c>
      <c r="C2483" s="190"/>
      <c r="D2483" s="190"/>
      <c r="E2483" s="846"/>
      <c r="F2483" s="40"/>
      <c r="G2483" s="40"/>
      <c r="H2483" s="7"/>
      <c r="I2483" s="253"/>
      <c r="J2483" s="253"/>
      <c r="K2483" s="606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94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64"/>
        <v/>
      </c>
      <c r="C2484" s="190"/>
      <c r="D2484" s="190"/>
      <c r="E2484" s="846"/>
      <c r="F2484" s="188"/>
      <c r="G2484" s="40"/>
      <c r="H2484" s="7"/>
      <c r="I2484" s="253"/>
      <c r="J2484" s="253"/>
      <c r="K2484" s="606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94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64"/>
        <v/>
      </c>
      <c r="C2485" s="183"/>
      <c r="D2485" s="183"/>
      <c r="E2485" s="856"/>
      <c r="F2485" s="188"/>
      <c r="G2485" s="608"/>
      <c r="H2485" s="7"/>
      <c r="I2485" s="253"/>
      <c r="J2485" s="253"/>
      <c r="K2485" s="606"/>
      <c r="L2485" s="607"/>
      <c r="M2485" s="607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94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64"/>
        <v/>
      </c>
      <c r="C2486" s="190"/>
      <c r="D2486" s="190"/>
      <c r="E2486" s="846"/>
      <c r="F2486" s="191"/>
      <c r="G2486" s="491"/>
      <c r="H2486" s="45"/>
      <c r="I2486" s="253"/>
      <c r="J2486" s="253"/>
      <c r="K2486" s="38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94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si="64"/>
        <v/>
      </c>
      <c r="C2487" s="190"/>
      <c r="D2487" s="190"/>
      <c r="E2487" s="846"/>
      <c r="F2487" s="191"/>
      <c r="G2487" s="491"/>
      <c r="H2487" s="45"/>
      <c r="I2487" s="253"/>
      <c r="J2487" s="253"/>
      <c r="K2487" s="38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94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64"/>
        <v/>
      </c>
      <c r="C2488" s="190"/>
      <c r="D2488" s="190"/>
      <c r="E2488" s="846"/>
      <c r="F2488" s="191"/>
      <c r="G2488" s="491"/>
      <c r="H2488" s="7"/>
      <c r="I2488" s="253"/>
      <c r="J2488" s="253"/>
      <c r="K2488" s="606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94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64"/>
        <v/>
      </c>
      <c r="C2489" s="190"/>
      <c r="D2489" s="190"/>
      <c r="E2489" s="846"/>
      <c r="F2489" s="191"/>
      <c r="G2489" s="491"/>
      <c r="H2489" s="7"/>
      <c r="I2489" s="253"/>
      <c r="J2489" s="253"/>
      <c r="K2489" s="606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94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64"/>
        <v/>
      </c>
      <c r="C2490" s="190"/>
      <c r="D2490" s="190"/>
      <c r="E2490" s="846"/>
      <c r="F2490" s="40"/>
      <c r="G2490" s="40"/>
      <c r="H2490" s="7"/>
      <c r="I2490" s="253"/>
      <c r="J2490" s="253"/>
      <c r="K2490" s="606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94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64"/>
        <v/>
      </c>
      <c r="C2491" s="190"/>
      <c r="D2491" s="190"/>
      <c r="E2491" s="846"/>
      <c r="F2491" s="40"/>
      <c r="G2491" s="40"/>
      <c r="H2491" s="7"/>
      <c r="I2491" s="253"/>
      <c r="J2491" s="253"/>
      <c r="K2491" s="606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94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64"/>
        <v/>
      </c>
      <c r="C2492" s="190"/>
      <c r="D2492" s="190"/>
      <c r="E2492" s="846"/>
      <c r="F2492" s="40"/>
      <c r="G2492" s="40"/>
      <c r="H2492" s="7"/>
      <c r="I2492" s="253"/>
      <c r="J2492" s="253"/>
      <c r="K2492" s="606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94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64"/>
        <v/>
      </c>
      <c r="C2493" s="190"/>
      <c r="D2493" s="190"/>
      <c r="E2493" s="846"/>
      <c r="F2493" s="40"/>
      <c r="G2493" s="40"/>
      <c r="H2493" s="7"/>
      <c r="I2493" s="253"/>
      <c r="J2493" s="253"/>
      <c r="K2493" s="606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94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64"/>
        <v/>
      </c>
      <c r="C2494" s="190"/>
      <c r="D2494" s="37"/>
      <c r="E2494" s="846"/>
      <c r="F2494" s="451"/>
      <c r="G2494" s="40"/>
      <c r="H2494" s="7"/>
      <c r="I2494" s="253"/>
      <c r="J2494" s="253"/>
      <c r="K2494" s="606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94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64"/>
        <v/>
      </c>
      <c r="C2495" s="190"/>
      <c r="D2495" s="37"/>
      <c r="E2495" s="846"/>
      <c r="F2495" s="191"/>
      <c r="G2495" s="491"/>
      <c r="H2495" s="7"/>
      <c r="I2495" s="253"/>
      <c r="J2495" s="253"/>
      <c r="K2495" s="606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94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64"/>
        <v/>
      </c>
      <c r="C2496" s="190"/>
      <c r="D2496" s="190"/>
      <c r="E2496" s="846"/>
      <c r="F2496" s="191"/>
      <c r="G2496" s="491"/>
      <c r="H2496" s="192"/>
      <c r="I2496" s="253"/>
      <c r="J2496" s="253"/>
      <c r="K2496" s="606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94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64"/>
        <v/>
      </c>
      <c r="C2497" s="190"/>
      <c r="D2497" s="190"/>
      <c r="E2497" s="846"/>
      <c r="F2497" s="191"/>
      <c r="G2497" s="491"/>
      <c r="H2497" s="192"/>
      <c r="I2497" s="253"/>
      <c r="J2497" s="253"/>
      <c r="K2497" s="606"/>
      <c r="L2497" s="193"/>
      <c r="M2497" s="193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94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64"/>
        <v/>
      </c>
      <c r="C2498" s="190"/>
      <c r="D2498" s="190"/>
      <c r="E2498" s="846"/>
      <c r="F2498" s="191"/>
      <c r="G2498" s="491"/>
      <c r="H2498" s="192"/>
      <c r="I2498" s="253"/>
      <c r="J2498" s="253"/>
      <c r="K2498" s="606"/>
      <c r="L2498" s="193"/>
      <c r="M2498" s="193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94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64"/>
        <v/>
      </c>
      <c r="C2499" s="190"/>
      <c r="D2499" s="190"/>
      <c r="E2499" s="846"/>
      <c r="F2499" s="191"/>
      <c r="G2499" s="491"/>
      <c r="H2499" s="192"/>
      <c r="I2499" s="253"/>
      <c r="J2499" s="253"/>
      <c r="K2499" s="606"/>
      <c r="L2499" s="193"/>
      <c r="M2499" s="193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94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64"/>
        <v/>
      </c>
      <c r="C2500" s="190"/>
      <c r="D2500" s="190"/>
      <c r="E2500" s="846"/>
      <c r="F2500" s="191"/>
      <c r="G2500" s="491"/>
      <c r="H2500" s="192"/>
      <c r="I2500" s="253"/>
      <c r="J2500" s="253"/>
      <c r="K2500" s="606"/>
      <c r="L2500" s="193"/>
      <c r="M2500" s="193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94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64"/>
        <v/>
      </c>
      <c r="C2501" s="190"/>
      <c r="D2501" s="190"/>
      <c r="E2501" s="846"/>
      <c r="F2501" s="191"/>
      <c r="G2501" s="491"/>
      <c r="H2501" s="192"/>
      <c r="I2501" s="253"/>
      <c r="J2501" s="253"/>
      <c r="K2501" s="606"/>
      <c r="L2501" s="193"/>
      <c r="M2501" s="193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94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64"/>
        <v/>
      </c>
      <c r="C2502" s="190"/>
      <c r="D2502" s="190"/>
      <c r="E2502" s="846"/>
      <c r="F2502" s="191"/>
      <c r="G2502" s="491"/>
      <c r="H2502" s="192"/>
      <c r="I2502" s="253"/>
      <c r="J2502" s="253"/>
      <c r="K2502" s="606"/>
      <c r="L2502" s="193"/>
      <c r="M2502" s="193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94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64"/>
        <v/>
      </c>
      <c r="C2503" s="190"/>
      <c r="D2503" s="190"/>
      <c r="E2503" s="846"/>
      <c r="F2503" s="191"/>
      <c r="G2503" s="491"/>
      <c r="H2503" s="192"/>
      <c r="I2503" s="253"/>
      <c r="J2503" s="253"/>
      <c r="K2503" s="606"/>
      <c r="L2503" s="193"/>
      <c r="M2503" s="193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94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64"/>
        <v/>
      </c>
      <c r="C2504" s="190"/>
      <c r="D2504" s="190"/>
      <c r="E2504" s="846"/>
      <c r="F2504" s="191"/>
      <c r="G2504" s="491"/>
      <c r="H2504" s="192"/>
      <c r="I2504" s="253"/>
      <c r="J2504" s="253"/>
      <c r="K2504" s="606"/>
      <c r="L2504" s="193"/>
      <c r="M2504" s="193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94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64"/>
        <v/>
      </c>
      <c r="C2505" s="190"/>
      <c r="D2505" s="190"/>
      <c r="E2505" s="846"/>
      <c r="F2505" s="191"/>
      <c r="G2505" s="491"/>
      <c r="H2505" s="192"/>
      <c r="I2505" s="253"/>
      <c r="J2505" s="253"/>
      <c r="K2505" s="606"/>
      <c r="L2505" s="193"/>
      <c r="M2505" s="193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94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64"/>
        <v/>
      </c>
      <c r="C2506" s="190"/>
      <c r="D2506" s="190"/>
      <c r="E2506" s="846"/>
      <c r="F2506" s="191"/>
      <c r="G2506" s="491"/>
      <c r="H2506" s="192"/>
      <c r="I2506" s="253"/>
      <c r="J2506" s="253"/>
      <c r="K2506" s="606"/>
      <c r="L2506" s="193"/>
      <c r="M2506" s="193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94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64"/>
        <v/>
      </c>
      <c r="C2507" s="190"/>
      <c r="D2507" s="190"/>
      <c r="E2507" s="846"/>
      <c r="F2507" s="191"/>
      <c r="G2507" s="491"/>
      <c r="H2507" s="192"/>
      <c r="I2507" s="253"/>
      <c r="J2507" s="253"/>
      <c r="K2507" s="606"/>
      <c r="L2507" s="193"/>
      <c r="M2507" s="193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94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64"/>
        <v/>
      </c>
      <c r="C2508" s="190"/>
      <c r="D2508" s="190"/>
      <c r="E2508" s="846"/>
      <c r="F2508" s="191"/>
      <c r="G2508" s="491"/>
      <c r="H2508" s="192"/>
      <c r="I2508" s="253"/>
      <c r="J2508" s="253"/>
      <c r="K2508" s="606"/>
      <c r="L2508" s="193"/>
      <c r="M2508" s="193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94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64"/>
        <v/>
      </c>
      <c r="C2509" s="190"/>
      <c r="D2509" s="190"/>
      <c r="E2509" s="846"/>
      <c r="F2509" s="191"/>
      <c r="G2509" s="491"/>
      <c r="H2509" s="192"/>
      <c r="I2509" s="253"/>
      <c r="J2509" s="253"/>
      <c r="K2509" s="606"/>
      <c r="L2509" s="193"/>
      <c r="M2509" s="193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94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64"/>
        <v/>
      </c>
      <c r="C2510" s="190"/>
      <c r="D2510" s="190"/>
      <c r="E2510" s="846"/>
      <c r="F2510" s="191"/>
      <c r="G2510" s="491"/>
      <c r="H2510" s="192"/>
      <c r="I2510" s="253"/>
      <c r="J2510" s="253"/>
      <c r="K2510" s="606"/>
      <c r="L2510" s="193"/>
      <c r="M2510" s="193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94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64"/>
        <v/>
      </c>
      <c r="C2511" s="190"/>
      <c r="D2511" s="190"/>
      <c r="E2511" s="846"/>
      <c r="F2511" s="191"/>
      <c r="G2511" s="491"/>
      <c r="H2511" s="192"/>
      <c r="I2511" s="253"/>
      <c r="J2511" s="253"/>
      <c r="K2511" s="606"/>
      <c r="L2511" s="193"/>
      <c r="M2511" s="193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94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64"/>
        <v/>
      </c>
      <c r="C2512" s="190"/>
      <c r="D2512" s="190"/>
      <c r="E2512" s="846"/>
      <c r="F2512" s="191"/>
      <c r="G2512" s="491"/>
      <c r="H2512" s="192"/>
      <c r="I2512" s="253"/>
      <c r="J2512" s="253"/>
      <c r="K2512" s="606"/>
      <c r="L2512" s="193"/>
      <c r="M2512" s="193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94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64"/>
        <v/>
      </c>
      <c r="C2513" s="190"/>
      <c r="D2513" s="190"/>
      <c r="E2513" s="846"/>
      <c r="F2513" s="191"/>
      <c r="G2513" s="491"/>
      <c r="H2513" s="192"/>
      <c r="I2513" s="253"/>
      <c r="J2513" s="253"/>
      <c r="K2513" s="606"/>
      <c r="L2513" s="193"/>
      <c r="M2513" s="193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94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64"/>
        <v/>
      </c>
      <c r="C2514" s="190"/>
      <c r="D2514" s="190"/>
      <c r="E2514" s="846"/>
      <c r="F2514" s="191"/>
      <c r="G2514" s="491"/>
      <c r="H2514" s="192"/>
      <c r="I2514" s="253"/>
      <c r="J2514" s="253"/>
      <c r="K2514" s="606"/>
      <c r="L2514" s="193"/>
      <c r="M2514" s="193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94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64"/>
        <v/>
      </c>
      <c r="C2515" s="190"/>
      <c r="D2515" s="190"/>
      <c r="E2515" s="846"/>
      <c r="F2515" s="191"/>
      <c r="G2515" s="491"/>
      <c r="H2515" s="192"/>
      <c r="I2515" s="253"/>
      <c r="J2515" s="253"/>
      <c r="K2515" s="606"/>
      <c r="L2515" s="193"/>
      <c r="M2515" s="193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94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64"/>
        <v/>
      </c>
      <c r="C2516" s="190"/>
      <c r="D2516" s="190"/>
      <c r="E2516" s="846"/>
      <c r="F2516" s="191"/>
      <c r="G2516" s="491"/>
      <c r="H2516" s="192"/>
      <c r="I2516" s="253"/>
      <c r="J2516" s="253"/>
      <c r="K2516" s="606"/>
      <c r="L2516" s="193"/>
      <c r="M2516" s="193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94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64"/>
        <v/>
      </c>
      <c r="C2517" s="190"/>
      <c r="D2517" s="190"/>
      <c r="E2517" s="846"/>
      <c r="F2517" s="191"/>
      <c r="G2517" s="491"/>
      <c r="H2517" s="192"/>
      <c r="I2517" s="253"/>
      <c r="J2517" s="253"/>
      <c r="K2517" s="606"/>
      <c r="L2517" s="193"/>
      <c r="M2517" s="193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94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64"/>
        <v/>
      </c>
      <c r="C2518" s="190"/>
      <c r="D2518" s="190"/>
      <c r="E2518" s="846"/>
      <c r="F2518" s="191"/>
      <c r="G2518" s="491"/>
      <c r="H2518" s="192"/>
      <c r="I2518" s="253"/>
      <c r="J2518" s="253"/>
      <c r="K2518" s="606"/>
      <c r="L2518" s="193"/>
      <c r="M2518" s="193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94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64"/>
        <v/>
      </c>
      <c r="C2519" s="190"/>
      <c r="D2519" s="190"/>
      <c r="E2519" s="846"/>
      <c r="F2519" s="191"/>
      <c r="G2519" s="491"/>
      <c r="H2519" s="192"/>
      <c r="I2519" s="253"/>
      <c r="J2519" s="253"/>
      <c r="K2519" s="606"/>
      <c r="L2519" s="193"/>
      <c r="M2519" s="193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94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64"/>
        <v/>
      </c>
      <c r="C2520" s="190"/>
      <c r="D2520" s="190"/>
      <c r="E2520" s="846"/>
      <c r="F2520" s="191"/>
      <c r="G2520" s="491"/>
      <c r="H2520" s="192"/>
      <c r="I2520" s="253"/>
      <c r="J2520" s="253"/>
      <c r="K2520" s="606"/>
      <c r="L2520" s="193"/>
      <c r="M2520" s="193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94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ref="B2521:B2584" si="65">IF(C2521&lt;&gt;"",MONTH(C2521),"")</f>
        <v/>
      </c>
      <c r="C2521" s="190"/>
      <c r="D2521" s="190"/>
      <c r="E2521" s="846"/>
      <c r="F2521" s="191"/>
      <c r="G2521" s="491"/>
      <c r="H2521" s="192"/>
      <c r="I2521" s="253"/>
      <c r="J2521" s="253"/>
      <c r="K2521" s="606"/>
      <c r="L2521" s="193"/>
      <c r="M2521" s="193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94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65"/>
        <v/>
      </c>
      <c r="C2522" s="190"/>
      <c r="D2522" s="190"/>
      <c r="E2522" s="846"/>
      <c r="F2522" s="191"/>
      <c r="G2522" s="491"/>
      <c r="H2522" s="192"/>
      <c r="I2522" s="253"/>
      <c r="J2522" s="253"/>
      <c r="K2522" s="606"/>
      <c r="L2522" s="193"/>
      <c r="M2522" s="193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94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65"/>
        <v/>
      </c>
      <c r="C2523" s="190"/>
      <c r="D2523" s="190"/>
      <c r="E2523" s="846"/>
      <c r="F2523" s="191"/>
      <c r="G2523" s="491"/>
      <c r="H2523" s="192"/>
      <c r="I2523" s="253"/>
      <c r="J2523" s="253"/>
      <c r="K2523" s="606"/>
      <c r="L2523" s="193"/>
      <c r="M2523" s="193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94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65"/>
        <v/>
      </c>
      <c r="C2524" s="190"/>
      <c r="D2524" s="190"/>
      <c r="E2524" s="846"/>
      <c r="F2524" s="191"/>
      <c r="G2524" s="491"/>
      <c r="H2524" s="192"/>
      <c r="I2524" s="253"/>
      <c r="J2524" s="253"/>
      <c r="K2524" s="606"/>
      <c r="L2524" s="193"/>
      <c r="M2524" s="193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94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65"/>
        <v/>
      </c>
      <c r="C2525" s="190"/>
      <c r="D2525" s="190"/>
      <c r="E2525" s="846"/>
      <c r="F2525" s="191"/>
      <c r="G2525" s="491"/>
      <c r="H2525" s="192"/>
      <c r="I2525" s="253"/>
      <c r="J2525" s="253"/>
      <c r="K2525" s="606"/>
      <c r="L2525" s="193"/>
      <c r="M2525" s="193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94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65"/>
        <v/>
      </c>
      <c r="C2526" s="190"/>
      <c r="D2526" s="190"/>
      <c r="E2526" s="846"/>
      <c r="F2526" s="191"/>
      <c r="G2526" s="491"/>
      <c r="H2526" s="192"/>
      <c r="I2526" s="253"/>
      <c r="J2526" s="253"/>
      <c r="K2526" s="606"/>
      <c r="L2526" s="193"/>
      <c r="M2526" s="193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94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65"/>
        <v/>
      </c>
      <c r="C2527" s="190"/>
      <c r="D2527" s="190"/>
      <c r="E2527" s="846"/>
      <c r="F2527" s="191"/>
      <c r="G2527" s="491"/>
      <c r="H2527" s="192"/>
      <c r="I2527" s="253"/>
      <c r="J2527" s="253"/>
      <c r="K2527" s="606"/>
      <c r="L2527" s="193"/>
      <c r="M2527" s="193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94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65"/>
        <v/>
      </c>
      <c r="C2528" s="190"/>
      <c r="D2528" s="190"/>
      <c r="E2528" s="846"/>
      <c r="F2528" s="191"/>
      <c r="G2528" s="491"/>
      <c r="H2528" s="192"/>
      <c r="I2528" s="253"/>
      <c r="J2528" s="253"/>
      <c r="K2528" s="606"/>
      <c r="L2528" s="193"/>
      <c r="M2528" s="193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94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65"/>
        <v/>
      </c>
      <c r="C2529" s="190"/>
      <c r="D2529" s="190"/>
      <c r="E2529" s="846"/>
      <c r="F2529" s="191"/>
      <c r="G2529" s="491"/>
      <c r="H2529" s="192"/>
      <c r="I2529" s="253"/>
      <c r="J2529" s="253"/>
      <c r="K2529" s="606"/>
      <c r="L2529" s="193"/>
      <c r="M2529" s="193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94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65"/>
        <v/>
      </c>
      <c r="C2530" s="190"/>
      <c r="D2530" s="190"/>
      <c r="E2530" s="846"/>
      <c r="F2530" s="191"/>
      <c r="G2530" s="491"/>
      <c r="H2530" s="192"/>
      <c r="I2530" s="253"/>
      <c r="J2530" s="253"/>
      <c r="K2530" s="606"/>
      <c r="L2530" s="193"/>
      <c r="M2530" s="193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94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65"/>
        <v/>
      </c>
      <c r="C2531" s="190"/>
      <c r="D2531" s="190"/>
      <c r="E2531" s="846"/>
      <c r="F2531" s="40"/>
      <c r="G2531" s="40"/>
      <c r="H2531" s="7"/>
      <c r="I2531" s="253"/>
      <c r="J2531" s="253"/>
      <c r="K2531" s="606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94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65"/>
        <v/>
      </c>
      <c r="C2532" s="190"/>
      <c r="D2532" s="190"/>
      <c r="E2532" s="846"/>
      <c r="F2532" s="188"/>
      <c r="G2532" s="40"/>
      <c r="H2532" s="7"/>
      <c r="I2532" s="253"/>
      <c r="J2532" s="253"/>
      <c r="K2532" s="606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94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65"/>
        <v/>
      </c>
      <c r="C2533" s="190"/>
      <c r="D2533" s="190"/>
      <c r="E2533" s="846"/>
      <c r="F2533" s="40"/>
      <c r="G2533" s="40"/>
      <c r="H2533" s="7"/>
      <c r="I2533" s="253"/>
      <c r="J2533" s="253"/>
      <c r="K2533" s="606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94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65"/>
        <v/>
      </c>
      <c r="C2534" s="190"/>
      <c r="D2534" s="190"/>
      <c r="E2534" s="846"/>
      <c r="F2534" s="40"/>
      <c r="G2534" s="40"/>
      <c r="H2534" s="7"/>
      <c r="I2534" s="253"/>
      <c r="J2534" s="253"/>
      <c r="K2534" s="606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94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65"/>
        <v/>
      </c>
      <c r="C2535" s="190"/>
      <c r="D2535" s="190"/>
      <c r="E2535" s="846"/>
      <c r="F2535" s="40"/>
      <c r="G2535" s="40"/>
      <c r="H2535" s="7"/>
      <c r="I2535" s="253"/>
      <c r="J2535" s="253"/>
      <c r="K2535" s="606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94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65"/>
        <v/>
      </c>
      <c r="C2536" s="190"/>
      <c r="D2536" s="190"/>
      <c r="E2536" s="846"/>
      <c r="F2536" s="40"/>
      <c r="G2536" s="40"/>
      <c r="H2536" s="7"/>
      <c r="I2536" s="253"/>
      <c r="J2536" s="253"/>
      <c r="K2536" s="606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94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65"/>
        <v/>
      </c>
      <c r="C2537" s="190"/>
      <c r="D2537" s="190"/>
      <c r="E2537" s="846"/>
      <c r="F2537" s="40"/>
      <c r="G2537" s="40"/>
      <c r="H2537" s="7"/>
      <c r="I2537" s="253"/>
      <c r="J2537" s="253"/>
      <c r="K2537" s="606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94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65"/>
        <v/>
      </c>
      <c r="C2538" s="190"/>
      <c r="D2538" s="190"/>
      <c r="E2538" s="846"/>
      <c r="F2538" s="40"/>
      <c r="G2538" s="40"/>
      <c r="H2538" s="7"/>
      <c r="I2538" s="253"/>
      <c r="J2538" s="253"/>
      <c r="K2538" s="606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94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65"/>
        <v/>
      </c>
      <c r="C2539" s="190"/>
      <c r="D2539" s="190"/>
      <c r="E2539" s="846"/>
      <c r="F2539" s="40"/>
      <c r="G2539" s="40"/>
      <c r="H2539" s="7"/>
      <c r="I2539" s="253"/>
      <c r="J2539" s="253"/>
      <c r="K2539" s="606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94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65"/>
        <v/>
      </c>
      <c r="C2540" s="190"/>
      <c r="D2540" s="190"/>
      <c r="E2540" s="846"/>
      <c r="F2540" s="40"/>
      <c r="G2540" s="40"/>
      <c r="H2540" s="7"/>
      <c r="I2540" s="253"/>
      <c r="J2540" s="253"/>
      <c r="K2540" s="606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94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65"/>
        <v/>
      </c>
      <c r="C2541" s="190"/>
      <c r="D2541" s="190"/>
      <c r="E2541" s="846"/>
      <c r="F2541" s="188"/>
      <c r="G2541" s="40"/>
      <c r="H2541" s="7"/>
      <c r="I2541" s="253"/>
      <c r="J2541" s="253"/>
      <c r="K2541" s="606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94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65"/>
        <v/>
      </c>
      <c r="C2542" s="190"/>
      <c r="D2542" s="190"/>
      <c r="E2542" s="846"/>
      <c r="F2542" s="40"/>
      <c r="G2542" s="40"/>
      <c r="H2542" s="7"/>
      <c r="I2542" s="253"/>
      <c r="J2542" s="253"/>
      <c r="K2542" s="606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94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65"/>
        <v/>
      </c>
      <c r="C2543" s="190"/>
      <c r="D2543" s="37"/>
      <c r="E2543" s="846"/>
      <c r="F2543" s="40"/>
      <c r="G2543" s="40"/>
      <c r="H2543" s="7"/>
      <c r="I2543" s="253"/>
      <c r="J2543" s="253"/>
      <c r="K2543" s="606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94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65"/>
        <v/>
      </c>
      <c r="C2544" s="190"/>
      <c r="D2544" s="37"/>
      <c r="E2544" s="846"/>
      <c r="F2544" s="40"/>
      <c r="G2544" s="40"/>
      <c r="H2544" s="7"/>
      <c r="I2544" s="253"/>
      <c r="J2544" s="253"/>
      <c r="K2544" s="606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94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65"/>
        <v/>
      </c>
      <c r="C2545" s="190"/>
      <c r="D2545" s="37"/>
      <c r="E2545" s="846"/>
      <c r="F2545" s="40"/>
      <c r="G2545" s="40"/>
      <c r="H2545" s="7"/>
      <c r="I2545" s="253"/>
      <c r="J2545" s="253"/>
      <c r="K2545" s="606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94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65"/>
        <v/>
      </c>
      <c r="C2546" s="190"/>
      <c r="D2546" s="37"/>
      <c r="E2546" s="846"/>
      <c r="F2546" s="40"/>
      <c r="G2546" s="40"/>
      <c r="H2546" s="7"/>
      <c r="I2546" s="253"/>
      <c r="J2546" s="253"/>
      <c r="K2546" s="606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94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65"/>
        <v/>
      </c>
      <c r="C2547" s="190"/>
      <c r="D2547" s="37"/>
      <c r="E2547" s="846"/>
      <c r="F2547" s="40"/>
      <c r="G2547" s="40"/>
      <c r="H2547" s="7"/>
      <c r="I2547" s="253"/>
      <c r="J2547" s="253"/>
      <c r="K2547" s="606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94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65"/>
        <v/>
      </c>
      <c r="C2548" s="190"/>
      <c r="D2548" s="37"/>
      <c r="E2548" s="846"/>
      <c r="F2548" s="40"/>
      <c r="G2548" s="40"/>
      <c r="H2548" s="7"/>
      <c r="I2548" s="253"/>
      <c r="J2548" s="253"/>
      <c r="K2548" s="606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94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65"/>
        <v/>
      </c>
      <c r="C2549" s="190"/>
      <c r="D2549" s="37"/>
      <c r="E2549" s="846"/>
      <c r="F2549" s="40"/>
      <c r="G2549" s="40"/>
      <c r="H2549" s="7"/>
      <c r="I2549" s="253"/>
      <c r="J2549" s="253"/>
      <c r="K2549" s="606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94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65"/>
        <v/>
      </c>
      <c r="C2550" s="190"/>
      <c r="D2550" s="37"/>
      <c r="E2550" s="846"/>
      <c r="F2550" s="40"/>
      <c r="G2550" s="40"/>
      <c r="H2550" s="7"/>
      <c r="I2550" s="253"/>
      <c r="J2550" s="253"/>
      <c r="K2550" s="606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94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si="65"/>
        <v/>
      </c>
      <c r="C2551" s="190"/>
      <c r="D2551" s="37"/>
      <c r="E2551" s="846"/>
      <c r="F2551" s="40"/>
      <c r="G2551" s="40"/>
      <c r="H2551" s="7"/>
      <c r="I2551" s="253"/>
      <c r="J2551" s="253"/>
      <c r="K2551" s="606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94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65"/>
        <v/>
      </c>
      <c r="C2552" s="190"/>
      <c r="D2552" s="37"/>
      <c r="E2552" s="846"/>
      <c r="F2552" s="40"/>
      <c r="G2552" s="40"/>
      <c r="H2552" s="7"/>
      <c r="I2552" s="253"/>
      <c r="J2552" s="253"/>
      <c r="K2552" s="606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94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65"/>
        <v/>
      </c>
      <c r="C2553" s="190"/>
      <c r="D2553" s="37"/>
      <c r="E2553" s="846"/>
      <c r="F2553" s="40"/>
      <c r="G2553" s="40"/>
      <c r="H2553" s="7"/>
      <c r="I2553" s="253"/>
      <c r="J2553" s="253"/>
      <c r="K2553" s="606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94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65"/>
        <v/>
      </c>
      <c r="C2554" s="190"/>
      <c r="D2554" s="37"/>
      <c r="E2554" s="846"/>
      <c r="F2554" s="40"/>
      <c r="G2554" s="40"/>
      <c r="H2554" s="7"/>
      <c r="I2554" s="253"/>
      <c r="J2554" s="253"/>
      <c r="K2554" s="606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94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65"/>
        <v/>
      </c>
      <c r="C2555" s="190"/>
      <c r="D2555" s="37"/>
      <c r="E2555" s="846"/>
      <c r="F2555" s="40"/>
      <c r="G2555" s="40"/>
      <c r="H2555" s="7"/>
      <c r="I2555" s="253"/>
      <c r="J2555" s="253"/>
      <c r="K2555" s="606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94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65"/>
        <v/>
      </c>
      <c r="C2556" s="190"/>
      <c r="D2556" s="37"/>
      <c r="E2556" s="846"/>
      <c r="F2556" s="40"/>
      <c r="G2556" s="40"/>
      <c r="H2556" s="7"/>
      <c r="I2556" s="253"/>
      <c r="J2556" s="253"/>
      <c r="K2556" s="606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94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65"/>
        <v/>
      </c>
      <c r="C2557" s="190"/>
      <c r="D2557" s="37"/>
      <c r="E2557" s="846"/>
      <c r="F2557" s="40"/>
      <c r="G2557" s="40"/>
      <c r="H2557" s="7"/>
      <c r="I2557" s="253"/>
      <c r="J2557" s="253"/>
      <c r="K2557" s="606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94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65"/>
        <v/>
      </c>
      <c r="C2558" s="190"/>
      <c r="D2558" s="37"/>
      <c r="E2558" s="190"/>
      <c r="F2558" s="40"/>
      <c r="G2558" s="40"/>
      <c r="H2558" s="7"/>
      <c r="I2558" s="253"/>
      <c r="J2558" s="253"/>
      <c r="K2558" s="606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94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65"/>
        <v/>
      </c>
      <c r="C2559" s="190"/>
      <c r="D2559" s="37"/>
      <c r="E2559" s="190"/>
      <c r="F2559" s="40"/>
      <c r="G2559" s="40"/>
      <c r="H2559" s="7"/>
      <c r="I2559" s="253"/>
      <c r="J2559" s="253"/>
      <c r="K2559" s="606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94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65"/>
        <v/>
      </c>
      <c r="C2560" s="190"/>
      <c r="D2560" s="37"/>
      <c r="E2560" s="190"/>
      <c r="F2560" s="40"/>
      <c r="G2560" s="40"/>
      <c r="H2560" s="7"/>
      <c r="I2560" s="253"/>
      <c r="J2560" s="253"/>
      <c r="K2560" s="606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94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65"/>
        <v/>
      </c>
      <c r="C2561" s="190"/>
      <c r="D2561" s="37"/>
      <c r="E2561" s="190"/>
      <c r="F2561" s="40"/>
      <c r="G2561" s="40"/>
      <c r="H2561" s="7"/>
      <c r="I2561" s="253"/>
      <c r="J2561" s="253"/>
      <c r="K2561" s="606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94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65"/>
        <v/>
      </c>
      <c r="C2562" s="190"/>
      <c r="D2562" s="37"/>
      <c r="E2562" s="190"/>
      <c r="F2562" s="40"/>
      <c r="G2562" s="40"/>
      <c r="H2562" s="7"/>
      <c r="I2562" s="253"/>
      <c r="J2562" s="253"/>
      <c r="K2562" s="606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94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65"/>
        <v/>
      </c>
      <c r="C2563" s="190"/>
      <c r="D2563" s="37"/>
      <c r="E2563" s="190"/>
      <c r="F2563" s="40"/>
      <c r="G2563" s="40"/>
      <c r="H2563" s="7"/>
      <c r="I2563" s="253"/>
      <c r="J2563" s="253"/>
      <c r="K2563" s="606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94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65"/>
        <v/>
      </c>
      <c r="C2564" s="190"/>
      <c r="D2564" s="37"/>
      <c r="E2564" s="190"/>
      <c r="F2564" s="40"/>
      <c r="G2564" s="40"/>
      <c r="H2564" s="7"/>
      <c r="I2564" s="253"/>
      <c r="J2564" s="253"/>
      <c r="K2564" s="606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94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65"/>
        <v/>
      </c>
      <c r="C2565" s="190"/>
      <c r="D2565" s="37"/>
      <c r="E2565" s="190"/>
      <c r="F2565" s="40"/>
      <c r="G2565" s="40"/>
      <c r="H2565" s="7"/>
      <c r="I2565" s="253"/>
      <c r="J2565" s="253"/>
      <c r="K2565" s="606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94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65"/>
        <v/>
      </c>
      <c r="C2566" s="190"/>
      <c r="D2566" s="37"/>
      <c r="E2566" s="190"/>
      <c r="F2566" s="40"/>
      <c r="G2566" s="40"/>
      <c r="H2566" s="7"/>
      <c r="I2566" s="253"/>
      <c r="J2566" s="253"/>
      <c r="K2566" s="606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94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65"/>
        <v/>
      </c>
      <c r="C2567" s="190"/>
      <c r="D2567" s="37"/>
      <c r="E2567" s="190"/>
      <c r="F2567" s="40"/>
      <c r="G2567" s="40"/>
      <c r="H2567" s="7"/>
      <c r="I2567" s="253"/>
      <c r="J2567" s="253"/>
      <c r="K2567" s="606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94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65"/>
        <v/>
      </c>
      <c r="C2568" s="190"/>
      <c r="D2568" s="37"/>
      <c r="E2568" s="190"/>
      <c r="F2568" s="40"/>
      <c r="G2568" s="40"/>
      <c r="H2568" s="7"/>
      <c r="I2568" s="253"/>
      <c r="J2568" s="253"/>
      <c r="K2568" s="606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94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65"/>
        <v/>
      </c>
      <c r="C2569" s="190"/>
      <c r="D2569" s="37"/>
      <c r="E2569" s="190"/>
      <c r="F2569" s="40"/>
      <c r="G2569" s="40"/>
      <c r="H2569" s="7"/>
      <c r="I2569" s="253"/>
      <c r="J2569" s="253"/>
      <c r="K2569" s="606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94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65"/>
        <v/>
      </c>
      <c r="C2570" s="190"/>
      <c r="D2570" s="37"/>
      <c r="E2570" s="190"/>
      <c r="F2570" s="40"/>
      <c r="G2570" s="40"/>
      <c r="H2570" s="7"/>
      <c r="I2570" s="253"/>
      <c r="J2570" s="253"/>
      <c r="K2570" s="606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94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65"/>
        <v/>
      </c>
      <c r="C2571" s="190"/>
      <c r="D2571" s="37"/>
      <c r="E2571" s="190"/>
      <c r="F2571" s="40"/>
      <c r="G2571" s="40"/>
      <c r="H2571" s="7"/>
      <c r="I2571" s="253"/>
      <c r="J2571" s="253"/>
      <c r="K2571" s="606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94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65"/>
        <v/>
      </c>
      <c r="C2572" s="190"/>
      <c r="D2572" s="37"/>
      <c r="E2572" s="190"/>
      <c r="F2572" s="40"/>
      <c r="G2572" s="40"/>
      <c r="H2572" s="7"/>
      <c r="I2572" s="253"/>
      <c r="J2572" s="253"/>
      <c r="K2572" s="606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94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65"/>
        <v/>
      </c>
      <c r="C2573" s="190"/>
      <c r="D2573" s="37"/>
      <c r="E2573" s="190"/>
      <c r="F2573" s="40"/>
      <c r="G2573" s="40"/>
      <c r="H2573" s="7"/>
      <c r="I2573" s="253"/>
      <c r="J2573" s="253"/>
      <c r="K2573" s="606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94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65"/>
        <v/>
      </c>
      <c r="C2574" s="190"/>
      <c r="D2574" s="37"/>
      <c r="E2574" s="190"/>
      <c r="F2574" s="40"/>
      <c r="G2574" s="40"/>
      <c r="H2574" s="7"/>
      <c r="I2574" s="253"/>
      <c r="J2574" s="253"/>
      <c r="K2574" s="606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94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65"/>
        <v/>
      </c>
      <c r="C2575" s="190"/>
      <c r="D2575" s="37"/>
      <c r="E2575" s="190"/>
      <c r="F2575" s="40"/>
      <c r="G2575" s="40"/>
      <c r="H2575" s="7"/>
      <c r="I2575" s="253"/>
      <c r="J2575" s="253"/>
      <c r="K2575" s="606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94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65"/>
        <v/>
      </c>
      <c r="C2576" s="190"/>
      <c r="D2576" s="37"/>
      <c r="E2576" s="190"/>
      <c r="F2576" s="40"/>
      <c r="G2576" s="40"/>
      <c r="H2576" s="7"/>
      <c r="I2576" s="253"/>
      <c r="J2576" s="253"/>
      <c r="K2576" s="606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94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65"/>
        <v/>
      </c>
      <c r="C2577" s="190"/>
      <c r="D2577" s="37"/>
      <c r="E2577" s="190"/>
      <c r="F2577" s="191"/>
      <c r="G2577" s="491"/>
      <c r="H2577" s="192"/>
      <c r="I2577" s="253"/>
      <c r="J2577" s="253"/>
      <c r="K2577" s="606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94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65"/>
        <v/>
      </c>
      <c r="C2578" s="190"/>
      <c r="D2578" s="37"/>
      <c r="E2578" s="190"/>
      <c r="F2578" s="191"/>
      <c r="G2578" s="491"/>
      <c r="H2578" s="192"/>
      <c r="I2578" s="253"/>
      <c r="J2578" s="253"/>
      <c r="K2578" s="606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94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65"/>
        <v/>
      </c>
      <c r="C2579" s="190"/>
      <c r="D2579" s="37"/>
      <c r="E2579" s="190"/>
      <c r="F2579" s="191"/>
      <c r="G2579" s="491"/>
      <c r="H2579" s="192"/>
      <c r="I2579" s="253"/>
      <c r="J2579" s="253"/>
      <c r="K2579" s="606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94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65"/>
        <v/>
      </c>
      <c r="C2580" s="190"/>
      <c r="D2580" s="37"/>
      <c r="E2580" s="190"/>
      <c r="F2580" s="191"/>
      <c r="G2580" s="491"/>
      <c r="H2580" s="192"/>
      <c r="I2580" s="253"/>
      <c r="J2580" s="253"/>
      <c r="K2580" s="606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94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65"/>
        <v/>
      </c>
      <c r="C2581" s="190"/>
      <c r="D2581" s="37"/>
      <c r="E2581" s="190"/>
      <c r="F2581" s="191"/>
      <c r="G2581" s="491"/>
      <c r="H2581" s="192"/>
      <c r="I2581" s="253"/>
      <c r="J2581" s="253"/>
      <c r="K2581" s="606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94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65"/>
        <v/>
      </c>
      <c r="C2582" s="190"/>
      <c r="D2582" s="37"/>
      <c r="E2582" s="190"/>
      <c r="F2582" s="191"/>
      <c r="G2582" s="491"/>
      <c r="H2582" s="192"/>
      <c r="I2582" s="253"/>
      <c r="J2582" s="253"/>
      <c r="K2582" s="606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94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65"/>
        <v/>
      </c>
      <c r="C2583" s="190"/>
      <c r="D2583" s="37"/>
      <c r="E2583" s="190"/>
      <c r="F2583" s="191"/>
      <c r="G2583" s="491"/>
      <c r="H2583" s="192"/>
      <c r="I2583" s="253"/>
      <c r="J2583" s="253"/>
      <c r="K2583" s="606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94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65"/>
        <v/>
      </c>
      <c r="C2584" s="190"/>
      <c r="D2584" s="37"/>
      <c r="E2584" s="190"/>
      <c r="F2584" s="191"/>
      <c r="G2584" s="491"/>
      <c r="H2584" s="192"/>
      <c r="I2584" s="253"/>
      <c r="J2584" s="253"/>
      <c r="K2584" s="606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94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ref="B2585:B2648" si="66">IF(C2585&lt;&gt;"",MONTH(C2585),"")</f>
        <v/>
      </c>
      <c r="C2585" s="190"/>
      <c r="D2585" s="37"/>
      <c r="E2585" s="190"/>
      <c r="F2585" s="191"/>
      <c r="G2585" s="491"/>
      <c r="H2585" s="192"/>
      <c r="I2585" s="253"/>
      <c r="J2585" s="253"/>
      <c r="K2585" s="606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94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66"/>
        <v/>
      </c>
      <c r="C2586" s="190"/>
      <c r="D2586" s="37"/>
      <c r="E2586" s="190"/>
      <c r="F2586" s="191"/>
      <c r="G2586" s="491"/>
      <c r="H2586" s="192"/>
      <c r="I2586" s="253"/>
      <c r="J2586" s="253"/>
      <c r="K2586" s="606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94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66"/>
        <v/>
      </c>
      <c r="C2587" s="190"/>
      <c r="D2587" s="37"/>
      <c r="E2587" s="190"/>
      <c r="F2587" s="191"/>
      <c r="G2587" s="491"/>
      <c r="H2587" s="192"/>
      <c r="I2587" s="253"/>
      <c r="J2587" s="253"/>
      <c r="K2587" s="606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94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66"/>
        <v/>
      </c>
      <c r="C2588" s="190"/>
      <c r="D2588" s="37"/>
      <c r="E2588" s="190"/>
      <c r="F2588" s="191"/>
      <c r="G2588" s="491"/>
      <c r="H2588" s="192"/>
      <c r="I2588" s="253"/>
      <c r="J2588" s="253"/>
      <c r="K2588" s="606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94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66"/>
        <v/>
      </c>
      <c r="C2589" s="190"/>
      <c r="D2589" s="37"/>
      <c r="E2589" s="190"/>
      <c r="F2589" s="191"/>
      <c r="G2589" s="491"/>
      <c r="H2589" s="192"/>
      <c r="I2589" s="253"/>
      <c r="J2589" s="253"/>
      <c r="K2589" s="606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94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66"/>
        <v/>
      </c>
      <c r="C2590" s="190"/>
      <c r="D2590" s="37"/>
      <c r="E2590" s="190"/>
      <c r="F2590" s="191"/>
      <c r="G2590" s="491"/>
      <c r="H2590" s="192"/>
      <c r="I2590" s="253"/>
      <c r="J2590" s="253"/>
      <c r="K2590" s="606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94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66"/>
        <v/>
      </c>
      <c r="C2591" s="190"/>
      <c r="D2591" s="37"/>
      <c r="E2591" s="190"/>
      <c r="F2591" s="191"/>
      <c r="G2591" s="491"/>
      <c r="H2591" s="192"/>
      <c r="I2591" s="253"/>
      <c r="J2591" s="253"/>
      <c r="K2591" s="606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94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66"/>
        <v/>
      </c>
      <c r="C2592" s="190"/>
      <c r="D2592" s="37"/>
      <c r="E2592" s="190"/>
      <c r="F2592" s="191"/>
      <c r="G2592" s="491"/>
      <c r="H2592" s="192"/>
      <c r="I2592" s="253"/>
      <c r="J2592" s="253"/>
      <c r="K2592" s="606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94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66"/>
        <v/>
      </c>
      <c r="C2593" s="190"/>
      <c r="D2593" s="37"/>
      <c r="E2593" s="190"/>
      <c r="F2593" s="191"/>
      <c r="G2593" s="491"/>
      <c r="H2593" s="192"/>
      <c r="I2593" s="253"/>
      <c r="J2593" s="253"/>
      <c r="K2593" s="606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94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66"/>
        <v/>
      </c>
      <c r="C2594" s="190"/>
      <c r="D2594" s="37"/>
      <c r="E2594" s="190"/>
      <c r="F2594" s="191"/>
      <c r="G2594" s="491"/>
      <c r="H2594" s="192"/>
      <c r="I2594" s="253"/>
      <c r="J2594" s="253"/>
      <c r="K2594" s="606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94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66"/>
        <v/>
      </c>
      <c r="C2595" s="190"/>
      <c r="D2595" s="37"/>
      <c r="E2595" s="190"/>
      <c r="F2595" s="191"/>
      <c r="G2595" s="491"/>
      <c r="H2595" s="192"/>
      <c r="I2595" s="253"/>
      <c r="J2595" s="253"/>
      <c r="K2595" s="606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94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66"/>
        <v/>
      </c>
      <c r="C2596" s="190"/>
      <c r="D2596" s="37"/>
      <c r="E2596" s="190"/>
      <c r="F2596" s="191"/>
      <c r="G2596" s="491"/>
      <c r="H2596" s="192"/>
      <c r="I2596" s="253"/>
      <c r="J2596" s="253"/>
      <c r="K2596" s="606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94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66"/>
        <v/>
      </c>
      <c r="C2597" s="190"/>
      <c r="D2597" s="37"/>
      <c r="E2597" s="190"/>
      <c r="F2597" s="191"/>
      <c r="G2597" s="491"/>
      <c r="H2597" s="192"/>
      <c r="I2597" s="253"/>
      <c r="J2597" s="253"/>
      <c r="K2597" s="606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94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66"/>
        <v/>
      </c>
      <c r="C2598" s="190"/>
      <c r="D2598" s="37"/>
      <c r="E2598" s="190"/>
      <c r="F2598" s="191"/>
      <c r="G2598" s="491"/>
      <c r="H2598" s="192"/>
      <c r="I2598" s="253"/>
      <c r="J2598" s="253"/>
      <c r="K2598" s="606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94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66"/>
        <v/>
      </c>
      <c r="C2599" s="190"/>
      <c r="D2599" s="37"/>
      <c r="E2599" s="190"/>
      <c r="F2599" s="191"/>
      <c r="G2599" s="491"/>
      <c r="H2599" s="192"/>
      <c r="I2599" s="253"/>
      <c r="J2599" s="253"/>
      <c r="K2599" s="606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94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66"/>
        <v/>
      </c>
      <c r="C2600" s="190"/>
      <c r="D2600" s="37"/>
      <c r="E2600" s="190"/>
      <c r="F2600" s="191"/>
      <c r="G2600" s="491"/>
      <c r="H2600" s="192"/>
      <c r="I2600" s="253"/>
      <c r="J2600" s="253"/>
      <c r="K2600" s="606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94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66"/>
        <v/>
      </c>
      <c r="C2601" s="190"/>
      <c r="D2601" s="37"/>
      <c r="E2601" s="190"/>
      <c r="F2601" s="191"/>
      <c r="G2601" s="491"/>
      <c r="H2601" s="192"/>
      <c r="I2601" s="253"/>
      <c r="J2601" s="253"/>
      <c r="K2601" s="606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94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66"/>
        <v/>
      </c>
      <c r="C2602" s="190"/>
      <c r="D2602" s="37"/>
      <c r="E2602" s="190"/>
      <c r="F2602" s="191"/>
      <c r="G2602" s="491"/>
      <c r="H2602" s="192"/>
      <c r="I2602" s="253"/>
      <c r="J2602" s="253"/>
      <c r="K2602" s="606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94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66"/>
        <v/>
      </c>
      <c r="C2603" s="190"/>
      <c r="D2603" s="37"/>
      <c r="E2603" s="190"/>
      <c r="F2603" s="191"/>
      <c r="G2603" s="491"/>
      <c r="H2603" s="192"/>
      <c r="I2603" s="253"/>
      <c r="J2603" s="253"/>
      <c r="K2603" s="606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94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66"/>
        <v/>
      </c>
      <c r="C2604" s="190"/>
      <c r="D2604" s="37"/>
      <c r="E2604" s="190"/>
      <c r="F2604" s="191"/>
      <c r="G2604" s="491"/>
      <c r="H2604" s="192"/>
      <c r="I2604" s="253"/>
      <c r="J2604" s="253"/>
      <c r="K2604" s="606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94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66"/>
        <v/>
      </c>
      <c r="C2605" s="190"/>
      <c r="D2605" s="37"/>
      <c r="E2605" s="190"/>
      <c r="F2605" s="191"/>
      <c r="G2605" s="491"/>
      <c r="H2605" s="192"/>
      <c r="I2605" s="253"/>
      <c r="J2605" s="253"/>
      <c r="K2605" s="606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94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66"/>
        <v/>
      </c>
      <c r="C2606" s="190"/>
      <c r="D2606" s="37"/>
      <c r="E2606" s="190"/>
      <c r="F2606" s="191"/>
      <c r="G2606" s="491"/>
      <c r="H2606" s="192"/>
      <c r="I2606" s="253"/>
      <c r="J2606" s="253"/>
      <c r="K2606" s="606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94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66"/>
        <v/>
      </c>
      <c r="C2607" s="190"/>
      <c r="D2607" s="37"/>
      <c r="E2607" s="190"/>
      <c r="F2607" s="191"/>
      <c r="G2607" s="491"/>
      <c r="H2607" s="192"/>
      <c r="I2607" s="253"/>
      <c r="J2607" s="253"/>
      <c r="K2607" s="606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94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66"/>
        <v/>
      </c>
      <c r="C2608" s="190"/>
      <c r="D2608" s="37"/>
      <c r="E2608" s="190"/>
      <c r="F2608" s="191"/>
      <c r="G2608" s="491"/>
      <c r="H2608" s="192"/>
      <c r="I2608" s="253"/>
      <c r="J2608" s="253"/>
      <c r="K2608" s="606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94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66"/>
        <v/>
      </c>
      <c r="C2609" s="190"/>
      <c r="D2609" s="37"/>
      <c r="E2609" s="190"/>
      <c r="F2609" s="191"/>
      <c r="G2609" s="491"/>
      <c r="H2609" s="192"/>
      <c r="I2609" s="253"/>
      <c r="J2609" s="253"/>
      <c r="K2609" s="606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94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66"/>
        <v/>
      </c>
      <c r="C2610" s="190"/>
      <c r="D2610" s="37"/>
      <c r="E2610" s="190"/>
      <c r="F2610" s="191"/>
      <c r="G2610" s="491"/>
      <c r="H2610" s="192"/>
      <c r="I2610" s="253"/>
      <c r="J2610" s="253"/>
      <c r="K2610" s="606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94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66"/>
        <v/>
      </c>
      <c r="C2611" s="190"/>
      <c r="D2611" s="190"/>
      <c r="E2611" s="190"/>
      <c r="F2611" s="191"/>
      <c r="G2611" s="491"/>
      <c r="H2611" s="192"/>
      <c r="I2611" s="253"/>
      <c r="J2611" s="253"/>
      <c r="K2611" s="606"/>
      <c r="L2611" s="193"/>
      <c r="M2611" s="193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94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66"/>
        <v/>
      </c>
      <c r="C2612" s="190"/>
      <c r="D2612" s="190"/>
      <c r="E2612" s="190"/>
      <c r="F2612" s="191"/>
      <c r="G2612" s="491"/>
      <c r="H2612" s="192"/>
      <c r="I2612" s="253"/>
      <c r="J2612" s="253"/>
      <c r="K2612" s="606"/>
      <c r="L2612" s="193"/>
      <c r="M2612" s="193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94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66"/>
        <v/>
      </c>
      <c r="C2613" s="190"/>
      <c r="D2613" s="190"/>
      <c r="E2613" s="190"/>
      <c r="F2613" s="191"/>
      <c r="G2613" s="491"/>
      <c r="H2613" s="192"/>
      <c r="I2613" s="253"/>
      <c r="J2613" s="253"/>
      <c r="K2613" s="606"/>
      <c r="L2613" s="193"/>
      <c r="M2613" s="193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94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66"/>
        <v/>
      </c>
      <c r="C2614" s="190"/>
      <c r="D2614" s="190"/>
      <c r="E2614" s="190"/>
      <c r="F2614" s="191"/>
      <c r="G2614" s="491"/>
      <c r="H2614" s="192"/>
      <c r="I2614" s="253"/>
      <c r="J2614" s="253"/>
      <c r="K2614" s="606"/>
      <c r="L2614" s="193"/>
      <c r="M2614" s="193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94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si="66"/>
        <v/>
      </c>
      <c r="C2615" s="190"/>
      <c r="D2615" s="37"/>
      <c r="E2615" s="190"/>
      <c r="F2615" s="40"/>
      <c r="G2615" s="40"/>
      <c r="H2615" s="7"/>
      <c r="I2615" s="253"/>
      <c r="J2615" s="253"/>
      <c r="K2615" s="606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94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si="66"/>
        <v/>
      </c>
      <c r="C2616" s="190"/>
      <c r="D2616" s="37"/>
      <c r="E2616" s="190"/>
      <c r="F2616" s="40"/>
      <c r="G2616" s="40"/>
      <c r="H2616" s="7"/>
      <c r="I2616" s="253"/>
      <c r="J2616" s="253"/>
      <c r="K2616" s="606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94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66"/>
        <v/>
      </c>
      <c r="C2617" s="190"/>
      <c r="D2617" s="37"/>
      <c r="E2617" s="190"/>
      <c r="F2617" s="40"/>
      <c r="G2617" s="40"/>
      <c r="H2617" s="7"/>
      <c r="I2617" s="253"/>
      <c r="J2617" s="253"/>
      <c r="K2617" s="606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94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66"/>
        <v/>
      </c>
      <c r="C2618" s="190"/>
      <c r="D2618" s="37"/>
      <c r="E2618" s="190"/>
      <c r="F2618" s="191"/>
      <c r="G2618" s="491"/>
      <c r="H2618" s="192"/>
      <c r="I2618" s="253"/>
      <c r="J2618" s="253"/>
      <c r="K2618" s="606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94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66"/>
        <v/>
      </c>
      <c r="C2619" s="190"/>
      <c r="D2619" s="37"/>
      <c r="E2619" s="190"/>
      <c r="F2619" s="191"/>
      <c r="G2619" s="491"/>
      <c r="H2619" s="192"/>
      <c r="I2619" s="253"/>
      <c r="J2619" s="253"/>
      <c r="K2619" s="606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94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66"/>
        <v/>
      </c>
      <c r="C2620" s="190"/>
      <c r="D2620" s="37"/>
      <c r="E2620" s="190"/>
      <c r="F2620" s="191"/>
      <c r="G2620" s="491"/>
      <c r="H2620" s="192"/>
      <c r="I2620" s="253"/>
      <c r="J2620" s="253"/>
      <c r="K2620" s="606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94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66"/>
        <v/>
      </c>
      <c r="C2621" s="190"/>
      <c r="D2621" s="190"/>
      <c r="E2621" s="190"/>
      <c r="F2621" s="191"/>
      <c r="G2621" s="491"/>
      <c r="H2621" s="192"/>
      <c r="I2621" s="253"/>
      <c r="J2621" s="253"/>
      <c r="K2621" s="606"/>
      <c r="L2621" s="193"/>
      <c r="M2621" s="193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94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66"/>
        <v/>
      </c>
      <c r="C2622" s="190"/>
      <c r="D2622" s="190"/>
      <c r="E2622" s="190"/>
      <c r="F2622" s="191"/>
      <c r="G2622" s="491"/>
      <c r="H2622" s="192"/>
      <c r="I2622" s="253"/>
      <c r="J2622" s="253"/>
      <c r="K2622" s="606"/>
      <c r="L2622" s="193"/>
      <c r="M2622" s="193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94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66"/>
        <v/>
      </c>
      <c r="C2623" s="190"/>
      <c r="D2623" s="190"/>
      <c r="E2623" s="190"/>
      <c r="F2623" s="191"/>
      <c r="G2623" s="491"/>
      <c r="H2623" s="192"/>
      <c r="I2623" s="253"/>
      <c r="J2623" s="253"/>
      <c r="K2623" s="606"/>
      <c r="L2623" s="193"/>
      <c r="M2623" s="193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94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66"/>
        <v/>
      </c>
      <c r="C2624" s="190"/>
      <c r="D2624" s="190"/>
      <c r="E2624" s="190"/>
      <c r="F2624" s="191"/>
      <c r="G2624" s="491"/>
      <c r="H2624" s="192"/>
      <c r="I2624" s="253"/>
      <c r="J2624" s="253"/>
      <c r="K2624" s="606"/>
      <c r="L2624" s="193"/>
      <c r="M2624" s="193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94"/>
    </row>
    <row r="2625" spans="1:27" ht="15.75" customHeight="1">
      <c r="A2625" s="199" t="str">
        <f>IF(B2625&lt;&gt;"",IF(AND(B2625&gt;=_TM1,B2625&lt;=_TM2,OR(TH!L2625="1111",TH!M2625="1111")),TH!D2625,""),"")</f>
        <v/>
      </c>
      <c r="B2625" s="36" t="str">
        <f t="shared" si="66"/>
        <v/>
      </c>
      <c r="C2625" s="190"/>
      <c r="D2625" s="190"/>
      <c r="E2625" s="190"/>
      <c r="F2625" s="191"/>
      <c r="G2625" s="491"/>
      <c r="H2625" s="192"/>
      <c r="I2625" s="253"/>
      <c r="J2625" s="253"/>
      <c r="K2625" s="606"/>
      <c r="L2625" s="193"/>
      <c r="M2625" s="193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94"/>
    </row>
    <row r="2626" spans="1:27" ht="15.75" customHeight="1">
      <c r="A2626" s="199" t="str">
        <f>IF(B2626&lt;&gt;"",IF(AND(B2626&gt;=_TM1,B2626&lt;=_TM2,OR(TH!L2626="1111",TH!M2626="1111")),TH!D2626,""),"")</f>
        <v/>
      </c>
      <c r="B2626" s="36" t="str">
        <f t="shared" si="66"/>
        <v/>
      </c>
      <c r="C2626" s="190"/>
      <c r="D2626" s="190"/>
      <c r="E2626" s="190"/>
      <c r="F2626" s="191"/>
      <c r="G2626" s="491"/>
      <c r="H2626" s="192"/>
      <c r="I2626" s="253"/>
      <c r="J2626" s="253"/>
      <c r="K2626" s="606"/>
      <c r="L2626" s="193"/>
      <c r="M2626" s="193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94"/>
    </row>
    <row r="2627" spans="1:27" ht="15.75" customHeight="1">
      <c r="A2627" s="199" t="str">
        <f>IF(B2627&lt;&gt;"",IF(AND(B2627&gt;=_TM1,B2627&lt;=_TM2,OR(TH!L2627="1111",TH!M2627="1111")),TH!D2627,""),"")</f>
        <v/>
      </c>
      <c r="B2627" s="36" t="str">
        <f t="shared" si="66"/>
        <v/>
      </c>
      <c r="C2627" s="190"/>
      <c r="D2627" s="190"/>
      <c r="E2627" s="190"/>
      <c r="F2627" s="191"/>
      <c r="G2627" s="491"/>
      <c r="H2627" s="192"/>
      <c r="I2627" s="253"/>
      <c r="J2627" s="253"/>
      <c r="K2627" s="606"/>
      <c r="L2627" s="193"/>
      <c r="M2627" s="193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94"/>
    </row>
    <row r="2628" spans="1:27" ht="15.75" customHeight="1">
      <c r="A2628" s="199" t="str">
        <f>IF(B2628&lt;&gt;"",IF(AND(B2628&gt;=_TM1,B2628&lt;=_TM2,OR(TH!L2628="1111",TH!M2628="1111")),TH!D2628,""),"")</f>
        <v/>
      </c>
      <c r="B2628" s="36" t="str">
        <f t="shared" si="66"/>
        <v/>
      </c>
      <c r="C2628" s="190"/>
      <c r="D2628" s="190"/>
      <c r="E2628" s="190"/>
      <c r="F2628" s="191"/>
      <c r="G2628" s="491"/>
      <c r="H2628" s="192"/>
      <c r="I2628" s="253"/>
      <c r="J2628" s="253"/>
      <c r="K2628" s="606"/>
      <c r="L2628" s="193"/>
      <c r="M2628" s="193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94"/>
    </row>
    <row r="2629" spans="1:27" ht="15.75" customHeight="1">
      <c r="A2629" s="199" t="str">
        <f>IF(B2629&lt;&gt;"",IF(AND(B2629&gt;=_TM1,B2629&lt;=_TM2,OR(TH!L2629="1111",TH!M2629="1111")),TH!D2629,""),"")</f>
        <v/>
      </c>
      <c r="B2629" s="36" t="str">
        <f t="shared" si="66"/>
        <v/>
      </c>
      <c r="C2629" s="190"/>
      <c r="D2629" s="190"/>
      <c r="E2629" s="190"/>
      <c r="F2629" s="191"/>
      <c r="G2629" s="491"/>
      <c r="H2629" s="192"/>
      <c r="I2629" s="253"/>
      <c r="J2629" s="253"/>
      <c r="K2629" s="606"/>
      <c r="L2629" s="193"/>
      <c r="M2629" s="193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94"/>
    </row>
    <row r="2630" spans="1:27" ht="15.75" customHeight="1">
      <c r="A2630" s="199" t="str">
        <f>IF(B2630&lt;&gt;"",IF(AND(B2630&gt;=_TM1,B2630&lt;=_TM2,OR(TH!L2630="1111",TH!M2630="1111")),TH!D2630,""),"")</f>
        <v/>
      </c>
      <c r="B2630" s="36" t="str">
        <f t="shared" si="66"/>
        <v/>
      </c>
      <c r="C2630" s="190"/>
      <c r="D2630" s="190"/>
      <c r="E2630" s="190"/>
      <c r="F2630" s="191"/>
      <c r="G2630" s="491"/>
      <c r="H2630" s="192"/>
      <c r="I2630" s="253"/>
      <c r="J2630" s="253"/>
      <c r="K2630" s="606"/>
      <c r="L2630" s="193"/>
      <c r="M2630" s="193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94"/>
    </row>
    <row r="2631" spans="1:27" ht="15.75" customHeight="1">
      <c r="A2631" s="199" t="str">
        <f>IF(B2631&lt;&gt;"",IF(AND(B2631&gt;=_TM1,B2631&lt;=_TM2,OR(TH!L2631="1111",TH!M2631="1111")),TH!D2631,""),"")</f>
        <v/>
      </c>
      <c r="B2631" s="36" t="str">
        <f t="shared" si="66"/>
        <v/>
      </c>
      <c r="C2631" s="190"/>
      <c r="D2631" s="190"/>
      <c r="E2631" s="190"/>
      <c r="F2631" s="191"/>
      <c r="G2631" s="491"/>
      <c r="H2631" s="192"/>
      <c r="I2631" s="253"/>
      <c r="J2631" s="253"/>
      <c r="K2631" s="606"/>
      <c r="L2631" s="193"/>
      <c r="M2631" s="193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94"/>
    </row>
    <row r="2632" spans="1:27" ht="15.75" customHeight="1">
      <c r="A2632" s="199" t="str">
        <f>IF(B2632&lt;&gt;"",IF(AND(B2632&gt;=_TM1,B2632&lt;=_TM2,OR(TH!L2632="1111",TH!M2632="1111")),TH!D2632,""),"")</f>
        <v/>
      </c>
      <c r="B2632" s="36" t="str">
        <f t="shared" si="66"/>
        <v/>
      </c>
      <c r="C2632" s="190"/>
      <c r="D2632" s="190"/>
      <c r="E2632" s="190"/>
      <c r="F2632" s="191"/>
      <c r="G2632" s="491"/>
      <c r="H2632" s="192"/>
      <c r="I2632" s="253"/>
      <c r="J2632" s="253"/>
      <c r="K2632" s="606"/>
      <c r="L2632" s="193"/>
      <c r="M2632" s="193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94"/>
    </row>
    <row r="2633" spans="1:27" ht="15.75" customHeight="1">
      <c r="A2633" s="199" t="str">
        <f>IF(B2633&lt;&gt;"",IF(AND(B2633&gt;=_TM1,B2633&lt;=_TM2,OR(TH!L2633="1111",TH!M2633="1111")),TH!D2633,""),"")</f>
        <v/>
      </c>
      <c r="B2633" s="36" t="str">
        <f t="shared" si="66"/>
        <v/>
      </c>
      <c r="C2633" s="190"/>
      <c r="D2633" s="190"/>
      <c r="E2633" s="190"/>
      <c r="F2633" s="191"/>
      <c r="G2633" s="491"/>
      <c r="H2633" s="192"/>
      <c r="I2633" s="253"/>
      <c r="J2633" s="253"/>
      <c r="K2633" s="606"/>
      <c r="L2633" s="193"/>
      <c r="M2633" s="193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94"/>
    </row>
    <row r="2634" spans="1:27" ht="15.75" customHeight="1">
      <c r="A2634" s="199" t="str">
        <f>IF(B2634&lt;&gt;"",IF(AND(B2634&gt;=_TM1,B2634&lt;=_TM2,OR(TH!L2634="1111",TH!M2634="1111")),TH!D2634,""),"")</f>
        <v/>
      </c>
      <c r="B2634" s="36" t="str">
        <f t="shared" si="66"/>
        <v/>
      </c>
      <c r="C2634" s="190"/>
      <c r="D2634" s="190"/>
      <c r="E2634" s="190"/>
      <c r="F2634" s="40"/>
      <c r="G2634" s="40"/>
      <c r="H2634" s="7"/>
      <c r="I2634" s="253"/>
      <c r="J2634" s="253"/>
      <c r="K2634" s="606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94"/>
    </row>
    <row r="2635" spans="1:27" ht="15.75" customHeight="1">
      <c r="A2635" s="199" t="str">
        <f>IF(B2635&lt;&gt;"",IF(AND(B2635&gt;=_TM1,B2635&lt;=_TM2,OR(TH!L2635="1111",TH!M2635="1111")),TH!D2635,""),"")</f>
        <v/>
      </c>
      <c r="B2635" s="36" t="str">
        <f t="shared" si="66"/>
        <v/>
      </c>
      <c r="C2635" s="190"/>
      <c r="D2635" s="190"/>
      <c r="E2635" s="190"/>
      <c r="F2635" s="40"/>
      <c r="G2635" s="40"/>
      <c r="H2635" s="7"/>
      <c r="I2635" s="253"/>
      <c r="J2635" s="253"/>
      <c r="K2635" s="606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94"/>
    </row>
    <row r="2636" spans="1:27" ht="15.75" customHeight="1">
      <c r="A2636" s="199" t="str">
        <f>IF(B2636&lt;&gt;"",IF(AND(B2636&gt;=_TM1,B2636&lt;=_TM2,OR(TH!L2636="1111",TH!M2636="1111")),TH!D2636,""),"")</f>
        <v/>
      </c>
      <c r="B2636" s="36" t="str">
        <f t="shared" si="66"/>
        <v/>
      </c>
      <c r="C2636" s="190"/>
      <c r="D2636" s="190"/>
      <c r="E2636" s="190"/>
      <c r="F2636" s="188"/>
      <c r="G2636" s="40"/>
      <c r="H2636" s="7"/>
      <c r="I2636" s="253"/>
      <c r="J2636" s="253"/>
      <c r="K2636" s="606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94"/>
    </row>
    <row r="2637" spans="1:27" ht="15.75" customHeight="1">
      <c r="A2637" s="199" t="str">
        <f>IF(B2637&lt;&gt;"",IF(AND(B2637&gt;=_TM1,B2637&lt;=_TM2,OR(TH!L2637="1111",TH!M2637="1111")),TH!D2637,""),"")</f>
        <v/>
      </c>
      <c r="B2637" s="36" t="str">
        <f t="shared" si="66"/>
        <v/>
      </c>
      <c r="C2637" s="190"/>
      <c r="D2637" s="190"/>
      <c r="E2637" s="190"/>
      <c r="F2637" s="40"/>
      <c r="G2637" s="40"/>
      <c r="H2637" s="7"/>
      <c r="I2637" s="253"/>
      <c r="J2637" s="253"/>
      <c r="K2637" s="606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94"/>
    </row>
    <row r="2638" spans="1:27" ht="15.75" customHeight="1">
      <c r="A2638" s="199" t="str">
        <f>IF(B2638&lt;&gt;"",IF(AND(B2638&gt;=_TM1,B2638&lt;=_TM2,OR(TH!L2638="1111",TH!M2638="1111")),TH!D2638,""),"")</f>
        <v/>
      </c>
      <c r="B2638" s="36" t="str">
        <f t="shared" si="66"/>
        <v/>
      </c>
      <c r="C2638" s="190"/>
      <c r="D2638" s="190"/>
      <c r="E2638" s="190"/>
      <c r="F2638" s="40"/>
      <c r="G2638" s="40"/>
      <c r="H2638" s="7"/>
      <c r="I2638" s="253"/>
      <c r="J2638" s="253"/>
      <c r="K2638" s="606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94"/>
    </row>
    <row r="2639" spans="1:27" ht="15.75" customHeight="1">
      <c r="A2639" s="199" t="str">
        <f>IF(B2639&lt;&gt;"",IF(AND(B2639&gt;=_TM1,B2639&lt;=_TM2,OR(TH!L2639="1111",TH!M2639="1111")),TH!D2639,""),"")</f>
        <v/>
      </c>
      <c r="B2639" s="36" t="str">
        <f t="shared" si="66"/>
        <v/>
      </c>
      <c r="C2639" s="190"/>
      <c r="D2639" s="190"/>
      <c r="E2639" s="190"/>
      <c r="F2639" s="40"/>
      <c r="G2639" s="40"/>
      <c r="H2639" s="7"/>
      <c r="I2639" s="253"/>
      <c r="J2639" s="253"/>
      <c r="K2639" s="606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94"/>
    </row>
    <row r="2640" spans="1:27" ht="15.75" customHeight="1">
      <c r="A2640" s="199" t="str">
        <f>IF(B2640&lt;&gt;"",IF(AND(B2640&gt;=_TM1,B2640&lt;=_TM2,OR(TH!L2640="1111",TH!M2640="1111")),TH!D2640,""),"")</f>
        <v/>
      </c>
      <c r="B2640" s="36" t="str">
        <f t="shared" si="66"/>
        <v/>
      </c>
      <c r="C2640" s="190"/>
      <c r="D2640" s="190"/>
      <c r="E2640" s="190"/>
      <c r="F2640" s="188"/>
      <c r="G2640" s="40"/>
      <c r="H2640" s="7"/>
      <c r="I2640" s="253"/>
      <c r="J2640" s="253"/>
      <c r="K2640" s="606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94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66"/>
        <v/>
      </c>
      <c r="C2641" s="190"/>
      <c r="D2641" s="190"/>
      <c r="E2641" s="190"/>
      <c r="F2641" s="40"/>
      <c r="G2641" s="40"/>
      <c r="H2641" s="7"/>
      <c r="I2641" s="253"/>
      <c r="J2641" s="253"/>
      <c r="K2641" s="606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94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66"/>
        <v/>
      </c>
      <c r="C2642" s="190"/>
      <c r="D2642" s="190"/>
      <c r="E2642" s="190"/>
      <c r="F2642" s="188"/>
      <c r="G2642" s="40"/>
      <c r="H2642" s="7"/>
      <c r="I2642" s="253"/>
      <c r="J2642" s="253"/>
      <c r="K2642" s="606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94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66"/>
        <v/>
      </c>
      <c r="C2643" s="190"/>
      <c r="D2643" s="37"/>
      <c r="E2643" s="190"/>
      <c r="F2643" s="40"/>
      <c r="G2643" s="40"/>
      <c r="H2643" s="7"/>
      <c r="I2643" s="253"/>
      <c r="J2643" s="253"/>
      <c r="K2643" s="606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94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66"/>
        <v/>
      </c>
      <c r="C2644" s="190"/>
      <c r="D2644" s="37"/>
      <c r="E2644" s="190"/>
      <c r="F2644" s="40"/>
      <c r="G2644" s="40"/>
      <c r="H2644" s="7"/>
      <c r="I2644" s="253"/>
      <c r="J2644" s="253"/>
      <c r="K2644" s="606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94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66"/>
        <v/>
      </c>
      <c r="C2645" s="190"/>
      <c r="D2645" s="37"/>
      <c r="E2645" s="190"/>
      <c r="F2645" s="40"/>
      <c r="G2645" s="40"/>
      <c r="H2645" s="7"/>
      <c r="I2645" s="253"/>
      <c r="J2645" s="253"/>
      <c r="K2645" s="606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94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66"/>
        <v/>
      </c>
      <c r="C2646" s="190"/>
      <c r="D2646" s="37"/>
      <c r="E2646" s="190"/>
      <c r="F2646" s="40"/>
      <c r="G2646" s="40"/>
      <c r="H2646" s="7"/>
      <c r="I2646" s="253"/>
      <c r="J2646" s="253"/>
      <c r="K2646" s="606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94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66"/>
        <v/>
      </c>
      <c r="C2647" s="190"/>
      <c r="D2647" s="37"/>
      <c r="E2647" s="190"/>
      <c r="F2647" s="40"/>
      <c r="G2647" s="40"/>
      <c r="H2647" s="7"/>
      <c r="I2647" s="253"/>
      <c r="J2647" s="253"/>
      <c r="K2647" s="606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94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66"/>
        <v/>
      </c>
      <c r="C2648" s="190"/>
      <c r="D2648" s="37"/>
      <c r="E2648" s="190"/>
      <c r="F2648" s="40"/>
      <c r="G2648" s="40"/>
      <c r="H2648" s="7"/>
      <c r="I2648" s="253"/>
      <c r="J2648" s="253"/>
      <c r="K2648" s="606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94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ref="B2649:B2712" si="67">IF(C2649&lt;&gt;"",MONTH(C2649),"")</f>
        <v/>
      </c>
      <c r="C2649" s="190"/>
      <c r="D2649" s="37"/>
      <c r="E2649" s="190"/>
      <c r="F2649" s="40"/>
      <c r="G2649" s="40"/>
      <c r="H2649" s="7"/>
      <c r="I2649" s="253"/>
      <c r="J2649" s="253"/>
      <c r="K2649" s="606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94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67"/>
        <v/>
      </c>
      <c r="C2650" s="190"/>
      <c r="D2650" s="37"/>
      <c r="E2650" s="190"/>
      <c r="F2650" s="40"/>
      <c r="G2650" s="40"/>
      <c r="H2650" s="7"/>
      <c r="I2650" s="253"/>
      <c r="J2650" s="253"/>
      <c r="K2650" s="606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94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si="67"/>
        <v/>
      </c>
      <c r="C2651" s="190"/>
      <c r="D2651" s="37"/>
      <c r="E2651" s="190"/>
      <c r="F2651" s="40"/>
      <c r="G2651" s="40"/>
      <c r="H2651" s="7"/>
      <c r="I2651" s="253"/>
      <c r="J2651" s="253"/>
      <c r="K2651" s="606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94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67"/>
        <v/>
      </c>
      <c r="C2652" s="190"/>
      <c r="D2652" s="37"/>
      <c r="E2652" s="190"/>
      <c r="F2652" s="40"/>
      <c r="G2652" s="40"/>
      <c r="H2652" s="7"/>
      <c r="I2652" s="253"/>
      <c r="J2652" s="253"/>
      <c r="K2652" s="606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94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67"/>
        <v/>
      </c>
      <c r="C2653" s="190"/>
      <c r="D2653" s="37"/>
      <c r="E2653" s="190"/>
      <c r="F2653" s="40"/>
      <c r="G2653" s="40"/>
      <c r="H2653" s="7"/>
      <c r="I2653" s="253"/>
      <c r="J2653" s="253"/>
      <c r="K2653" s="606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94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67"/>
        <v/>
      </c>
      <c r="C2654" s="190"/>
      <c r="D2654" s="37"/>
      <c r="E2654" s="190"/>
      <c r="F2654" s="40"/>
      <c r="G2654" s="40"/>
      <c r="H2654" s="7"/>
      <c r="I2654" s="253"/>
      <c r="J2654" s="253"/>
      <c r="K2654" s="606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94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67"/>
        <v/>
      </c>
      <c r="C2655" s="190"/>
      <c r="D2655" s="37"/>
      <c r="E2655" s="190"/>
      <c r="F2655" s="191"/>
      <c r="G2655" s="491"/>
      <c r="H2655" s="192"/>
      <c r="I2655" s="253"/>
      <c r="J2655" s="253"/>
      <c r="K2655" s="606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94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67"/>
        <v/>
      </c>
      <c r="C2656" s="190"/>
      <c r="D2656" s="37"/>
      <c r="E2656" s="190"/>
      <c r="F2656" s="191"/>
      <c r="G2656" s="491"/>
      <c r="H2656" s="192"/>
      <c r="I2656" s="253"/>
      <c r="J2656" s="253"/>
      <c r="K2656" s="606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94"/>
    </row>
    <row r="2657" spans="1:29" ht="15.75" customHeight="1">
      <c r="A2657" s="199" t="str">
        <f>IF(B2657&lt;&gt;"",IF(AND(B2657&gt;=_TM1,B2657&lt;=_TM2,OR(TH!L2657="1111",TH!M2657="1111")),TH!D2657,""),"")</f>
        <v/>
      </c>
      <c r="B2657" s="36" t="str">
        <f t="shared" si="67"/>
        <v/>
      </c>
      <c r="C2657" s="190"/>
      <c r="D2657" s="37"/>
      <c r="E2657" s="190"/>
      <c r="F2657" s="191"/>
      <c r="G2657" s="491"/>
      <c r="H2657" s="192"/>
      <c r="I2657" s="253"/>
      <c r="J2657" s="253"/>
      <c r="K2657" s="606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94"/>
    </row>
    <row r="2658" spans="1:29" ht="15.75" customHeight="1">
      <c r="A2658" s="199" t="str">
        <f>IF(B2658&lt;&gt;"",IF(AND(B2658&gt;=_TM1,B2658&lt;=_TM2,OR(TH!L2658="1111",TH!M2658="1111")),TH!D2658,""),"")</f>
        <v/>
      </c>
      <c r="B2658" s="36" t="str">
        <f t="shared" si="67"/>
        <v/>
      </c>
      <c r="C2658" s="190"/>
      <c r="D2658" s="37"/>
      <c r="E2658" s="190"/>
      <c r="F2658" s="191"/>
      <c r="G2658" s="491"/>
      <c r="H2658" s="192"/>
      <c r="I2658" s="253"/>
      <c r="J2658" s="253"/>
      <c r="K2658" s="606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94"/>
    </row>
    <row r="2659" spans="1:29" ht="15.75" customHeight="1">
      <c r="A2659" s="199" t="str">
        <f>IF(B2659&lt;&gt;"",IF(AND(B2659&gt;=_TM1,B2659&lt;=_TM2,OR(TH!L2659="1111",TH!M2659="1111")),TH!D2659,""),"")</f>
        <v/>
      </c>
      <c r="B2659" s="36" t="str">
        <f t="shared" si="67"/>
        <v/>
      </c>
      <c r="C2659" s="190"/>
      <c r="D2659" s="37"/>
      <c r="E2659" s="190"/>
      <c r="F2659" s="191"/>
      <c r="G2659" s="491"/>
      <c r="H2659" s="192"/>
      <c r="I2659" s="253"/>
      <c r="J2659" s="253"/>
      <c r="K2659" s="606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94"/>
    </row>
    <row r="2660" spans="1:29" ht="15.75" customHeight="1">
      <c r="A2660" s="199" t="str">
        <f>IF(B2660&lt;&gt;"",IF(AND(B2660&gt;=_TM1,B2660&lt;=_TM2,OR(TH!L2660="1111",TH!M2660="1111")),TH!D2660,""),"")</f>
        <v/>
      </c>
      <c r="B2660" s="36" t="str">
        <f t="shared" si="67"/>
        <v/>
      </c>
      <c r="C2660" s="190"/>
      <c r="D2660" s="37"/>
      <c r="E2660" s="190"/>
      <c r="F2660" s="191"/>
      <c r="G2660" s="491"/>
      <c r="H2660" s="192"/>
      <c r="I2660" s="253"/>
      <c r="J2660" s="253"/>
      <c r="K2660" s="606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94"/>
    </row>
    <row r="2661" spans="1:29" ht="15.75" customHeight="1">
      <c r="A2661" s="199" t="str">
        <f>IF(B2661&lt;&gt;"",IF(AND(B2661&gt;=_TM1,B2661&lt;=_TM2,OR(TH!L2661="1111",TH!M2661="1111")),TH!D2661,""),"")</f>
        <v/>
      </c>
      <c r="B2661" s="36" t="str">
        <f t="shared" si="67"/>
        <v/>
      </c>
      <c r="C2661" s="190"/>
      <c r="D2661" s="37"/>
      <c r="E2661" s="190"/>
      <c r="F2661" s="191"/>
      <c r="G2661" s="491"/>
      <c r="H2661" s="192"/>
      <c r="I2661" s="253"/>
      <c r="J2661" s="253"/>
      <c r="K2661" s="606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94"/>
    </row>
    <row r="2662" spans="1:29" ht="15.75" customHeight="1">
      <c r="A2662" s="199" t="str">
        <f>IF(B2662&lt;&gt;"",IF(AND(B2662&gt;=_TM1,B2662&lt;=_TM2,OR(TH!L2662="1111",TH!M2662="1111")),TH!D2662,""),"")</f>
        <v/>
      </c>
      <c r="B2662" s="36" t="str">
        <f t="shared" si="67"/>
        <v/>
      </c>
      <c r="C2662" s="190"/>
      <c r="D2662" s="37"/>
      <c r="E2662" s="190"/>
      <c r="F2662" s="191"/>
      <c r="G2662" s="491"/>
      <c r="H2662" s="192"/>
      <c r="I2662" s="253"/>
      <c r="J2662" s="253"/>
      <c r="K2662" s="606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94"/>
    </row>
    <row r="2663" spans="1:29" ht="15.75" customHeight="1">
      <c r="A2663" s="199" t="str">
        <f>IF(B2663&lt;&gt;"",IF(AND(B2663&gt;=_TM1,B2663&lt;=_TM2,OR(TH!L2663="1111",TH!M2663="1111")),TH!D2663,""),"")</f>
        <v/>
      </c>
      <c r="B2663" s="36" t="str">
        <f t="shared" si="67"/>
        <v/>
      </c>
      <c r="C2663" s="190"/>
      <c r="D2663" s="37"/>
      <c r="E2663" s="190"/>
      <c r="F2663" s="191"/>
      <c r="G2663" s="491"/>
      <c r="H2663" s="192"/>
      <c r="I2663" s="253"/>
      <c r="J2663" s="253"/>
      <c r="K2663" s="606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94"/>
    </row>
    <row r="2664" spans="1:29" ht="15.75" customHeight="1">
      <c r="A2664" s="199" t="str">
        <f>IF(B2664&lt;&gt;"",IF(AND(B2664&gt;=_TM1,B2664&lt;=_TM2,OR(TH!L2664="1111",TH!M2664="1111")),TH!D2664,""),"")</f>
        <v/>
      </c>
      <c r="B2664" s="36" t="str">
        <f t="shared" si="67"/>
        <v/>
      </c>
      <c r="C2664" s="190"/>
      <c r="D2664" s="37"/>
      <c r="E2664" s="190"/>
      <c r="F2664" s="191"/>
      <c r="G2664" s="491"/>
      <c r="H2664" s="192"/>
      <c r="I2664" s="253"/>
      <c r="J2664" s="253"/>
      <c r="K2664" s="606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94"/>
    </row>
    <row r="2665" spans="1:29" ht="15.75" customHeight="1">
      <c r="A2665" s="199" t="str">
        <f>IF(B2665&lt;&gt;"",IF(AND(B2665&gt;=_TM1,B2665&lt;=_TM2,OR(TH!L2665="1111",TH!M2665="1111")),TH!D2665,""),"")</f>
        <v/>
      </c>
      <c r="B2665" s="36" t="str">
        <f t="shared" si="67"/>
        <v/>
      </c>
      <c r="C2665" s="190"/>
      <c r="D2665" s="37"/>
      <c r="E2665" s="190"/>
      <c r="F2665" s="191"/>
      <c r="G2665" s="491"/>
      <c r="H2665" s="192"/>
      <c r="I2665" s="253"/>
      <c r="J2665" s="253"/>
      <c r="K2665" s="606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94"/>
    </row>
    <row r="2666" spans="1:29" ht="15.75" customHeight="1">
      <c r="A2666" s="199" t="str">
        <f>IF(B2666&lt;&gt;"",IF(AND(B2666&gt;=_TM1,B2666&lt;=_TM2,OR(TH!L2666="1111",TH!M2666="1111")),TH!D2666,""),"")</f>
        <v/>
      </c>
      <c r="B2666" s="36" t="str">
        <f t="shared" si="67"/>
        <v/>
      </c>
      <c r="C2666" s="190"/>
      <c r="D2666" s="37"/>
      <c r="E2666" s="190"/>
      <c r="F2666" s="191"/>
      <c r="G2666" s="491"/>
      <c r="H2666" s="192"/>
      <c r="I2666" s="253"/>
      <c r="J2666" s="253"/>
      <c r="K2666" s="606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94"/>
    </row>
    <row r="2667" spans="1:29" ht="15.75" customHeight="1">
      <c r="A2667" s="199" t="str">
        <f>IF(B2667&lt;&gt;"",IF(AND(B2667&gt;=_TM1,B2667&lt;=_TM2,OR(TH!L2667="1111",TH!M2667="1111")),TH!D2667,""),"")</f>
        <v/>
      </c>
      <c r="B2667" s="36" t="str">
        <f t="shared" si="67"/>
        <v/>
      </c>
      <c r="C2667" s="183"/>
      <c r="D2667" s="183"/>
      <c r="E2667" s="183"/>
      <c r="F2667" s="188"/>
      <c r="G2667" s="608"/>
      <c r="H2667" s="7"/>
      <c r="I2667" s="253"/>
      <c r="J2667" s="253"/>
      <c r="K2667" s="606"/>
      <c r="L2667" s="607"/>
      <c r="M2667" s="607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94"/>
    </row>
    <row r="2668" spans="1:29" ht="15.75" customHeight="1">
      <c r="A2668" s="199" t="str">
        <f>IF(B2668&lt;&gt;"",IF(AND(B2668&gt;=_TM1,B2668&lt;=_TM2,OR(TH!L2668="1111",TH!M2668="1111")),TH!D2668,""),"")</f>
        <v/>
      </c>
      <c r="B2668" s="36" t="str">
        <f t="shared" si="67"/>
        <v/>
      </c>
      <c r="C2668" s="190"/>
      <c r="D2668" s="183"/>
      <c r="E2668" s="183"/>
      <c r="F2668" s="188"/>
      <c r="G2668" s="491"/>
      <c r="H2668" s="7"/>
      <c r="I2668" s="253"/>
      <c r="J2668" s="253"/>
      <c r="K2668" s="38"/>
      <c r="L2668" s="193"/>
      <c r="M2668" s="193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94"/>
      <c r="AB2668" s="598"/>
      <c r="AC2668" s="598"/>
    </row>
    <row r="2669" spans="1:29" ht="15.75" customHeight="1">
      <c r="A2669" s="199" t="str">
        <f>IF(B2669&lt;&gt;"",IF(AND(B2669&gt;=_TM1,B2669&lt;=_TM2,OR(TH!L2669="1111",TH!M2669="1111")),TH!D2669,""),"")</f>
        <v/>
      </c>
      <c r="B2669" s="36" t="str">
        <f t="shared" si="67"/>
        <v/>
      </c>
      <c r="C2669" s="190"/>
      <c r="D2669" s="183"/>
      <c r="E2669" s="183"/>
      <c r="F2669" s="188"/>
      <c r="G2669" s="491"/>
      <c r="H2669" s="7"/>
      <c r="I2669" s="253"/>
      <c r="J2669" s="253"/>
      <c r="K2669" s="38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94"/>
      <c r="AB2669" s="598"/>
      <c r="AC2669" s="598"/>
    </row>
    <row r="2670" spans="1:29" ht="15.75" customHeight="1">
      <c r="A2670" s="199" t="str">
        <f>IF(B2670&lt;&gt;"",IF(AND(B2670&gt;=_TM1,B2670&lt;=_TM2,OR(TH!L2670="1111",TH!M2670="1111")),TH!D2670,""),"")</f>
        <v/>
      </c>
      <c r="B2670" s="36" t="str">
        <f t="shared" si="67"/>
        <v/>
      </c>
      <c r="C2670" s="190"/>
      <c r="D2670" s="190"/>
      <c r="E2670" s="183"/>
      <c r="F2670" s="191"/>
      <c r="G2670" s="491"/>
      <c r="H2670" s="817"/>
      <c r="I2670" s="253"/>
      <c r="J2670" s="253"/>
      <c r="K2670" s="606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94"/>
    </row>
    <row r="2671" spans="1:29" ht="15.75" customHeight="1">
      <c r="A2671" s="199" t="str">
        <f>IF(B2671&lt;&gt;"",IF(AND(B2671&gt;=_TM1,B2671&lt;=_TM2,OR(TH!L2671="1111",TH!M2671="1111")),TH!D2671,""),"")</f>
        <v/>
      </c>
      <c r="B2671" s="36" t="str">
        <f t="shared" si="67"/>
        <v/>
      </c>
      <c r="C2671" s="190"/>
      <c r="D2671" s="190"/>
      <c r="E2671" s="190"/>
      <c r="F2671" s="188"/>
      <c r="G2671" s="40"/>
      <c r="H2671" s="7"/>
      <c r="I2671" s="253"/>
      <c r="J2671" s="253"/>
      <c r="K2671" s="606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94"/>
    </row>
    <row r="2672" spans="1:29" ht="15.75" customHeight="1">
      <c r="A2672" s="199" t="str">
        <f>IF(B2672&lt;&gt;"",IF(AND(B2672&gt;=_TM1,B2672&lt;=_TM2,OR(TH!L2672="1111",TH!M2672="1111")),TH!D2672,""),"")</f>
        <v/>
      </c>
      <c r="B2672" s="36" t="str">
        <f t="shared" si="67"/>
        <v/>
      </c>
      <c r="C2672" s="190"/>
      <c r="D2672" s="190"/>
      <c r="E2672" s="190"/>
      <c r="F2672" s="188"/>
      <c r="G2672" s="40"/>
      <c r="H2672" s="7"/>
      <c r="I2672" s="253"/>
      <c r="J2672" s="253"/>
      <c r="K2672" s="606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94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67"/>
        <v/>
      </c>
      <c r="C2673" s="190"/>
      <c r="D2673" s="190"/>
      <c r="E2673" s="190"/>
      <c r="F2673" s="188"/>
      <c r="G2673" s="40"/>
      <c r="H2673" s="7"/>
      <c r="I2673" s="253"/>
      <c r="J2673" s="253"/>
      <c r="K2673" s="606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94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67"/>
        <v/>
      </c>
      <c r="C2674" s="190"/>
      <c r="D2674" s="190"/>
      <c r="E2674" s="190"/>
      <c r="F2674" s="40"/>
      <c r="G2674" s="40"/>
      <c r="H2674" s="7"/>
      <c r="I2674" s="253"/>
      <c r="J2674" s="253"/>
      <c r="K2674" s="606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94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67"/>
        <v/>
      </c>
      <c r="C2675" s="190"/>
      <c r="D2675" s="190"/>
      <c r="E2675" s="190"/>
      <c r="F2675" s="40"/>
      <c r="G2675" s="40"/>
      <c r="H2675" s="7"/>
      <c r="I2675" s="253"/>
      <c r="J2675" s="253"/>
      <c r="K2675" s="606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94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67"/>
        <v/>
      </c>
      <c r="C2676" s="190"/>
      <c r="D2676" s="190"/>
      <c r="E2676" s="190"/>
      <c r="F2676" s="40"/>
      <c r="G2676" s="40"/>
      <c r="H2676" s="7"/>
      <c r="I2676" s="253"/>
      <c r="J2676" s="253"/>
      <c r="K2676" s="606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94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67"/>
        <v/>
      </c>
      <c r="C2677" s="190"/>
      <c r="D2677" s="190"/>
      <c r="E2677" s="190"/>
      <c r="F2677" s="40"/>
      <c r="G2677" s="40"/>
      <c r="H2677" s="7"/>
      <c r="I2677" s="253"/>
      <c r="J2677" s="253"/>
      <c r="K2677" s="606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94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67"/>
        <v/>
      </c>
      <c r="C2678" s="190"/>
      <c r="D2678" s="190"/>
      <c r="E2678" s="190"/>
      <c r="F2678" s="40"/>
      <c r="G2678" s="40"/>
      <c r="H2678" s="7"/>
      <c r="I2678" s="253"/>
      <c r="J2678" s="253"/>
      <c r="K2678" s="606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94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si="67"/>
        <v/>
      </c>
      <c r="C2679" s="190"/>
      <c r="D2679" s="190"/>
      <c r="E2679" s="190"/>
      <c r="F2679" s="40"/>
      <c r="G2679" s="40"/>
      <c r="H2679" s="7"/>
      <c r="I2679" s="253"/>
      <c r="J2679" s="253"/>
      <c r="K2679" s="606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94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67"/>
        <v/>
      </c>
      <c r="C2680" s="190"/>
      <c r="D2680" s="190"/>
      <c r="E2680" s="190"/>
      <c r="F2680" s="188"/>
      <c r="G2680" s="40"/>
      <c r="H2680" s="7"/>
      <c r="I2680" s="253"/>
      <c r="J2680" s="253"/>
      <c r="K2680" s="606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94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67"/>
        <v/>
      </c>
      <c r="C2681" s="190"/>
      <c r="D2681" s="190"/>
      <c r="E2681" s="190"/>
      <c r="F2681" s="188"/>
      <c r="G2681" s="40"/>
      <c r="H2681" s="7"/>
      <c r="I2681" s="253"/>
      <c r="J2681" s="253"/>
      <c r="K2681" s="606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94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67"/>
        <v/>
      </c>
      <c r="C2682" s="190"/>
      <c r="D2682" s="190"/>
      <c r="E2682" s="190"/>
      <c r="F2682" s="188"/>
      <c r="G2682" s="40"/>
      <c r="H2682" s="7"/>
      <c r="I2682" s="253"/>
      <c r="J2682" s="253"/>
      <c r="K2682" s="606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94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67"/>
        <v/>
      </c>
      <c r="C2683" s="190"/>
      <c r="D2683" s="190"/>
      <c r="E2683" s="190"/>
      <c r="F2683" s="40"/>
      <c r="G2683" s="40"/>
      <c r="H2683" s="7"/>
      <c r="I2683" s="253"/>
      <c r="J2683" s="253"/>
      <c r="K2683" s="606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94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67"/>
        <v/>
      </c>
      <c r="C2684" s="190"/>
      <c r="D2684" s="190"/>
      <c r="E2684" s="190"/>
      <c r="F2684" s="40"/>
      <c r="G2684" s="40"/>
      <c r="H2684" s="7"/>
      <c r="I2684" s="253"/>
      <c r="J2684" s="253"/>
      <c r="K2684" s="606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94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67"/>
        <v/>
      </c>
      <c r="C2685" s="190"/>
      <c r="D2685" s="190"/>
      <c r="E2685" s="190"/>
      <c r="F2685" s="40"/>
      <c r="G2685" s="40"/>
      <c r="H2685" s="7"/>
      <c r="I2685" s="253"/>
      <c r="J2685" s="253"/>
      <c r="K2685" s="606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94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67"/>
        <v/>
      </c>
      <c r="C2686" s="190"/>
      <c r="D2686" s="190"/>
      <c r="E2686" s="190"/>
      <c r="F2686" s="40"/>
      <c r="G2686" s="40"/>
      <c r="H2686" s="7"/>
      <c r="I2686" s="253"/>
      <c r="J2686" s="253"/>
      <c r="K2686" s="606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94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67"/>
        <v/>
      </c>
      <c r="C2687" s="190"/>
      <c r="D2687" s="190"/>
      <c r="E2687" s="190"/>
      <c r="F2687" s="40"/>
      <c r="G2687" s="40"/>
      <c r="H2687" s="7"/>
      <c r="I2687" s="253"/>
      <c r="J2687" s="253"/>
      <c r="K2687" s="606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94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67"/>
        <v/>
      </c>
      <c r="C2688" s="190"/>
      <c r="D2688" s="190"/>
      <c r="E2688" s="190"/>
      <c r="F2688" s="40"/>
      <c r="G2688" s="40"/>
      <c r="H2688" s="7"/>
      <c r="I2688" s="253"/>
      <c r="J2688" s="253"/>
      <c r="K2688" s="606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94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67"/>
        <v/>
      </c>
      <c r="C2689" s="190"/>
      <c r="D2689" s="190"/>
      <c r="E2689" s="190"/>
      <c r="F2689" s="40"/>
      <c r="G2689" s="40"/>
      <c r="H2689" s="7"/>
      <c r="I2689" s="253"/>
      <c r="J2689" s="253"/>
      <c r="K2689" s="606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94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67"/>
        <v/>
      </c>
      <c r="C2690" s="190"/>
      <c r="D2690" s="190"/>
      <c r="E2690" s="190"/>
      <c r="F2690" s="40"/>
      <c r="G2690" s="40"/>
      <c r="H2690" s="7"/>
      <c r="I2690" s="253"/>
      <c r="J2690" s="253"/>
      <c r="K2690" s="606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94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67"/>
        <v/>
      </c>
      <c r="C2691" s="190"/>
      <c r="D2691" s="190"/>
      <c r="E2691" s="190"/>
      <c r="F2691" s="40"/>
      <c r="G2691" s="40"/>
      <c r="H2691" s="7"/>
      <c r="I2691" s="253"/>
      <c r="J2691" s="253"/>
      <c r="K2691" s="606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94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67"/>
        <v/>
      </c>
      <c r="C2692" s="190"/>
      <c r="D2692" s="190"/>
      <c r="E2692" s="190"/>
      <c r="F2692" s="40"/>
      <c r="G2692" s="40"/>
      <c r="H2692" s="7"/>
      <c r="I2692" s="253"/>
      <c r="J2692" s="253"/>
      <c r="K2692" s="606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94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67"/>
        <v/>
      </c>
      <c r="C2693" s="190"/>
      <c r="D2693" s="190"/>
      <c r="E2693" s="190"/>
      <c r="F2693" s="40"/>
      <c r="G2693" s="40"/>
      <c r="H2693" s="7"/>
      <c r="I2693" s="253"/>
      <c r="J2693" s="253"/>
      <c r="K2693" s="606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94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67"/>
        <v/>
      </c>
      <c r="C2694" s="190"/>
      <c r="D2694" s="190"/>
      <c r="E2694" s="190"/>
      <c r="F2694" s="40"/>
      <c r="G2694" s="40"/>
      <c r="H2694" s="7"/>
      <c r="I2694" s="253"/>
      <c r="J2694" s="253"/>
      <c r="K2694" s="606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94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67"/>
        <v/>
      </c>
      <c r="C2695" s="190"/>
      <c r="D2695" s="190"/>
      <c r="E2695" s="190"/>
      <c r="F2695" s="40"/>
      <c r="G2695" s="40"/>
      <c r="H2695" s="7"/>
      <c r="I2695" s="253"/>
      <c r="J2695" s="253"/>
      <c r="K2695" s="606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94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67"/>
        <v/>
      </c>
      <c r="C2696" s="190"/>
      <c r="D2696" s="190"/>
      <c r="E2696" s="190"/>
      <c r="F2696" s="40"/>
      <c r="G2696" s="40"/>
      <c r="H2696" s="7"/>
      <c r="I2696" s="253"/>
      <c r="J2696" s="253"/>
      <c r="K2696" s="606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94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67"/>
        <v/>
      </c>
      <c r="C2697" s="190"/>
      <c r="D2697" s="190"/>
      <c r="E2697" s="190"/>
      <c r="F2697" s="40"/>
      <c r="G2697" s="40"/>
      <c r="H2697" s="7"/>
      <c r="I2697" s="253"/>
      <c r="J2697" s="253"/>
      <c r="K2697" s="606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94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67"/>
        <v/>
      </c>
      <c r="C2698" s="190"/>
      <c r="D2698" s="190"/>
      <c r="E2698" s="190"/>
      <c r="F2698" s="40"/>
      <c r="G2698" s="40"/>
      <c r="H2698" s="7"/>
      <c r="I2698" s="253"/>
      <c r="J2698" s="253"/>
      <c r="K2698" s="606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94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67"/>
        <v/>
      </c>
      <c r="C2699" s="190"/>
      <c r="D2699" s="190"/>
      <c r="E2699" s="190"/>
      <c r="F2699" s="40"/>
      <c r="G2699" s="40"/>
      <c r="H2699" s="7"/>
      <c r="I2699" s="253"/>
      <c r="J2699" s="253"/>
      <c r="K2699" s="606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94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67"/>
        <v/>
      </c>
      <c r="C2700" s="190"/>
      <c r="D2700" s="190"/>
      <c r="E2700" s="190"/>
      <c r="F2700" s="191"/>
      <c r="G2700" s="491"/>
      <c r="H2700" s="192"/>
      <c r="I2700" s="253"/>
      <c r="J2700" s="253"/>
      <c r="K2700" s="606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94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67"/>
        <v/>
      </c>
      <c r="C2701" s="190"/>
      <c r="D2701" s="190"/>
      <c r="E2701" s="190"/>
      <c r="F2701" s="191"/>
      <c r="G2701" s="491"/>
      <c r="H2701" s="192"/>
      <c r="I2701" s="253"/>
      <c r="J2701" s="253"/>
      <c r="K2701" s="606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94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67"/>
        <v/>
      </c>
      <c r="C2702" s="190"/>
      <c r="D2702" s="190"/>
      <c r="E2702" s="190"/>
      <c r="F2702" s="191"/>
      <c r="G2702" s="491"/>
      <c r="H2702" s="192"/>
      <c r="I2702" s="253"/>
      <c r="J2702" s="253"/>
      <c r="K2702" s="606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94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67"/>
        <v/>
      </c>
      <c r="C2703" s="190"/>
      <c r="D2703" s="190"/>
      <c r="E2703" s="190"/>
      <c r="F2703" s="191"/>
      <c r="G2703" s="491"/>
      <c r="H2703" s="192"/>
      <c r="I2703" s="253"/>
      <c r="J2703" s="253"/>
      <c r="K2703" s="606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94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67"/>
        <v/>
      </c>
      <c r="C2704" s="190"/>
      <c r="D2704" s="190"/>
      <c r="E2704" s="190"/>
      <c r="F2704" s="191"/>
      <c r="G2704" s="491"/>
      <c r="H2704" s="192"/>
      <c r="I2704" s="253"/>
      <c r="J2704" s="253"/>
      <c r="K2704" s="606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94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67"/>
        <v/>
      </c>
      <c r="C2705" s="190"/>
      <c r="D2705" s="190"/>
      <c r="E2705" s="190"/>
      <c r="F2705" s="191"/>
      <c r="G2705" s="491"/>
      <c r="H2705" s="192"/>
      <c r="I2705" s="253"/>
      <c r="J2705" s="253"/>
      <c r="K2705" s="606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94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67"/>
        <v/>
      </c>
      <c r="C2706" s="190"/>
      <c r="D2706" s="190"/>
      <c r="E2706" s="190"/>
      <c r="F2706" s="191"/>
      <c r="G2706" s="491"/>
      <c r="H2706" s="192"/>
      <c r="I2706" s="253"/>
      <c r="J2706" s="253"/>
      <c r="K2706" s="606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94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67"/>
        <v/>
      </c>
      <c r="C2707" s="190"/>
      <c r="D2707" s="190"/>
      <c r="E2707" s="190"/>
      <c r="F2707" s="191"/>
      <c r="G2707" s="491"/>
      <c r="H2707" s="192"/>
      <c r="I2707" s="253"/>
      <c r="J2707" s="253"/>
      <c r="K2707" s="606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94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67"/>
        <v/>
      </c>
      <c r="C2708" s="190"/>
      <c r="D2708" s="190"/>
      <c r="E2708" s="190"/>
      <c r="F2708" s="191"/>
      <c r="G2708" s="491"/>
      <c r="H2708" s="192"/>
      <c r="I2708" s="253"/>
      <c r="J2708" s="253"/>
      <c r="K2708" s="606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94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67"/>
        <v/>
      </c>
      <c r="C2709" s="190"/>
      <c r="D2709" s="190"/>
      <c r="E2709" s="190"/>
      <c r="F2709" s="191"/>
      <c r="G2709" s="491"/>
      <c r="H2709" s="192"/>
      <c r="I2709" s="253"/>
      <c r="J2709" s="253"/>
      <c r="K2709" s="606"/>
      <c r="L2709" s="193"/>
      <c r="M2709" s="193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94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67"/>
        <v/>
      </c>
      <c r="C2710" s="190"/>
      <c r="D2710" s="190"/>
      <c r="E2710" s="190"/>
      <c r="F2710" s="191"/>
      <c r="G2710" s="491"/>
      <c r="H2710" s="192"/>
      <c r="I2710" s="253"/>
      <c r="J2710" s="253"/>
      <c r="K2710" s="606"/>
      <c r="L2710" s="193"/>
      <c r="M2710" s="193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94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67"/>
        <v/>
      </c>
      <c r="C2711" s="190"/>
      <c r="D2711" s="190"/>
      <c r="E2711" s="190"/>
      <c r="F2711" s="191"/>
      <c r="G2711" s="491"/>
      <c r="H2711" s="192"/>
      <c r="I2711" s="253"/>
      <c r="J2711" s="253"/>
      <c r="K2711" s="606"/>
      <c r="L2711" s="193"/>
      <c r="M2711" s="193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94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67"/>
        <v/>
      </c>
      <c r="C2712" s="190"/>
      <c r="D2712" s="190"/>
      <c r="E2712" s="190"/>
      <c r="F2712" s="191"/>
      <c r="G2712" s="491"/>
      <c r="H2712" s="192"/>
      <c r="I2712" s="253"/>
      <c r="J2712" s="253"/>
      <c r="K2712" s="606"/>
      <c r="L2712" s="193"/>
      <c r="M2712" s="193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94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ref="B2713:B2776" si="68">IF(C2713&lt;&gt;"",MONTH(C2713),"")</f>
        <v/>
      </c>
      <c r="C2713" s="190"/>
      <c r="D2713" s="190"/>
      <c r="E2713" s="190"/>
      <c r="F2713" s="191"/>
      <c r="G2713" s="491"/>
      <c r="H2713" s="192"/>
      <c r="I2713" s="253"/>
      <c r="J2713" s="253"/>
      <c r="K2713" s="606"/>
      <c r="L2713" s="193"/>
      <c r="M2713" s="193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94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68"/>
        <v/>
      </c>
      <c r="C2714" s="190"/>
      <c r="D2714" s="190"/>
      <c r="E2714" s="190"/>
      <c r="F2714" s="191"/>
      <c r="G2714" s="491"/>
      <c r="H2714" s="192"/>
      <c r="I2714" s="253"/>
      <c r="J2714" s="253"/>
      <c r="K2714" s="606"/>
      <c r="L2714" s="193"/>
      <c r="M2714" s="193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94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68"/>
        <v/>
      </c>
      <c r="C2715" s="190"/>
      <c r="D2715" s="190"/>
      <c r="E2715" s="190"/>
      <c r="F2715" s="191"/>
      <c r="G2715" s="491"/>
      <c r="H2715" s="192"/>
      <c r="I2715" s="253"/>
      <c r="J2715" s="253"/>
      <c r="K2715" s="606"/>
      <c r="L2715" s="193"/>
      <c r="M2715" s="193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94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68"/>
        <v/>
      </c>
      <c r="C2716" s="190"/>
      <c r="D2716" s="190"/>
      <c r="E2716" s="190"/>
      <c r="F2716" s="191"/>
      <c r="G2716" s="491"/>
      <c r="H2716" s="192"/>
      <c r="I2716" s="253"/>
      <c r="J2716" s="253"/>
      <c r="K2716" s="606"/>
      <c r="L2716" s="193"/>
      <c r="M2716" s="193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94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68"/>
        <v/>
      </c>
      <c r="C2717" s="190"/>
      <c r="D2717" s="190"/>
      <c r="E2717" s="190"/>
      <c r="F2717" s="191"/>
      <c r="G2717" s="491"/>
      <c r="H2717" s="192"/>
      <c r="I2717" s="253"/>
      <c r="J2717" s="253"/>
      <c r="K2717" s="606"/>
      <c r="L2717" s="193"/>
      <c r="M2717" s="193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94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68"/>
        <v/>
      </c>
      <c r="C2718" s="190"/>
      <c r="D2718" s="190"/>
      <c r="E2718" s="190"/>
      <c r="F2718" s="191"/>
      <c r="G2718" s="491"/>
      <c r="H2718" s="192"/>
      <c r="I2718" s="253"/>
      <c r="J2718" s="253"/>
      <c r="K2718" s="606"/>
      <c r="L2718" s="193"/>
      <c r="M2718" s="193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94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68"/>
        <v/>
      </c>
      <c r="C2719" s="190"/>
      <c r="D2719" s="190"/>
      <c r="E2719" s="190"/>
      <c r="F2719" s="191"/>
      <c r="G2719" s="491"/>
      <c r="H2719" s="192"/>
      <c r="I2719" s="253"/>
      <c r="J2719" s="253"/>
      <c r="K2719" s="606"/>
      <c r="L2719" s="193"/>
      <c r="M2719" s="193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94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68"/>
        <v/>
      </c>
      <c r="C2720" s="190"/>
      <c r="D2720" s="190"/>
      <c r="E2720" s="190"/>
      <c r="F2720" s="191"/>
      <c r="G2720" s="491"/>
      <c r="H2720" s="192"/>
      <c r="I2720" s="253"/>
      <c r="J2720" s="253"/>
      <c r="K2720" s="606"/>
      <c r="L2720" s="193"/>
      <c r="M2720" s="193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94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68"/>
        <v/>
      </c>
      <c r="C2721" s="190"/>
      <c r="D2721" s="190"/>
      <c r="E2721" s="190"/>
      <c r="F2721" s="191"/>
      <c r="G2721" s="491"/>
      <c r="H2721" s="192"/>
      <c r="I2721" s="253"/>
      <c r="J2721" s="253"/>
      <c r="K2721" s="606"/>
      <c r="L2721" s="193"/>
      <c r="M2721" s="193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94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68"/>
        <v/>
      </c>
      <c r="C2722" s="190"/>
      <c r="D2722" s="190"/>
      <c r="E2722" s="190"/>
      <c r="F2722" s="191"/>
      <c r="G2722" s="491"/>
      <c r="H2722" s="192"/>
      <c r="I2722" s="253"/>
      <c r="J2722" s="253"/>
      <c r="K2722" s="606"/>
      <c r="L2722" s="193"/>
      <c r="M2722" s="193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94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68"/>
        <v/>
      </c>
      <c r="C2723" s="190"/>
      <c r="D2723" s="190"/>
      <c r="E2723" s="190"/>
      <c r="F2723" s="191"/>
      <c r="G2723" s="491"/>
      <c r="H2723" s="192"/>
      <c r="I2723" s="253"/>
      <c r="J2723" s="253"/>
      <c r="K2723" s="606"/>
      <c r="L2723" s="193"/>
      <c r="M2723" s="193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94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68"/>
        <v/>
      </c>
      <c r="C2724" s="190"/>
      <c r="D2724" s="190"/>
      <c r="E2724" s="190"/>
      <c r="F2724" s="191"/>
      <c r="G2724" s="491"/>
      <c r="H2724" s="192"/>
      <c r="I2724" s="253"/>
      <c r="J2724" s="253"/>
      <c r="K2724" s="606"/>
      <c r="L2724" s="193"/>
      <c r="M2724" s="193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94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68"/>
        <v/>
      </c>
      <c r="C2725" s="190"/>
      <c r="D2725" s="190"/>
      <c r="E2725" s="190"/>
      <c r="F2725" s="191"/>
      <c r="G2725" s="491"/>
      <c r="H2725" s="192"/>
      <c r="I2725" s="253"/>
      <c r="J2725" s="253"/>
      <c r="K2725" s="606"/>
      <c r="L2725" s="193"/>
      <c r="M2725" s="193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94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68"/>
        <v/>
      </c>
      <c r="C2726" s="190"/>
      <c r="D2726" s="190"/>
      <c r="E2726" s="190"/>
      <c r="F2726" s="191"/>
      <c r="G2726" s="491"/>
      <c r="H2726" s="192"/>
      <c r="I2726" s="253"/>
      <c r="J2726" s="253"/>
      <c r="K2726" s="606"/>
      <c r="L2726" s="193"/>
      <c r="M2726" s="193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94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68"/>
        <v/>
      </c>
      <c r="C2727" s="190"/>
      <c r="D2727" s="190"/>
      <c r="E2727" s="190"/>
      <c r="F2727" s="191"/>
      <c r="G2727" s="491"/>
      <c r="H2727" s="192"/>
      <c r="I2727" s="253"/>
      <c r="J2727" s="253"/>
      <c r="K2727" s="606"/>
      <c r="L2727" s="193"/>
      <c r="M2727" s="193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94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68"/>
        <v/>
      </c>
      <c r="C2728" s="190"/>
      <c r="D2728" s="190"/>
      <c r="E2728" s="190"/>
      <c r="F2728" s="191"/>
      <c r="G2728" s="491"/>
      <c r="H2728" s="192"/>
      <c r="I2728" s="253"/>
      <c r="J2728" s="253"/>
      <c r="K2728" s="606"/>
      <c r="L2728" s="193"/>
      <c r="M2728" s="193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94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68"/>
        <v/>
      </c>
      <c r="C2729" s="190"/>
      <c r="D2729" s="190"/>
      <c r="E2729" s="190"/>
      <c r="F2729" s="191"/>
      <c r="G2729" s="491"/>
      <c r="H2729" s="192"/>
      <c r="I2729" s="253"/>
      <c r="J2729" s="253"/>
      <c r="K2729" s="606"/>
      <c r="L2729" s="193"/>
      <c r="M2729" s="193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94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68"/>
        <v/>
      </c>
      <c r="C2730" s="190"/>
      <c r="D2730" s="190"/>
      <c r="E2730" s="190"/>
      <c r="F2730" s="191"/>
      <c r="G2730" s="491"/>
      <c r="H2730" s="192"/>
      <c r="I2730" s="253"/>
      <c r="J2730" s="253"/>
      <c r="K2730" s="606"/>
      <c r="L2730" s="193"/>
      <c r="M2730" s="193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94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68"/>
        <v/>
      </c>
      <c r="C2731" s="190"/>
      <c r="D2731" s="190"/>
      <c r="E2731" s="190"/>
      <c r="F2731" s="191"/>
      <c r="G2731" s="491"/>
      <c r="H2731" s="192"/>
      <c r="I2731" s="253"/>
      <c r="J2731" s="253"/>
      <c r="K2731" s="606"/>
      <c r="L2731" s="193"/>
      <c r="M2731" s="193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94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68"/>
        <v/>
      </c>
      <c r="C2732" s="190"/>
      <c r="D2732" s="190"/>
      <c r="E2732" s="190"/>
      <c r="F2732" s="191"/>
      <c r="G2732" s="491"/>
      <c r="H2732" s="192"/>
      <c r="I2732" s="253"/>
      <c r="J2732" s="253"/>
      <c r="K2732" s="606"/>
      <c r="L2732" s="193"/>
      <c r="M2732" s="193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94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68"/>
        <v/>
      </c>
      <c r="C2733" s="190"/>
      <c r="D2733" s="190"/>
      <c r="E2733" s="190"/>
      <c r="F2733" s="191"/>
      <c r="G2733" s="491"/>
      <c r="H2733" s="192"/>
      <c r="I2733" s="253"/>
      <c r="J2733" s="253"/>
      <c r="K2733" s="606"/>
      <c r="L2733" s="193"/>
      <c r="M2733" s="193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94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68"/>
        <v/>
      </c>
      <c r="C2734" s="190"/>
      <c r="D2734" s="190"/>
      <c r="E2734" s="190"/>
      <c r="F2734" s="191"/>
      <c r="G2734" s="491"/>
      <c r="H2734" s="192"/>
      <c r="I2734" s="253"/>
      <c r="J2734" s="253"/>
      <c r="K2734" s="606"/>
      <c r="L2734" s="193"/>
      <c r="M2734" s="193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94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68"/>
        <v/>
      </c>
      <c r="C2735" s="190"/>
      <c r="D2735" s="190"/>
      <c r="E2735" s="190"/>
      <c r="F2735" s="191"/>
      <c r="G2735" s="491"/>
      <c r="H2735" s="192"/>
      <c r="I2735" s="253"/>
      <c r="J2735" s="253"/>
      <c r="K2735" s="606"/>
      <c r="L2735" s="193"/>
      <c r="M2735" s="193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94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68"/>
        <v/>
      </c>
      <c r="C2736" s="190"/>
      <c r="D2736" s="190"/>
      <c r="E2736" s="190"/>
      <c r="F2736" s="191"/>
      <c r="G2736" s="491"/>
      <c r="H2736" s="192"/>
      <c r="I2736" s="253"/>
      <c r="J2736" s="253"/>
      <c r="K2736" s="606"/>
      <c r="L2736" s="193"/>
      <c r="M2736" s="193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94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68"/>
        <v/>
      </c>
      <c r="C2737" s="190"/>
      <c r="D2737" s="190"/>
      <c r="E2737" s="190"/>
      <c r="F2737" s="191"/>
      <c r="G2737" s="491"/>
      <c r="H2737" s="192"/>
      <c r="I2737" s="253"/>
      <c r="J2737" s="253"/>
      <c r="K2737" s="606"/>
      <c r="L2737" s="193"/>
      <c r="M2737" s="193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94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68"/>
        <v/>
      </c>
      <c r="C2738" s="190"/>
      <c r="D2738" s="190"/>
      <c r="E2738" s="190"/>
      <c r="F2738" s="191"/>
      <c r="G2738" s="491"/>
      <c r="H2738" s="192"/>
      <c r="I2738" s="253"/>
      <c r="J2738" s="253"/>
      <c r="K2738" s="606"/>
      <c r="L2738" s="193"/>
      <c r="M2738" s="193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94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68"/>
        <v/>
      </c>
      <c r="C2739" s="190"/>
      <c r="D2739" s="190"/>
      <c r="E2739" s="190"/>
      <c r="F2739" s="191"/>
      <c r="G2739" s="491"/>
      <c r="H2739" s="192"/>
      <c r="I2739" s="253"/>
      <c r="J2739" s="253"/>
      <c r="K2739" s="606"/>
      <c r="L2739" s="193"/>
      <c r="M2739" s="193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94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68"/>
        <v/>
      </c>
      <c r="C2740" s="190"/>
      <c r="D2740" s="190"/>
      <c r="E2740" s="190"/>
      <c r="F2740" s="191"/>
      <c r="G2740" s="491"/>
      <c r="H2740" s="192"/>
      <c r="I2740" s="253"/>
      <c r="J2740" s="253"/>
      <c r="K2740" s="606"/>
      <c r="L2740" s="193"/>
      <c r="M2740" s="193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94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68"/>
        <v/>
      </c>
      <c r="C2741" s="190"/>
      <c r="D2741" s="190"/>
      <c r="E2741" s="190"/>
      <c r="F2741" s="191"/>
      <c r="G2741" s="491"/>
      <c r="H2741" s="192"/>
      <c r="I2741" s="253"/>
      <c r="J2741" s="253"/>
      <c r="K2741" s="606"/>
      <c r="L2741" s="193"/>
      <c r="M2741" s="193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94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68"/>
        <v/>
      </c>
      <c r="C2742" s="190"/>
      <c r="D2742" s="190"/>
      <c r="E2742" s="190"/>
      <c r="F2742" s="191"/>
      <c r="G2742" s="491"/>
      <c r="H2742" s="192"/>
      <c r="I2742" s="253"/>
      <c r="J2742" s="253"/>
      <c r="K2742" s="606"/>
      <c r="L2742" s="193"/>
      <c r="M2742" s="193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94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si="68"/>
        <v/>
      </c>
      <c r="C2743" s="190"/>
      <c r="D2743" s="37"/>
      <c r="E2743" s="190"/>
      <c r="F2743" s="40"/>
      <c r="G2743" s="40"/>
      <c r="H2743" s="7"/>
      <c r="I2743" s="253"/>
      <c r="J2743" s="253"/>
      <c r="K2743" s="606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94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68"/>
        <v/>
      </c>
      <c r="C2744" s="190"/>
      <c r="D2744" s="37"/>
      <c r="E2744" s="190"/>
      <c r="F2744" s="40"/>
      <c r="G2744" s="40"/>
      <c r="H2744" s="7"/>
      <c r="I2744" s="253"/>
      <c r="J2744" s="253"/>
      <c r="K2744" s="606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94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68"/>
        <v/>
      </c>
      <c r="C2745" s="190"/>
      <c r="D2745" s="37"/>
      <c r="E2745" s="190"/>
      <c r="F2745" s="40"/>
      <c r="G2745" s="40"/>
      <c r="H2745" s="7"/>
      <c r="I2745" s="253"/>
      <c r="J2745" s="253"/>
      <c r="K2745" s="606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94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68"/>
        <v/>
      </c>
      <c r="C2746" s="190"/>
      <c r="D2746" s="37"/>
      <c r="E2746" s="190"/>
      <c r="F2746" s="40"/>
      <c r="G2746" s="40"/>
      <c r="H2746" s="7"/>
      <c r="I2746" s="253"/>
      <c r="J2746" s="253"/>
      <c r="K2746" s="606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94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68"/>
        <v/>
      </c>
      <c r="C2747" s="190"/>
      <c r="D2747" s="37"/>
      <c r="E2747" s="190"/>
      <c r="F2747" s="40"/>
      <c r="G2747" s="40"/>
      <c r="H2747" s="7"/>
      <c r="I2747" s="253"/>
      <c r="J2747" s="253"/>
      <c r="K2747" s="606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94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68"/>
        <v/>
      </c>
      <c r="C2748" s="190"/>
      <c r="D2748" s="37"/>
      <c r="E2748" s="190"/>
      <c r="F2748" s="40"/>
      <c r="G2748" s="40"/>
      <c r="H2748" s="7"/>
      <c r="I2748" s="253"/>
      <c r="J2748" s="253"/>
      <c r="K2748" s="606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94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68"/>
        <v/>
      </c>
      <c r="C2749" s="190"/>
      <c r="D2749" s="37"/>
      <c r="E2749" s="190"/>
      <c r="F2749" s="40"/>
      <c r="G2749" s="40"/>
      <c r="H2749" s="7"/>
      <c r="I2749" s="253"/>
      <c r="J2749" s="253"/>
      <c r="K2749" s="606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94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68"/>
        <v/>
      </c>
      <c r="C2750" s="190"/>
      <c r="D2750" s="37"/>
      <c r="E2750" s="190"/>
      <c r="F2750" s="40"/>
      <c r="G2750" s="40"/>
      <c r="H2750" s="7"/>
      <c r="I2750" s="253"/>
      <c r="J2750" s="253"/>
      <c r="K2750" s="606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94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68"/>
        <v/>
      </c>
      <c r="C2751" s="190"/>
      <c r="D2751" s="37"/>
      <c r="E2751" s="190"/>
      <c r="F2751" s="40"/>
      <c r="G2751" s="40"/>
      <c r="H2751" s="7"/>
      <c r="I2751" s="253"/>
      <c r="J2751" s="253"/>
      <c r="K2751" s="606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94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68"/>
        <v/>
      </c>
      <c r="C2752" s="190"/>
      <c r="D2752" s="37"/>
      <c r="E2752" s="190"/>
      <c r="F2752" s="40"/>
      <c r="G2752" s="40"/>
      <c r="H2752" s="7"/>
      <c r="I2752" s="253"/>
      <c r="J2752" s="253"/>
      <c r="K2752" s="606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94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68"/>
        <v/>
      </c>
      <c r="C2753" s="190"/>
      <c r="D2753" s="37"/>
      <c r="E2753" s="190"/>
      <c r="F2753" s="40"/>
      <c r="G2753" s="40"/>
      <c r="H2753" s="7"/>
      <c r="I2753" s="253"/>
      <c r="J2753" s="253"/>
      <c r="K2753" s="606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94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68"/>
        <v/>
      </c>
      <c r="C2754" s="190"/>
      <c r="D2754" s="37"/>
      <c r="E2754" s="190"/>
      <c r="F2754" s="40"/>
      <c r="G2754" s="40"/>
      <c r="H2754" s="7"/>
      <c r="I2754" s="253"/>
      <c r="J2754" s="253"/>
      <c r="K2754" s="606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94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68"/>
        <v/>
      </c>
      <c r="C2755" s="190"/>
      <c r="D2755" s="37"/>
      <c r="E2755" s="190"/>
      <c r="F2755" s="40"/>
      <c r="G2755" s="40"/>
      <c r="H2755" s="7"/>
      <c r="I2755" s="253"/>
      <c r="J2755" s="253"/>
      <c r="K2755" s="606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94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68"/>
        <v/>
      </c>
      <c r="C2756" s="190"/>
      <c r="D2756" s="37"/>
      <c r="E2756" s="190"/>
      <c r="F2756" s="40"/>
      <c r="G2756" s="40"/>
      <c r="H2756" s="7"/>
      <c r="I2756" s="253"/>
      <c r="J2756" s="253"/>
      <c r="K2756" s="606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94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68"/>
        <v/>
      </c>
      <c r="C2757" s="190"/>
      <c r="D2757" s="37"/>
      <c r="E2757" s="190"/>
      <c r="F2757" s="40"/>
      <c r="G2757" s="40"/>
      <c r="H2757" s="7"/>
      <c r="I2757" s="253"/>
      <c r="J2757" s="253"/>
      <c r="K2757" s="606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94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68"/>
        <v/>
      </c>
      <c r="C2758" s="190"/>
      <c r="D2758" s="37"/>
      <c r="E2758" s="190"/>
      <c r="F2758" s="40"/>
      <c r="G2758" s="40"/>
      <c r="H2758" s="7"/>
      <c r="I2758" s="253"/>
      <c r="J2758" s="253"/>
      <c r="K2758" s="606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94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68"/>
        <v/>
      </c>
      <c r="C2759" s="190"/>
      <c r="D2759" s="37"/>
      <c r="E2759" s="190"/>
      <c r="F2759" s="40"/>
      <c r="G2759" s="40"/>
      <c r="H2759" s="7"/>
      <c r="I2759" s="253"/>
      <c r="J2759" s="253"/>
      <c r="K2759" s="606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94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68"/>
        <v/>
      </c>
      <c r="C2760" s="190"/>
      <c r="D2760" s="37"/>
      <c r="E2760" s="190"/>
      <c r="F2760" s="40"/>
      <c r="G2760" s="40"/>
      <c r="H2760" s="7"/>
      <c r="I2760" s="253"/>
      <c r="J2760" s="253"/>
      <c r="K2760" s="606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94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68"/>
        <v/>
      </c>
      <c r="C2761" s="190"/>
      <c r="D2761" s="37"/>
      <c r="E2761" s="190"/>
      <c r="F2761" s="40"/>
      <c r="G2761" s="40"/>
      <c r="H2761" s="7"/>
      <c r="I2761" s="253"/>
      <c r="J2761" s="253"/>
      <c r="K2761" s="606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94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68"/>
        <v/>
      </c>
      <c r="C2762" s="190"/>
      <c r="D2762" s="37"/>
      <c r="E2762" s="190"/>
      <c r="F2762" s="40"/>
      <c r="G2762" s="40"/>
      <c r="H2762" s="7"/>
      <c r="I2762" s="253"/>
      <c r="J2762" s="253"/>
      <c r="K2762" s="606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94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68"/>
        <v/>
      </c>
      <c r="C2763" s="190"/>
      <c r="D2763" s="37"/>
      <c r="E2763" s="190"/>
      <c r="F2763" s="40"/>
      <c r="G2763" s="40"/>
      <c r="H2763" s="7"/>
      <c r="I2763" s="253"/>
      <c r="J2763" s="253"/>
      <c r="K2763" s="606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94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68"/>
        <v/>
      </c>
      <c r="C2764" s="190"/>
      <c r="D2764" s="37"/>
      <c r="E2764" s="190"/>
      <c r="F2764" s="40"/>
      <c r="G2764" s="40"/>
      <c r="H2764" s="7"/>
      <c r="I2764" s="253"/>
      <c r="J2764" s="253"/>
      <c r="K2764" s="606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94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68"/>
        <v/>
      </c>
      <c r="C2765" s="190"/>
      <c r="D2765" s="37"/>
      <c r="E2765" s="190"/>
      <c r="F2765" s="40"/>
      <c r="G2765" s="40"/>
      <c r="H2765" s="7"/>
      <c r="I2765" s="253"/>
      <c r="J2765" s="253"/>
      <c r="K2765" s="606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94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68"/>
        <v/>
      </c>
      <c r="C2766" s="190"/>
      <c r="D2766" s="37"/>
      <c r="E2766" s="190"/>
      <c r="F2766" s="40"/>
      <c r="G2766" s="40"/>
      <c r="H2766" s="7"/>
      <c r="I2766" s="253"/>
      <c r="J2766" s="253"/>
      <c r="K2766" s="606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94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68"/>
        <v/>
      </c>
      <c r="C2767" s="190"/>
      <c r="D2767" s="37"/>
      <c r="E2767" s="190"/>
      <c r="F2767" s="40"/>
      <c r="G2767" s="40"/>
      <c r="H2767" s="7"/>
      <c r="I2767" s="253"/>
      <c r="J2767" s="253"/>
      <c r="K2767" s="606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94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68"/>
        <v/>
      </c>
      <c r="C2768" s="190"/>
      <c r="D2768" s="37"/>
      <c r="E2768" s="190"/>
      <c r="F2768" s="40"/>
      <c r="G2768" s="40"/>
      <c r="H2768" s="7"/>
      <c r="I2768" s="253"/>
      <c r="J2768" s="253"/>
      <c r="K2768" s="606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94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68"/>
        <v/>
      </c>
      <c r="C2769" s="190"/>
      <c r="D2769" s="37"/>
      <c r="E2769" s="190"/>
      <c r="F2769" s="40"/>
      <c r="G2769" s="40"/>
      <c r="H2769" s="7"/>
      <c r="I2769" s="253"/>
      <c r="J2769" s="253"/>
      <c r="K2769" s="606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94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68"/>
        <v/>
      </c>
      <c r="C2770" s="190"/>
      <c r="D2770" s="37"/>
      <c r="E2770" s="190"/>
      <c r="F2770" s="40"/>
      <c r="G2770" s="40"/>
      <c r="H2770" s="7"/>
      <c r="I2770" s="253"/>
      <c r="J2770" s="253"/>
      <c r="K2770" s="606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94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68"/>
        <v/>
      </c>
      <c r="C2771" s="190"/>
      <c r="D2771" s="37"/>
      <c r="E2771" s="190"/>
      <c r="F2771" s="40"/>
      <c r="G2771" s="40"/>
      <c r="H2771" s="7"/>
      <c r="I2771" s="253"/>
      <c r="J2771" s="253"/>
      <c r="K2771" s="606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94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68"/>
        <v/>
      </c>
      <c r="C2772" s="190"/>
      <c r="D2772" s="37"/>
      <c r="E2772" s="190"/>
      <c r="F2772" s="40"/>
      <c r="G2772" s="40"/>
      <c r="H2772" s="7"/>
      <c r="I2772" s="253"/>
      <c r="J2772" s="253"/>
      <c r="K2772" s="606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94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68"/>
        <v/>
      </c>
      <c r="C2773" s="190"/>
      <c r="D2773" s="37"/>
      <c r="E2773" s="190"/>
      <c r="F2773" s="40"/>
      <c r="G2773" s="40"/>
      <c r="H2773" s="7"/>
      <c r="I2773" s="253"/>
      <c r="J2773" s="253"/>
      <c r="K2773" s="606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94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68"/>
        <v/>
      </c>
      <c r="C2774" s="190"/>
      <c r="D2774" s="37"/>
      <c r="E2774" s="190"/>
      <c r="F2774" s="40"/>
      <c r="G2774" s="40"/>
      <c r="H2774" s="7"/>
      <c r="I2774" s="253"/>
      <c r="J2774" s="253"/>
      <c r="K2774" s="606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94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68"/>
        <v/>
      </c>
      <c r="C2775" s="190"/>
      <c r="D2775" s="37"/>
      <c r="E2775" s="190"/>
      <c r="F2775" s="40"/>
      <c r="G2775" s="40"/>
      <c r="H2775" s="7"/>
      <c r="I2775" s="253"/>
      <c r="J2775" s="253"/>
      <c r="K2775" s="606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94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68"/>
        <v/>
      </c>
      <c r="C2776" s="190"/>
      <c r="D2776" s="37"/>
      <c r="E2776" s="190"/>
      <c r="F2776" s="40"/>
      <c r="G2776" s="40"/>
      <c r="H2776" s="7"/>
      <c r="I2776" s="253"/>
      <c r="J2776" s="253"/>
      <c r="K2776" s="606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94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ref="B2777:B2824" si="69">IF(C2777&lt;&gt;"",MONTH(C2777),"")</f>
        <v/>
      </c>
      <c r="C2777" s="190"/>
      <c r="D2777" s="37"/>
      <c r="E2777" s="190"/>
      <c r="F2777" s="40"/>
      <c r="G2777" s="40"/>
      <c r="H2777" s="7"/>
      <c r="I2777" s="253"/>
      <c r="J2777" s="253"/>
      <c r="K2777" s="606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94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69"/>
        <v/>
      </c>
      <c r="C2778" s="190"/>
      <c r="D2778" s="37"/>
      <c r="E2778" s="190"/>
      <c r="F2778" s="40"/>
      <c r="G2778" s="40"/>
      <c r="H2778" s="7"/>
      <c r="I2778" s="253"/>
      <c r="J2778" s="253"/>
      <c r="K2778" s="606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94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69"/>
        <v/>
      </c>
      <c r="C2779" s="190"/>
      <c r="D2779" s="37"/>
      <c r="E2779" s="190"/>
      <c r="F2779" s="40"/>
      <c r="G2779" s="40"/>
      <c r="H2779" s="7"/>
      <c r="I2779" s="253"/>
      <c r="J2779" s="253"/>
      <c r="K2779" s="606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94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69"/>
        <v/>
      </c>
      <c r="C2780" s="190"/>
      <c r="D2780" s="37"/>
      <c r="E2780" s="190"/>
      <c r="F2780" s="40"/>
      <c r="G2780" s="40"/>
      <c r="H2780" s="7"/>
      <c r="I2780" s="253"/>
      <c r="J2780" s="253"/>
      <c r="K2780" s="606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94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69"/>
        <v/>
      </c>
      <c r="C2781" s="190"/>
      <c r="D2781" s="37"/>
      <c r="E2781" s="190"/>
      <c r="F2781" s="191"/>
      <c r="G2781" s="491"/>
      <c r="H2781" s="192"/>
      <c r="I2781" s="253"/>
      <c r="J2781" s="253"/>
      <c r="K2781" s="606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94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69"/>
        <v/>
      </c>
      <c r="C2782" s="190"/>
      <c r="D2782" s="37"/>
      <c r="E2782" s="190"/>
      <c r="F2782" s="191"/>
      <c r="G2782" s="491"/>
      <c r="H2782" s="192"/>
      <c r="I2782" s="253"/>
      <c r="J2782" s="253"/>
      <c r="K2782" s="606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94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69"/>
        <v/>
      </c>
      <c r="C2783" s="190"/>
      <c r="D2783" s="37"/>
      <c r="E2783" s="190"/>
      <c r="F2783" s="191"/>
      <c r="G2783" s="491"/>
      <c r="H2783" s="192"/>
      <c r="I2783" s="253"/>
      <c r="J2783" s="253"/>
      <c r="K2783" s="606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94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69"/>
        <v/>
      </c>
      <c r="C2784" s="190"/>
      <c r="D2784" s="37"/>
      <c r="E2784" s="190"/>
      <c r="F2784" s="191"/>
      <c r="G2784" s="491"/>
      <c r="H2784" s="192"/>
      <c r="I2784" s="253"/>
      <c r="J2784" s="253"/>
      <c r="K2784" s="606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94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69"/>
        <v/>
      </c>
      <c r="C2785" s="190"/>
      <c r="D2785" s="37"/>
      <c r="E2785" s="190"/>
      <c r="F2785" s="191"/>
      <c r="G2785" s="491"/>
      <c r="H2785" s="192"/>
      <c r="I2785" s="253"/>
      <c r="J2785" s="253"/>
      <c r="K2785" s="606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94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69"/>
        <v/>
      </c>
      <c r="C2786" s="190"/>
      <c r="D2786" s="37"/>
      <c r="E2786" s="190"/>
      <c r="F2786" s="191"/>
      <c r="G2786" s="491"/>
      <c r="H2786" s="192"/>
      <c r="I2786" s="253"/>
      <c r="J2786" s="253"/>
      <c r="K2786" s="606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94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69"/>
        <v/>
      </c>
      <c r="C2787" s="190"/>
      <c r="D2787" s="37"/>
      <c r="E2787" s="190"/>
      <c r="F2787" s="191"/>
      <c r="G2787" s="491"/>
      <c r="H2787" s="192"/>
      <c r="I2787" s="253"/>
      <c r="J2787" s="253"/>
      <c r="K2787" s="606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94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69"/>
        <v/>
      </c>
      <c r="C2788" s="190"/>
      <c r="D2788" s="37"/>
      <c r="E2788" s="190"/>
      <c r="F2788" s="191"/>
      <c r="G2788" s="491"/>
      <c r="H2788" s="192"/>
      <c r="I2788" s="253"/>
      <c r="J2788" s="253"/>
      <c r="K2788" s="606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94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69"/>
        <v/>
      </c>
      <c r="C2789" s="190"/>
      <c r="D2789" s="37"/>
      <c r="E2789" s="190"/>
      <c r="F2789" s="191"/>
      <c r="G2789" s="491"/>
      <c r="H2789" s="192"/>
      <c r="I2789" s="253"/>
      <c r="J2789" s="253"/>
      <c r="K2789" s="606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94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69"/>
        <v/>
      </c>
      <c r="C2790" s="190"/>
      <c r="D2790" s="37"/>
      <c r="E2790" s="190"/>
      <c r="F2790" s="191"/>
      <c r="G2790" s="491"/>
      <c r="H2790" s="192"/>
      <c r="I2790" s="253"/>
      <c r="J2790" s="253"/>
      <c r="K2790" s="606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94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si="69"/>
        <v/>
      </c>
      <c r="C2791" s="190"/>
      <c r="D2791" s="37"/>
      <c r="E2791" s="190"/>
      <c r="F2791" s="191"/>
      <c r="G2791" s="491"/>
      <c r="H2791" s="192"/>
      <c r="I2791" s="253"/>
      <c r="J2791" s="253"/>
      <c r="K2791" s="606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94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si="69"/>
        <v/>
      </c>
      <c r="C2792" s="190"/>
      <c r="D2792" s="37"/>
      <c r="E2792" s="190"/>
      <c r="F2792" s="191"/>
      <c r="G2792" s="491"/>
      <c r="H2792" s="192"/>
      <c r="I2792" s="253"/>
      <c r="J2792" s="253"/>
      <c r="K2792" s="606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94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69"/>
        <v/>
      </c>
      <c r="C2793" s="190"/>
      <c r="D2793" s="37"/>
      <c r="E2793" s="190"/>
      <c r="F2793" s="191"/>
      <c r="G2793" s="491"/>
      <c r="H2793" s="192"/>
      <c r="I2793" s="253"/>
      <c r="J2793" s="253"/>
      <c r="K2793" s="606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94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69"/>
        <v/>
      </c>
      <c r="C2794" s="190"/>
      <c r="D2794" s="37"/>
      <c r="E2794" s="190"/>
      <c r="F2794" s="191"/>
      <c r="G2794" s="491"/>
      <c r="H2794" s="192"/>
      <c r="I2794" s="253"/>
      <c r="J2794" s="253"/>
      <c r="K2794" s="606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94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69"/>
        <v/>
      </c>
      <c r="C2795" s="190"/>
      <c r="D2795" s="37"/>
      <c r="E2795" s="190"/>
      <c r="F2795" s="191"/>
      <c r="G2795" s="491"/>
      <c r="H2795" s="192"/>
      <c r="I2795" s="253"/>
      <c r="J2795" s="253"/>
      <c r="K2795" s="606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94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69"/>
        <v/>
      </c>
      <c r="C2796" s="190"/>
      <c r="D2796" s="37"/>
      <c r="E2796" s="190"/>
      <c r="F2796" s="191"/>
      <c r="G2796" s="491"/>
      <c r="H2796" s="192"/>
      <c r="I2796" s="253"/>
      <c r="J2796" s="253"/>
      <c r="K2796" s="606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94"/>
    </row>
    <row r="2797" spans="1:27" ht="15.75" customHeight="1">
      <c r="A2797" s="199" t="str">
        <f>IF(B2797&lt;&gt;"",IF(AND(B2797&gt;=_TM1,B2797&lt;=_TM2,OR(TH!L2797="1111",TH!M2797="1111")),TH!D2797,""),"")</f>
        <v/>
      </c>
      <c r="B2797" s="36" t="str">
        <f t="shared" si="69"/>
        <v/>
      </c>
      <c r="C2797" s="190"/>
      <c r="D2797" s="37"/>
      <c r="E2797" s="190"/>
      <c r="F2797" s="191"/>
      <c r="G2797" s="491"/>
      <c r="H2797" s="192"/>
      <c r="I2797" s="253"/>
      <c r="J2797" s="253"/>
      <c r="K2797" s="606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94"/>
    </row>
    <row r="2798" spans="1:27" ht="15.75" customHeight="1">
      <c r="A2798" s="199" t="str">
        <f>IF(B2798&lt;&gt;"",IF(AND(B2798&gt;=_TM1,B2798&lt;=_TM2,OR(TH!L2798="1111",TH!M2798="1111")),TH!D2798,""),"")</f>
        <v/>
      </c>
      <c r="B2798" s="36" t="str">
        <f t="shared" si="69"/>
        <v/>
      </c>
      <c r="C2798" s="190"/>
      <c r="D2798" s="37"/>
      <c r="E2798" s="190"/>
      <c r="F2798" s="191"/>
      <c r="G2798" s="491"/>
      <c r="H2798" s="192"/>
      <c r="I2798" s="253"/>
      <c r="J2798" s="253"/>
      <c r="K2798" s="606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94"/>
    </row>
    <row r="2799" spans="1:27" ht="15.75" customHeight="1">
      <c r="A2799" s="199" t="str">
        <f>IF(B2799&lt;&gt;"",IF(AND(B2799&gt;=_TM1,B2799&lt;=_TM2,OR(TH!L2799="1111",TH!M2799="1111")),TH!D2799,""),"")</f>
        <v/>
      </c>
      <c r="B2799" s="36" t="str">
        <f t="shared" si="69"/>
        <v/>
      </c>
      <c r="C2799" s="190"/>
      <c r="D2799" s="37"/>
      <c r="E2799" s="190"/>
      <c r="F2799" s="191"/>
      <c r="G2799" s="491"/>
      <c r="H2799" s="192"/>
      <c r="I2799" s="253"/>
      <c r="J2799" s="253"/>
      <c r="K2799" s="606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94"/>
    </row>
    <row r="2800" spans="1:27" ht="15.75" customHeight="1">
      <c r="A2800" s="199" t="str">
        <f>IF(B2800&lt;&gt;"",IF(AND(B2800&gt;=_TM1,B2800&lt;=_TM2,OR(TH!L2800="1111",TH!M2800="1111")),TH!D2800,""),"")</f>
        <v/>
      </c>
      <c r="B2800" s="36" t="str">
        <f t="shared" si="69"/>
        <v/>
      </c>
      <c r="C2800" s="190"/>
      <c r="D2800" s="37"/>
      <c r="E2800" s="190"/>
      <c r="F2800" s="191"/>
      <c r="G2800" s="491"/>
      <c r="H2800" s="192"/>
      <c r="I2800" s="253"/>
      <c r="J2800" s="253"/>
      <c r="K2800" s="606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94"/>
    </row>
    <row r="2801" spans="1:27" ht="15.75" customHeight="1">
      <c r="A2801" s="199" t="str">
        <f>IF(B2801&lt;&gt;"",IF(AND(B2801&gt;=_TM1,B2801&lt;=_TM2,OR(TH!L2801="1111",TH!M2801="1111")),TH!D2801,""),"")</f>
        <v/>
      </c>
      <c r="B2801" s="36" t="str">
        <f t="shared" si="69"/>
        <v/>
      </c>
      <c r="C2801" s="190"/>
      <c r="D2801" s="37"/>
      <c r="E2801" s="190"/>
      <c r="F2801" s="191"/>
      <c r="G2801" s="491"/>
      <c r="H2801" s="192"/>
      <c r="I2801" s="253"/>
      <c r="J2801" s="253"/>
      <c r="K2801" s="606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94"/>
    </row>
    <row r="2802" spans="1:27" ht="15.75" customHeight="1">
      <c r="A2802" s="199" t="str">
        <f>IF(B2802&lt;&gt;"",IF(AND(B2802&gt;=_TM1,B2802&lt;=_TM2,OR(TH!L2802="1111",TH!M2802="1111")),TH!D2802,""),"")</f>
        <v/>
      </c>
      <c r="B2802" s="36" t="str">
        <f t="shared" si="69"/>
        <v/>
      </c>
      <c r="C2802" s="190"/>
      <c r="D2802" s="37"/>
      <c r="E2802" s="190"/>
      <c r="F2802" s="191"/>
      <c r="G2802" s="491"/>
      <c r="H2802" s="192"/>
      <c r="I2802" s="253"/>
      <c r="J2802" s="253"/>
      <c r="K2802" s="606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94"/>
    </row>
    <row r="2803" spans="1:27" ht="15.75" customHeight="1">
      <c r="A2803" s="199" t="str">
        <f>IF(B2803&lt;&gt;"",IF(AND(B2803&gt;=_TM1,B2803&lt;=_TM2,OR(TH!L2803="1111",TH!M2803="1111")),TH!D2803,""),"")</f>
        <v/>
      </c>
      <c r="B2803" s="36" t="str">
        <f t="shared" si="69"/>
        <v/>
      </c>
      <c r="C2803" s="190"/>
      <c r="D2803" s="37"/>
      <c r="E2803" s="190"/>
      <c r="F2803" s="191"/>
      <c r="G2803" s="491"/>
      <c r="H2803" s="192"/>
      <c r="I2803" s="253"/>
      <c r="J2803" s="253"/>
      <c r="K2803" s="606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94"/>
    </row>
    <row r="2804" spans="1:27" ht="15.75" customHeight="1">
      <c r="A2804" s="199" t="str">
        <f>IF(B2804&lt;&gt;"",IF(AND(B2804&gt;=_TM1,B2804&lt;=_TM2,OR(TH!L2804="1111",TH!M2804="1111")),TH!D2804,""),"")</f>
        <v/>
      </c>
      <c r="B2804" s="36" t="str">
        <f t="shared" si="69"/>
        <v/>
      </c>
      <c r="C2804" s="190"/>
      <c r="D2804" s="37"/>
      <c r="E2804" s="190"/>
      <c r="F2804" s="191"/>
      <c r="G2804" s="491"/>
      <c r="H2804" s="192"/>
      <c r="I2804" s="253"/>
      <c r="J2804" s="253"/>
      <c r="K2804" s="606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94"/>
    </row>
    <row r="2805" spans="1:27" ht="15.75" customHeight="1">
      <c r="A2805" s="199" t="str">
        <f>IF(B2805&lt;&gt;"",IF(AND(B2805&gt;=_TM1,B2805&lt;=_TM2,OR(TH!L2805="1111",TH!M2805="1111")),TH!D2805,""),"")</f>
        <v/>
      </c>
      <c r="B2805" s="36" t="str">
        <f t="shared" si="69"/>
        <v/>
      </c>
      <c r="C2805" s="190"/>
      <c r="D2805" s="37"/>
      <c r="E2805" s="190"/>
      <c r="F2805" s="191"/>
      <c r="G2805" s="491"/>
      <c r="H2805" s="192"/>
      <c r="I2805" s="253"/>
      <c r="J2805" s="253"/>
      <c r="K2805" s="606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94"/>
    </row>
    <row r="2806" spans="1:27" ht="15.75" customHeight="1">
      <c r="A2806" s="199" t="str">
        <f>IF(B2806&lt;&gt;"",IF(AND(B2806&gt;=_TM1,B2806&lt;=_TM2,OR(TH!L2806="1111",TH!M2806="1111")),TH!D2806,""),"")</f>
        <v/>
      </c>
      <c r="B2806" s="36" t="str">
        <f t="shared" si="69"/>
        <v/>
      </c>
      <c r="C2806" s="190"/>
      <c r="D2806" s="37"/>
      <c r="E2806" s="190"/>
      <c r="F2806" s="191"/>
      <c r="G2806" s="491"/>
      <c r="H2806" s="192"/>
      <c r="I2806" s="253"/>
      <c r="J2806" s="253"/>
      <c r="K2806" s="606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94"/>
    </row>
    <row r="2807" spans="1:27" ht="15.75" customHeight="1">
      <c r="A2807" s="199" t="str">
        <f>IF(B2807&lt;&gt;"",IF(AND(B2807&gt;=_TM1,B2807&lt;=_TM2,OR(TH!L2807="1111",TH!M2807="1111")),TH!D2807,""),"")</f>
        <v/>
      </c>
      <c r="B2807" s="36" t="str">
        <f t="shared" si="69"/>
        <v/>
      </c>
      <c r="C2807" s="190"/>
      <c r="D2807" s="37"/>
      <c r="E2807" s="190"/>
      <c r="F2807" s="191"/>
      <c r="G2807" s="491"/>
      <c r="H2807" s="192"/>
      <c r="I2807" s="253"/>
      <c r="J2807" s="253"/>
      <c r="K2807" s="606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94"/>
    </row>
    <row r="2808" spans="1:27" ht="15.75" customHeight="1">
      <c r="A2808" s="199" t="str">
        <f>IF(B2808&lt;&gt;"",IF(AND(B2808&gt;=_TM1,B2808&lt;=_TM2,OR(TH!L2808="1111",TH!M2808="1111")),TH!D2808,""),"")</f>
        <v/>
      </c>
      <c r="B2808" s="36" t="str">
        <f t="shared" si="69"/>
        <v/>
      </c>
      <c r="C2808" s="190"/>
      <c r="D2808" s="37"/>
      <c r="E2808" s="190"/>
      <c r="F2808" s="191"/>
      <c r="G2808" s="491"/>
      <c r="H2808" s="192"/>
      <c r="I2808" s="253"/>
      <c r="J2808" s="253"/>
      <c r="K2808" s="606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94"/>
    </row>
    <row r="2809" spans="1:27" ht="15.75" customHeight="1">
      <c r="A2809" s="199" t="str">
        <f>IF(B2809&lt;&gt;"",IF(AND(B2809&gt;=_TM1,B2809&lt;=_TM2,OR(TH!L2809="1111",TH!M2809="1111")),TH!D2809,""),"")</f>
        <v/>
      </c>
      <c r="B2809" s="36" t="str">
        <f t="shared" si="69"/>
        <v/>
      </c>
      <c r="C2809" s="190"/>
      <c r="D2809" s="37"/>
      <c r="E2809" s="190"/>
      <c r="F2809" s="191"/>
      <c r="G2809" s="491"/>
      <c r="H2809" s="192"/>
      <c r="I2809" s="253"/>
      <c r="J2809" s="253"/>
      <c r="K2809" s="606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94"/>
    </row>
    <row r="2810" spans="1:27" ht="15.75" customHeight="1">
      <c r="A2810" s="199" t="str">
        <f>IF(B2810&lt;&gt;"",IF(AND(B2810&gt;=_TM1,B2810&lt;=_TM2,OR(TH!L2810="1111",TH!M2810="1111")),TH!D2810,""),"")</f>
        <v/>
      </c>
      <c r="B2810" s="36" t="str">
        <f t="shared" si="69"/>
        <v/>
      </c>
      <c r="C2810" s="190"/>
      <c r="D2810" s="37"/>
      <c r="E2810" s="190"/>
      <c r="F2810" s="191"/>
      <c r="G2810" s="491"/>
      <c r="H2810" s="192"/>
      <c r="I2810" s="253"/>
      <c r="J2810" s="253"/>
      <c r="K2810" s="606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94"/>
    </row>
    <row r="2811" spans="1:27" ht="15.75" customHeight="1">
      <c r="A2811" s="199" t="str">
        <f>IF(B2811&lt;&gt;"",IF(AND(B2811&gt;=_TM1,B2811&lt;=_TM2,OR(TH!L2811="1111",TH!M2811="1111")),TH!D2811,""),"")</f>
        <v/>
      </c>
      <c r="B2811" s="36" t="str">
        <f t="shared" si="69"/>
        <v/>
      </c>
      <c r="C2811" s="190"/>
      <c r="D2811" s="37"/>
      <c r="E2811" s="190"/>
      <c r="F2811" s="191"/>
      <c r="G2811" s="491"/>
      <c r="H2811" s="192"/>
      <c r="I2811" s="253"/>
      <c r="J2811" s="253"/>
      <c r="K2811" s="606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94"/>
    </row>
    <row r="2812" spans="1:27" ht="15.75" customHeight="1">
      <c r="A2812" s="199" t="str">
        <f>IF(B2812&lt;&gt;"",IF(AND(B2812&gt;=_TM1,B2812&lt;=_TM2,OR(TH!L2812="1111",TH!M2812="1111")),TH!D2812,""),"")</f>
        <v/>
      </c>
      <c r="B2812" s="36" t="str">
        <f t="shared" si="69"/>
        <v/>
      </c>
      <c r="C2812" s="190"/>
      <c r="D2812" s="37"/>
      <c r="E2812" s="190"/>
      <c r="F2812" s="191"/>
      <c r="G2812" s="491"/>
      <c r="H2812" s="192"/>
      <c r="I2812" s="253"/>
      <c r="J2812" s="253"/>
      <c r="K2812" s="606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94"/>
    </row>
    <row r="2813" spans="1:27" ht="15.75" customHeight="1">
      <c r="A2813" s="199" t="str">
        <f>IF(B2813&lt;&gt;"",IF(AND(B2813&gt;=_TM1,B2813&lt;=_TM2,OR(TH!L2813="1111",TH!M2813="1111")),TH!D2813,""),"")</f>
        <v/>
      </c>
      <c r="B2813" s="36" t="str">
        <f t="shared" si="69"/>
        <v/>
      </c>
      <c r="C2813" s="190"/>
      <c r="D2813" s="37"/>
      <c r="E2813" s="190"/>
      <c r="F2813" s="191"/>
      <c r="G2813" s="491"/>
      <c r="H2813" s="192"/>
      <c r="I2813" s="253"/>
      <c r="J2813" s="253"/>
      <c r="K2813" s="606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94"/>
    </row>
    <row r="2814" spans="1:27" ht="15.75" customHeight="1">
      <c r="A2814" s="199" t="str">
        <f>IF(B2814&lt;&gt;"",IF(AND(B2814&gt;=_TM1,B2814&lt;=_TM2,OR(TH!L2814="1111",TH!M2814="1111")),TH!D2814,""),"")</f>
        <v/>
      </c>
      <c r="B2814" s="36" t="str">
        <f t="shared" si="69"/>
        <v/>
      </c>
      <c r="C2814" s="190"/>
      <c r="D2814" s="37"/>
      <c r="E2814" s="190"/>
      <c r="F2814" s="191"/>
      <c r="G2814" s="491"/>
      <c r="H2814" s="192"/>
      <c r="I2814" s="253"/>
      <c r="J2814" s="253"/>
      <c r="K2814" s="606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94"/>
    </row>
    <row r="2815" spans="1:27" ht="15.75" customHeight="1">
      <c r="A2815" s="199" t="str">
        <f>IF(B2815&lt;&gt;"",IF(AND(B2815&gt;=_TM1,B2815&lt;=_TM2,OR(TH!L2815="1111",TH!M2815="1111")),TH!D2815,""),"")</f>
        <v/>
      </c>
      <c r="B2815" s="36" t="str">
        <f t="shared" si="69"/>
        <v/>
      </c>
      <c r="C2815" s="190"/>
      <c r="D2815" s="37"/>
      <c r="E2815" s="190"/>
      <c r="F2815" s="191"/>
      <c r="G2815" s="491"/>
      <c r="H2815" s="192"/>
      <c r="I2815" s="253"/>
      <c r="J2815" s="253"/>
      <c r="K2815" s="606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94"/>
    </row>
    <row r="2816" spans="1:27" ht="15.75" customHeight="1">
      <c r="A2816" s="199" t="str">
        <f>IF(B2816&lt;&gt;"",IF(AND(B2816&gt;=_TM1,B2816&lt;=_TM2,OR(TH!L2816="1111",TH!M2816="1111")),TH!D2816,""),"")</f>
        <v/>
      </c>
      <c r="B2816" s="36" t="str">
        <f t="shared" si="69"/>
        <v/>
      </c>
      <c r="C2816" s="190"/>
      <c r="D2816" s="37"/>
      <c r="E2816" s="190"/>
      <c r="F2816" s="191"/>
      <c r="G2816" s="491"/>
      <c r="H2816" s="192"/>
      <c r="I2816" s="253"/>
      <c r="J2816" s="253"/>
      <c r="K2816" s="606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94"/>
    </row>
    <row r="2817" spans="1:27" ht="15.75" customHeight="1">
      <c r="A2817" s="199" t="str">
        <f>IF(B2817&lt;&gt;"",IF(AND(B2817&gt;=_TM1,B2817&lt;=_TM2,OR(TH!L2817="1111",TH!M2817="1111")),TH!D2817,""),"")</f>
        <v/>
      </c>
      <c r="B2817" s="36" t="str">
        <f t="shared" si="69"/>
        <v/>
      </c>
      <c r="C2817" s="190"/>
      <c r="D2817" s="37"/>
      <c r="E2817" s="190"/>
      <c r="F2817" s="191"/>
      <c r="G2817" s="491"/>
      <c r="H2817" s="192"/>
      <c r="I2817" s="253"/>
      <c r="J2817" s="253"/>
      <c r="K2817" s="606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94"/>
    </row>
    <row r="2818" spans="1:27" ht="15.75" customHeight="1">
      <c r="A2818" s="199" t="str">
        <f>IF(B2818&lt;&gt;"",IF(AND(B2818&gt;=_TM1,B2818&lt;=_TM2,OR(TH!L2818="1111",TH!M2818="1111")),TH!D2818,""),"")</f>
        <v/>
      </c>
      <c r="B2818" s="36" t="str">
        <f t="shared" si="69"/>
        <v/>
      </c>
      <c r="C2818" s="190"/>
      <c r="D2818" s="37"/>
      <c r="E2818" s="190"/>
      <c r="F2818" s="191"/>
      <c r="G2818" s="491"/>
      <c r="H2818" s="192"/>
      <c r="I2818" s="253"/>
      <c r="J2818" s="253"/>
      <c r="K2818" s="606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94"/>
    </row>
    <row r="2819" spans="1:27" ht="15.75" customHeight="1">
      <c r="A2819" s="199" t="str">
        <f>IF(B2819&lt;&gt;"",IF(AND(B2819&gt;=_TM1,B2819&lt;=_TM2,OR(TH!L2819="1111",TH!M2819="1111")),TH!D2819,""),"")</f>
        <v/>
      </c>
      <c r="B2819" s="36" t="str">
        <f t="shared" si="69"/>
        <v/>
      </c>
      <c r="C2819" s="183"/>
      <c r="D2819" s="183"/>
      <c r="E2819" s="190"/>
      <c r="F2819" s="188"/>
      <c r="G2819" s="608"/>
      <c r="H2819" s="7"/>
      <c r="I2819" s="253"/>
      <c r="J2819" s="253"/>
      <c r="K2819" s="606"/>
      <c r="L2819" s="607"/>
      <c r="M2819" s="607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94"/>
    </row>
    <row r="2820" spans="1:27" ht="15.75" customHeight="1">
      <c r="A2820" s="199" t="str">
        <f>IF(B2820&lt;&gt;"",IF(AND(B2820&gt;=_TM1,B2820&lt;=_TM2,OR(TH!L2820="1111",TH!M2820="1111")),TH!D2820,""),"")</f>
        <v/>
      </c>
      <c r="B2820" s="36" t="str">
        <f t="shared" si="69"/>
        <v/>
      </c>
      <c r="C2820" s="183"/>
      <c r="D2820" s="183"/>
      <c r="E2820" s="190"/>
      <c r="F2820" s="188"/>
      <c r="G2820" s="608"/>
      <c r="H2820" s="7"/>
      <c r="I2820" s="253"/>
      <c r="J2820" s="253"/>
      <c r="K2820" s="606"/>
      <c r="L2820" s="607"/>
      <c r="M2820" s="607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94"/>
    </row>
    <row r="2821" spans="1:27" ht="15.75" customHeight="1">
      <c r="A2821" s="199" t="str">
        <f>IF(B2821&lt;&gt;"",IF(AND(B2821&gt;=_TM1,B2821&lt;=_TM2,OR(TH!L2821="1111",TH!M2821="1111")),TH!D2821,""),"")</f>
        <v/>
      </c>
      <c r="B2821" s="36" t="str">
        <f t="shared" si="69"/>
        <v/>
      </c>
      <c r="C2821" s="183"/>
      <c r="D2821" s="183"/>
      <c r="E2821" s="190"/>
      <c r="F2821" s="188"/>
      <c r="G2821" s="608"/>
      <c r="H2821" s="7"/>
      <c r="I2821" s="253"/>
      <c r="J2821" s="253"/>
      <c r="K2821" s="606"/>
      <c r="L2821" s="607"/>
      <c r="M2821" s="607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94"/>
    </row>
    <row r="2822" spans="1:27" ht="15.75" customHeight="1">
      <c r="A2822" s="199" t="str">
        <f>IF(B2822&lt;&gt;"",IF(AND(B2822&gt;=_TM1,B2822&lt;=_TM2,OR(TH!L2822="1111",TH!M2822="1111")),TH!D2822,""),"")</f>
        <v/>
      </c>
      <c r="B2822" s="36" t="str">
        <f t="shared" si="69"/>
        <v/>
      </c>
      <c r="C2822" s="190"/>
      <c r="D2822" s="190"/>
      <c r="E2822" s="190"/>
      <c r="F2822" s="191"/>
      <c r="G2822" s="491"/>
      <c r="H2822" s="192"/>
      <c r="I2822" s="253"/>
      <c r="J2822" s="253"/>
      <c r="K2822" s="606"/>
      <c r="L2822" s="193"/>
      <c r="M2822" s="193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94"/>
    </row>
    <row r="2823" spans="1:27" ht="15.75" customHeight="1">
      <c r="A2823" s="199" t="str">
        <f>IF(B2823&lt;&gt;"",IF(AND(B2823&gt;=_TM1,B2823&lt;=_TM2,OR(TH!L2823="1111",TH!M2823="1111")),TH!D2823,""),"")</f>
        <v/>
      </c>
      <c r="B2823" s="36" t="str">
        <f t="shared" si="69"/>
        <v/>
      </c>
      <c r="C2823" s="190"/>
      <c r="D2823" s="190"/>
      <c r="E2823" s="190"/>
      <c r="F2823" s="191"/>
      <c r="G2823" s="491"/>
      <c r="H2823" s="192"/>
      <c r="I2823" s="253"/>
      <c r="J2823" s="253"/>
      <c r="K2823" s="606"/>
      <c r="L2823" s="193"/>
      <c r="M2823" s="193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94"/>
    </row>
    <row r="2824" spans="1:27" ht="15.75" customHeight="1">
      <c r="A2824" s="199" t="str">
        <f>IF(B2824&lt;&gt;"",IF(AND(B2824&gt;=_TM1,B2824&lt;=_TM2,OR(TH!L2824="1111",TH!M2824="1111")),TH!D2824,""),"")</f>
        <v/>
      </c>
      <c r="B2824" s="36" t="str">
        <f t="shared" si="69"/>
        <v/>
      </c>
      <c r="C2824" s="190"/>
      <c r="D2824" s="190"/>
      <c r="E2824" s="190"/>
      <c r="F2824" s="191"/>
      <c r="G2824" s="491"/>
      <c r="H2824" s="192"/>
      <c r="I2824" s="253"/>
      <c r="J2824" s="253"/>
      <c r="K2824" s="38"/>
      <c r="L2824" s="193"/>
      <c r="M2824" s="193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94"/>
    </row>
    <row r="2825" spans="1:27" ht="15.75" customHeight="1">
      <c r="A2825" s="199" t="str">
        <f>IF(B2825&lt;&gt;"",IF(AND(B2825&gt;=_TM1,B2825&lt;=_TM2,OR(TH!L2825="1111",TH!M2825="1111")),TH!D2825,""),"")</f>
        <v/>
      </c>
      <c r="B2825" s="36" t="str">
        <f t="shared" ref="B2825:B2830" si="70">IF(C2825&lt;&gt;"",MONTH(C2825),"")</f>
        <v/>
      </c>
      <c r="C2825" s="190"/>
      <c r="D2825" s="37"/>
      <c r="E2825" s="190"/>
      <c r="F2825" s="191"/>
      <c r="G2825" s="40"/>
      <c r="H2825" s="44"/>
      <c r="I2825" s="253"/>
      <c r="J2825" s="253"/>
      <c r="K2825" s="38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94"/>
    </row>
    <row r="2826" spans="1:27" ht="15.75" customHeight="1">
      <c r="A2826" s="199" t="str">
        <f>IF(B2826&lt;&gt;"",IF(AND(B2826&gt;=_TM1,B2826&lt;=_TM2,OR(TH!L2826="1111",TH!M2826="1111")),TH!D2826,""),"")</f>
        <v/>
      </c>
      <c r="B2826" s="36" t="str">
        <f t="shared" si="70"/>
        <v/>
      </c>
      <c r="C2826" s="37"/>
      <c r="D2826" s="37"/>
      <c r="E2826" s="37"/>
      <c r="F2826" s="40"/>
      <c r="G2826" s="40"/>
      <c r="H2826" s="44"/>
      <c r="I2826" s="253"/>
      <c r="J2826" s="253"/>
      <c r="K2826" s="38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94"/>
    </row>
    <row r="2827" spans="1:27" ht="15.75" customHeight="1">
      <c r="A2827" s="199" t="str">
        <f>IF(B2827&lt;&gt;"",IF(AND(B2827&gt;=_TM1,B2827&lt;=_TM2,OR(TH!L2827="1111",TH!M2827="1111")),TH!D2827,""),"")</f>
        <v/>
      </c>
      <c r="B2827" s="36" t="str">
        <f t="shared" si="70"/>
        <v/>
      </c>
      <c r="C2827" s="37"/>
      <c r="D2827" s="37"/>
      <c r="E2827" s="37"/>
      <c r="F2827" s="40"/>
      <c r="G2827" s="40"/>
      <c r="H2827" s="44"/>
      <c r="I2827" s="253"/>
      <c r="J2827" s="253"/>
      <c r="K2827" s="38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94"/>
    </row>
    <row r="2828" spans="1:27" ht="15.75" customHeight="1">
      <c r="A2828" s="199" t="str">
        <f>IF(B2828&lt;&gt;"",IF(AND(B2828&gt;=_TM1,B2828&lt;=_TM2,OR(TH!L2828="1111",TH!M2828="1111")),TH!D2828,""),"")</f>
        <v/>
      </c>
      <c r="B2828" s="36" t="str">
        <f t="shared" si="70"/>
        <v/>
      </c>
      <c r="C2828" s="37"/>
      <c r="D2828" s="37"/>
      <c r="E2828" s="37"/>
      <c r="F2828" s="40"/>
      <c r="G2828" s="40"/>
      <c r="H2828" s="44"/>
      <c r="I2828" s="253"/>
      <c r="J2828" s="253"/>
      <c r="K2828" s="38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94"/>
    </row>
    <row r="2829" spans="1:27" ht="15.75" customHeight="1">
      <c r="A2829" s="199" t="str">
        <f>IF(B2829&lt;&gt;"",IF(AND(B2829&gt;=_TM1,B2829&lt;=_TM2,OR(TH!L2829="1111",TH!M2829="1111")),TH!D2829,""),"")</f>
        <v/>
      </c>
      <c r="B2829" s="36" t="str">
        <f t="shared" si="70"/>
        <v/>
      </c>
      <c r="C2829" s="37"/>
      <c r="D2829" s="37"/>
      <c r="E2829" s="37"/>
      <c r="F2829" s="40"/>
      <c r="G2829" s="40"/>
      <c r="H2829" s="44"/>
      <c r="I2829" s="253"/>
      <c r="J2829" s="253"/>
      <c r="K2829" s="38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94"/>
    </row>
    <row r="2830" spans="1:27" ht="15.75" customHeight="1">
      <c r="A2830" s="199" t="str">
        <f>IF(B2830&lt;&gt;"",IF(AND(B2830&gt;=_TM1,B2830&lt;=_TM2,OR(TH!L2830="1111",TH!M2830="1111")),TH!D2830,""),"")</f>
        <v/>
      </c>
      <c r="B2830" s="36" t="str">
        <f t="shared" si="70"/>
        <v/>
      </c>
      <c r="C2830" s="37"/>
      <c r="D2830" s="37"/>
      <c r="E2830" s="37"/>
      <c r="F2830" s="40"/>
      <c r="G2830" s="40"/>
      <c r="H2830" s="44"/>
      <c r="I2830" s="253"/>
      <c r="J2830" s="253"/>
      <c r="K2830" s="38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94"/>
    </row>
    <row r="2832" spans="1:27">
      <c r="J2832" s="841"/>
    </row>
    <row r="2840" spans="11:11">
      <c r="K2840" s="488">
        <f>SUBTOTAL(9,K10:K2830)</f>
        <v>0</v>
      </c>
    </row>
  </sheetData>
  <autoFilter ref="A9:AD2830"/>
  <sortState ref="A24:AD2823">
    <sortCondition ref="C24:C2823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9" customWidth="1"/>
    <col min="2" max="2" width="9.28515625" style="629" customWidth="1"/>
    <col min="3" max="3" width="10" style="629" customWidth="1"/>
    <col min="4" max="4" width="41.42578125" style="629" customWidth="1"/>
    <col min="5" max="5" width="6" style="629" customWidth="1"/>
    <col min="6" max="6" width="7.85546875" style="629" customWidth="1"/>
    <col min="7" max="7" width="8.5703125" style="629" customWidth="1"/>
    <col min="8" max="8" width="13.85546875" style="629" customWidth="1"/>
    <col min="9" max="9" width="14.140625" style="629" customWidth="1"/>
    <col min="10" max="11" width="9.140625" style="629"/>
    <col min="12" max="12" width="3.5703125" style="629" customWidth="1"/>
    <col min="13" max="256" width="9.140625" style="629"/>
    <col min="257" max="257" width="13" style="629" customWidth="1"/>
    <col min="258" max="258" width="9.140625" style="629"/>
    <col min="259" max="259" width="13" style="629" customWidth="1"/>
    <col min="260" max="260" width="29.7109375" style="629" customWidth="1"/>
    <col min="261" max="261" width="7.7109375" style="629" customWidth="1"/>
    <col min="262" max="262" width="6" style="629" customWidth="1"/>
    <col min="263" max="263" width="11.5703125" style="629" customWidth="1"/>
    <col min="264" max="264" width="13.42578125" style="629" customWidth="1"/>
    <col min="265" max="265" width="13.85546875" style="629" customWidth="1"/>
    <col min="266" max="512" width="9.140625" style="629"/>
    <col min="513" max="513" width="13" style="629" customWidth="1"/>
    <col min="514" max="514" width="9.140625" style="629"/>
    <col min="515" max="515" width="13" style="629" customWidth="1"/>
    <col min="516" max="516" width="29.7109375" style="629" customWidth="1"/>
    <col min="517" max="517" width="7.7109375" style="629" customWidth="1"/>
    <col min="518" max="518" width="6" style="629" customWidth="1"/>
    <col min="519" max="519" width="11.5703125" style="629" customWidth="1"/>
    <col min="520" max="520" width="13.42578125" style="629" customWidth="1"/>
    <col min="521" max="521" width="13.85546875" style="629" customWidth="1"/>
    <col min="522" max="768" width="9.140625" style="629"/>
    <col min="769" max="769" width="13" style="629" customWidth="1"/>
    <col min="770" max="770" width="9.140625" style="629"/>
    <col min="771" max="771" width="13" style="629" customWidth="1"/>
    <col min="772" max="772" width="29.7109375" style="629" customWidth="1"/>
    <col min="773" max="773" width="7.7109375" style="629" customWidth="1"/>
    <col min="774" max="774" width="6" style="629" customWidth="1"/>
    <col min="775" max="775" width="11.5703125" style="629" customWidth="1"/>
    <col min="776" max="776" width="13.42578125" style="629" customWidth="1"/>
    <col min="777" max="777" width="13.85546875" style="629" customWidth="1"/>
    <col min="778" max="1024" width="9.140625" style="629"/>
    <col min="1025" max="1025" width="13" style="629" customWidth="1"/>
    <col min="1026" max="1026" width="9.140625" style="629"/>
    <col min="1027" max="1027" width="13" style="629" customWidth="1"/>
    <col min="1028" max="1028" width="29.7109375" style="629" customWidth="1"/>
    <col min="1029" max="1029" width="7.7109375" style="629" customWidth="1"/>
    <col min="1030" max="1030" width="6" style="629" customWidth="1"/>
    <col min="1031" max="1031" width="11.5703125" style="629" customWidth="1"/>
    <col min="1032" max="1032" width="13.42578125" style="629" customWidth="1"/>
    <col min="1033" max="1033" width="13.85546875" style="629" customWidth="1"/>
    <col min="1034" max="1280" width="9.140625" style="629"/>
    <col min="1281" max="1281" width="13" style="629" customWidth="1"/>
    <col min="1282" max="1282" width="9.140625" style="629"/>
    <col min="1283" max="1283" width="13" style="629" customWidth="1"/>
    <col min="1284" max="1284" width="29.7109375" style="629" customWidth="1"/>
    <col min="1285" max="1285" width="7.7109375" style="629" customWidth="1"/>
    <col min="1286" max="1286" width="6" style="629" customWidth="1"/>
    <col min="1287" max="1287" width="11.5703125" style="629" customWidth="1"/>
    <col min="1288" max="1288" width="13.42578125" style="629" customWidth="1"/>
    <col min="1289" max="1289" width="13.85546875" style="629" customWidth="1"/>
    <col min="1290" max="1536" width="9.140625" style="629"/>
    <col min="1537" max="1537" width="13" style="629" customWidth="1"/>
    <col min="1538" max="1538" width="9.140625" style="629"/>
    <col min="1539" max="1539" width="13" style="629" customWidth="1"/>
    <col min="1540" max="1540" width="29.7109375" style="629" customWidth="1"/>
    <col min="1541" max="1541" width="7.7109375" style="629" customWidth="1"/>
    <col min="1542" max="1542" width="6" style="629" customWidth="1"/>
    <col min="1543" max="1543" width="11.5703125" style="629" customWidth="1"/>
    <col min="1544" max="1544" width="13.42578125" style="629" customWidth="1"/>
    <col min="1545" max="1545" width="13.85546875" style="629" customWidth="1"/>
    <col min="1546" max="1792" width="9.140625" style="629"/>
    <col min="1793" max="1793" width="13" style="629" customWidth="1"/>
    <col min="1794" max="1794" width="9.140625" style="629"/>
    <col min="1795" max="1795" width="13" style="629" customWidth="1"/>
    <col min="1796" max="1796" width="29.7109375" style="629" customWidth="1"/>
    <col min="1797" max="1797" width="7.7109375" style="629" customWidth="1"/>
    <col min="1798" max="1798" width="6" style="629" customWidth="1"/>
    <col min="1799" max="1799" width="11.5703125" style="629" customWidth="1"/>
    <col min="1800" max="1800" width="13.42578125" style="629" customWidth="1"/>
    <col min="1801" max="1801" width="13.85546875" style="629" customWidth="1"/>
    <col min="1802" max="2048" width="9.140625" style="629"/>
    <col min="2049" max="2049" width="13" style="629" customWidth="1"/>
    <col min="2050" max="2050" width="9.140625" style="629"/>
    <col min="2051" max="2051" width="13" style="629" customWidth="1"/>
    <col min="2052" max="2052" width="29.7109375" style="629" customWidth="1"/>
    <col min="2053" max="2053" width="7.7109375" style="629" customWidth="1"/>
    <col min="2054" max="2054" width="6" style="629" customWidth="1"/>
    <col min="2055" max="2055" width="11.5703125" style="629" customWidth="1"/>
    <col min="2056" max="2056" width="13.42578125" style="629" customWidth="1"/>
    <col min="2057" max="2057" width="13.85546875" style="629" customWidth="1"/>
    <col min="2058" max="2304" width="9.140625" style="629"/>
    <col min="2305" max="2305" width="13" style="629" customWidth="1"/>
    <col min="2306" max="2306" width="9.140625" style="629"/>
    <col min="2307" max="2307" width="13" style="629" customWidth="1"/>
    <col min="2308" max="2308" width="29.7109375" style="629" customWidth="1"/>
    <col min="2309" max="2309" width="7.7109375" style="629" customWidth="1"/>
    <col min="2310" max="2310" width="6" style="629" customWidth="1"/>
    <col min="2311" max="2311" width="11.5703125" style="629" customWidth="1"/>
    <col min="2312" max="2312" width="13.42578125" style="629" customWidth="1"/>
    <col min="2313" max="2313" width="13.85546875" style="629" customWidth="1"/>
    <col min="2314" max="2560" width="9.140625" style="629"/>
    <col min="2561" max="2561" width="13" style="629" customWidth="1"/>
    <col min="2562" max="2562" width="9.140625" style="629"/>
    <col min="2563" max="2563" width="13" style="629" customWidth="1"/>
    <col min="2564" max="2564" width="29.7109375" style="629" customWidth="1"/>
    <col min="2565" max="2565" width="7.7109375" style="629" customWidth="1"/>
    <col min="2566" max="2566" width="6" style="629" customWidth="1"/>
    <col min="2567" max="2567" width="11.5703125" style="629" customWidth="1"/>
    <col min="2568" max="2568" width="13.42578125" style="629" customWidth="1"/>
    <col min="2569" max="2569" width="13.85546875" style="629" customWidth="1"/>
    <col min="2570" max="2816" width="9.140625" style="629"/>
    <col min="2817" max="2817" width="13" style="629" customWidth="1"/>
    <col min="2818" max="2818" width="9.140625" style="629"/>
    <col min="2819" max="2819" width="13" style="629" customWidth="1"/>
    <col min="2820" max="2820" width="29.7109375" style="629" customWidth="1"/>
    <col min="2821" max="2821" width="7.7109375" style="629" customWidth="1"/>
    <col min="2822" max="2822" width="6" style="629" customWidth="1"/>
    <col min="2823" max="2823" width="11.5703125" style="629" customWidth="1"/>
    <col min="2824" max="2824" width="13.42578125" style="629" customWidth="1"/>
    <col min="2825" max="2825" width="13.85546875" style="629" customWidth="1"/>
    <col min="2826" max="3072" width="9.140625" style="629"/>
    <col min="3073" max="3073" width="13" style="629" customWidth="1"/>
    <col min="3074" max="3074" width="9.140625" style="629"/>
    <col min="3075" max="3075" width="13" style="629" customWidth="1"/>
    <col min="3076" max="3076" width="29.7109375" style="629" customWidth="1"/>
    <col min="3077" max="3077" width="7.7109375" style="629" customWidth="1"/>
    <col min="3078" max="3078" width="6" style="629" customWidth="1"/>
    <col min="3079" max="3079" width="11.5703125" style="629" customWidth="1"/>
    <col min="3080" max="3080" width="13.42578125" style="629" customWidth="1"/>
    <col min="3081" max="3081" width="13.85546875" style="629" customWidth="1"/>
    <col min="3082" max="3328" width="9.140625" style="629"/>
    <col min="3329" max="3329" width="13" style="629" customWidth="1"/>
    <col min="3330" max="3330" width="9.140625" style="629"/>
    <col min="3331" max="3331" width="13" style="629" customWidth="1"/>
    <col min="3332" max="3332" width="29.7109375" style="629" customWidth="1"/>
    <col min="3333" max="3333" width="7.7109375" style="629" customWidth="1"/>
    <col min="3334" max="3334" width="6" style="629" customWidth="1"/>
    <col min="3335" max="3335" width="11.5703125" style="629" customWidth="1"/>
    <col min="3336" max="3336" width="13.42578125" style="629" customWidth="1"/>
    <col min="3337" max="3337" width="13.85546875" style="629" customWidth="1"/>
    <col min="3338" max="3584" width="9.140625" style="629"/>
    <col min="3585" max="3585" width="13" style="629" customWidth="1"/>
    <col min="3586" max="3586" width="9.140625" style="629"/>
    <col min="3587" max="3587" width="13" style="629" customWidth="1"/>
    <col min="3588" max="3588" width="29.7109375" style="629" customWidth="1"/>
    <col min="3589" max="3589" width="7.7109375" style="629" customWidth="1"/>
    <col min="3590" max="3590" width="6" style="629" customWidth="1"/>
    <col min="3591" max="3591" width="11.5703125" style="629" customWidth="1"/>
    <col min="3592" max="3592" width="13.42578125" style="629" customWidth="1"/>
    <col min="3593" max="3593" width="13.85546875" style="629" customWidth="1"/>
    <col min="3594" max="3840" width="9.140625" style="629"/>
    <col min="3841" max="3841" width="13" style="629" customWidth="1"/>
    <col min="3842" max="3842" width="9.140625" style="629"/>
    <col min="3843" max="3843" width="13" style="629" customWidth="1"/>
    <col min="3844" max="3844" width="29.7109375" style="629" customWidth="1"/>
    <col min="3845" max="3845" width="7.7109375" style="629" customWidth="1"/>
    <col min="3846" max="3846" width="6" style="629" customWidth="1"/>
    <col min="3847" max="3847" width="11.5703125" style="629" customWidth="1"/>
    <col min="3848" max="3848" width="13.42578125" style="629" customWidth="1"/>
    <col min="3849" max="3849" width="13.85546875" style="629" customWidth="1"/>
    <col min="3850" max="4096" width="9.140625" style="629"/>
    <col min="4097" max="4097" width="13" style="629" customWidth="1"/>
    <col min="4098" max="4098" width="9.140625" style="629"/>
    <col min="4099" max="4099" width="13" style="629" customWidth="1"/>
    <col min="4100" max="4100" width="29.7109375" style="629" customWidth="1"/>
    <col min="4101" max="4101" width="7.7109375" style="629" customWidth="1"/>
    <col min="4102" max="4102" width="6" style="629" customWidth="1"/>
    <col min="4103" max="4103" width="11.5703125" style="629" customWidth="1"/>
    <col min="4104" max="4104" width="13.42578125" style="629" customWidth="1"/>
    <col min="4105" max="4105" width="13.85546875" style="629" customWidth="1"/>
    <col min="4106" max="4352" width="9.140625" style="629"/>
    <col min="4353" max="4353" width="13" style="629" customWidth="1"/>
    <col min="4354" max="4354" width="9.140625" style="629"/>
    <col min="4355" max="4355" width="13" style="629" customWidth="1"/>
    <col min="4356" max="4356" width="29.7109375" style="629" customWidth="1"/>
    <col min="4357" max="4357" width="7.7109375" style="629" customWidth="1"/>
    <col min="4358" max="4358" width="6" style="629" customWidth="1"/>
    <col min="4359" max="4359" width="11.5703125" style="629" customWidth="1"/>
    <col min="4360" max="4360" width="13.42578125" style="629" customWidth="1"/>
    <col min="4361" max="4361" width="13.85546875" style="629" customWidth="1"/>
    <col min="4362" max="4608" width="9.140625" style="629"/>
    <col min="4609" max="4609" width="13" style="629" customWidth="1"/>
    <col min="4610" max="4610" width="9.140625" style="629"/>
    <col min="4611" max="4611" width="13" style="629" customWidth="1"/>
    <col min="4612" max="4612" width="29.7109375" style="629" customWidth="1"/>
    <col min="4613" max="4613" width="7.7109375" style="629" customWidth="1"/>
    <col min="4614" max="4614" width="6" style="629" customWidth="1"/>
    <col min="4615" max="4615" width="11.5703125" style="629" customWidth="1"/>
    <col min="4616" max="4616" width="13.42578125" style="629" customWidth="1"/>
    <col min="4617" max="4617" width="13.85546875" style="629" customWidth="1"/>
    <col min="4618" max="4864" width="9.140625" style="629"/>
    <col min="4865" max="4865" width="13" style="629" customWidth="1"/>
    <col min="4866" max="4866" width="9.140625" style="629"/>
    <col min="4867" max="4867" width="13" style="629" customWidth="1"/>
    <col min="4868" max="4868" width="29.7109375" style="629" customWidth="1"/>
    <col min="4869" max="4869" width="7.7109375" style="629" customWidth="1"/>
    <col min="4870" max="4870" width="6" style="629" customWidth="1"/>
    <col min="4871" max="4871" width="11.5703125" style="629" customWidth="1"/>
    <col min="4872" max="4872" width="13.42578125" style="629" customWidth="1"/>
    <col min="4873" max="4873" width="13.85546875" style="629" customWidth="1"/>
    <col min="4874" max="5120" width="9.140625" style="629"/>
    <col min="5121" max="5121" width="13" style="629" customWidth="1"/>
    <col min="5122" max="5122" width="9.140625" style="629"/>
    <col min="5123" max="5123" width="13" style="629" customWidth="1"/>
    <col min="5124" max="5124" width="29.7109375" style="629" customWidth="1"/>
    <col min="5125" max="5125" width="7.7109375" style="629" customWidth="1"/>
    <col min="5126" max="5126" width="6" style="629" customWidth="1"/>
    <col min="5127" max="5127" width="11.5703125" style="629" customWidth="1"/>
    <col min="5128" max="5128" width="13.42578125" style="629" customWidth="1"/>
    <col min="5129" max="5129" width="13.85546875" style="629" customWidth="1"/>
    <col min="5130" max="5376" width="9.140625" style="629"/>
    <col min="5377" max="5377" width="13" style="629" customWidth="1"/>
    <col min="5378" max="5378" width="9.140625" style="629"/>
    <col min="5379" max="5379" width="13" style="629" customWidth="1"/>
    <col min="5380" max="5380" width="29.7109375" style="629" customWidth="1"/>
    <col min="5381" max="5381" width="7.7109375" style="629" customWidth="1"/>
    <col min="5382" max="5382" width="6" style="629" customWidth="1"/>
    <col min="5383" max="5383" width="11.5703125" style="629" customWidth="1"/>
    <col min="5384" max="5384" width="13.42578125" style="629" customWidth="1"/>
    <col min="5385" max="5385" width="13.85546875" style="629" customWidth="1"/>
    <col min="5386" max="5632" width="9.140625" style="629"/>
    <col min="5633" max="5633" width="13" style="629" customWidth="1"/>
    <col min="5634" max="5634" width="9.140625" style="629"/>
    <col min="5635" max="5635" width="13" style="629" customWidth="1"/>
    <col min="5636" max="5636" width="29.7109375" style="629" customWidth="1"/>
    <col min="5637" max="5637" width="7.7109375" style="629" customWidth="1"/>
    <col min="5638" max="5638" width="6" style="629" customWidth="1"/>
    <col min="5639" max="5639" width="11.5703125" style="629" customWidth="1"/>
    <col min="5640" max="5640" width="13.42578125" style="629" customWidth="1"/>
    <col min="5641" max="5641" width="13.85546875" style="629" customWidth="1"/>
    <col min="5642" max="5888" width="9.140625" style="629"/>
    <col min="5889" max="5889" width="13" style="629" customWidth="1"/>
    <col min="5890" max="5890" width="9.140625" style="629"/>
    <col min="5891" max="5891" width="13" style="629" customWidth="1"/>
    <col min="5892" max="5892" width="29.7109375" style="629" customWidth="1"/>
    <col min="5893" max="5893" width="7.7109375" style="629" customWidth="1"/>
    <col min="5894" max="5894" width="6" style="629" customWidth="1"/>
    <col min="5895" max="5895" width="11.5703125" style="629" customWidth="1"/>
    <col min="5896" max="5896" width="13.42578125" style="629" customWidth="1"/>
    <col min="5897" max="5897" width="13.85546875" style="629" customWidth="1"/>
    <col min="5898" max="6144" width="9.140625" style="629"/>
    <col min="6145" max="6145" width="13" style="629" customWidth="1"/>
    <col min="6146" max="6146" width="9.140625" style="629"/>
    <col min="6147" max="6147" width="13" style="629" customWidth="1"/>
    <col min="6148" max="6148" width="29.7109375" style="629" customWidth="1"/>
    <col min="6149" max="6149" width="7.7109375" style="629" customWidth="1"/>
    <col min="6150" max="6150" width="6" style="629" customWidth="1"/>
    <col min="6151" max="6151" width="11.5703125" style="629" customWidth="1"/>
    <col min="6152" max="6152" width="13.42578125" style="629" customWidth="1"/>
    <col min="6153" max="6153" width="13.85546875" style="629" customWidth="1"/>
    <col min="6154" max="6400" width="9.140625" style="629"/>
    <col min="6401" max="6401" width="13" style="629" customWidth="1"/>
    <col min="6402" max="6402" width="9.140625" style="629"/>
    <col min="6403" max="6403" width="13" style="629" customWidth="1"/>
    <col min="6404" max="6404" width="29.7109375" style="629" customWidth="1"/>
    <col min="6405" max="6405" width="7.7109375" style="629" customWidth="1"/>
    <col min="6406" max="6406" width="6" style="629" customWidth="1"/>
    <col min="6407" max="6407" width="11.5703125" style="629" customWidth="1"/>
    <col min="6408" max="6408" width="13.42578125" style="629" customWidth="1"/>
    <col min="6409" max="6409" width="13.85546875" style="629" customWidth="1"/>
    <col min="6410" max="6656" width="9.140625" style="629"/>
    <col min="6657" max="6657" width="13" style="629" customWidth="1"/>
    <col min="6658" max="6658" width="9.140625" style="629"/>
    <col min="6659" max="6659" width="13" style="629" customWidth="1"/>
    <col min="6660" max="6660" width="29.7109375" style="629" customWidth="1"/>
    <col min="6661" max="6661" width="7.7109375" style="629" customWidth="1"/>
    <col min="6662" max="6662" width="6" style="629" customWidth="1"/>
    <col min="6663" max="6663" width="11.5703125" style="629" customWidth="1"/>
    <col min="6664" max="6664" width="13.42578125" style="629" customWidth="1"/>
    <col min="6665" max="6665" width="13.85546875" style="629" customWidth="1"/>
    <col min="6666" max="6912" width="9.140625" style="629"/>
    <col min="6913" max="6913" width="13" style="629" customWidth="1"/>
    <col min="6914" max="6914" width="9.140625" style="629"/>
    <col min="6915" max="6915" width="13" style="629" customWidth="1"/>
    <col min="6916" max="6916" width="29.7109375" style="629" customWidth="1"/>
    <col min="6917" max="6917" width="7.7109375" style="629" customWidth="1"/>
    <col min="6918" max="6918" width="6" style="629" customWidth="1"/>
    <col min="6919" max="6919" width="11.5703125" style="629" customWidth="1"/>
    <col min="6920" max="6920" width="13.42578125" style="629" customWidth="1"/>
    <col min="6921" max="6921" width="13.85546875" style="629" customWidth="1"/>
    <col min="6922" max="7168" width="9.140625" style="629"/>
    <col min="7169" max="7169" width="13" style="629" customWidth="1"/>
    <col min="7170" max="7170" width="9.140625" style="629"/>
    <col min="7171" max="7171" width="13" style="629" customWidth="1"/>
    <col min="7172" max="7172" width="29.7109375" style="629" customWidth="1"/>
    <col min="7173" max="7173" width="7.7109375" style="629" customWidth="1"/>
    <col min="7174" max="7174" width="6" style="629" customWidth="1"/>
    <col min="7175" max="7175" width="11.5703125" style="629" customWidth="1"/>
    <col min="7176" max="7176" width="13.42578125" style="629" customWidth="1"/>
    <col min="7177" max="7177" width="13.85546875" style="629" customWidth="1"/>
    <col min="7178" max="7424" width="9.140625" style="629"/>
    <col min="7425" max="7425" width="13" style="629" customWidth="1"/>
    <col min="7426" max="7426" width="9.140625" style="629"/>
    <col min="7427" max="7427" width="13" style="629" customWidth="1"/>
    <col min="7428" max="7428" width="29.7109375" style="629" customWidth="1"/>
    <col min="7429" max="7429" width="7.7109375" style="629" customWidth="1"/>
    <col min="7430" max="7430" width="6" style="629" customWidth="1"/>
    <col min="7431" max="7431" width="11.5703125" style="629" customWidth="1"/>
    <col min="7432" max="7432" width="13.42578125" style="629" customWidth="1"/>
    <col min="7433" max="7433" width="13.85546875" style="629" customWidth="1"/>
    <col min="7434" max="7680" width="9.140625" style="629"/>
    <col min="7681" max="7681" width="13" style="629" customWidth="1"/>
    <col min="7682" max="7682" width="9.140625" style="629"/>
    <col min="7683" max="7683" width="13" style="629" customWidth="1"/>
    <col min="7684" max="7684" width="29.7109375" style="629" customWidth="1"/>
    <col min="7685" max="7685" width="7.7109375" style="629" customWidth="1"/>
    <col min="7686" max="7686" width="6" style="629" customWidth="1"/>
    <col min="7687" max="7687" width="11.5703125" style="629" customWidth="1"/>
    <col min="7688" max="7688" width="13.42578125" style="629" customWidth="1"/>
    <col min="7689" max="7689" width="13.85546875" style="629" customWidth="1"/>
    <col min="7690" max="7936" width="9.140625" style="629"/>
    <col min="7937" max="7937" width="13" style="629" customWidth="1"/>
    <col min="7938" max="7938" width="9.140625" style="629"/>
    <col min="7939" max="7939" width="13" style="629" customWidth="1"/>
    <col min="7940" max="7940" width="29.7109375" style="629" customWidth="1"/>
    <col min="7941" max="7941" width="7.7109375" style="629" customWidth="1"/>
    <col min="7942" max="7942" width="6" style="629" customWidth="1"/>
    <col min="7943" max="7943" width="11.5703125" style="629" customWidth="1"/>
    <col min="7944" max="7944" width="13.42578125" style="629" customWidth="1"/>
    <col min="7945" max="7945" width="13.85546875" style="629" customWidth="1"/>
    <col min="7946" max="8192" width="9.140625" style="629"/>
    <col min="8193" max="8193" width="13" style="629" customWidth="1"/>
    <col min="8194" max="8194" width="9.140625" style="629"/>
    <col min="8195" max="8195" width="13" style="629" customWidth="1"/>
    <col min="8196" max="8196" width="29.7109375" style="629" customWidth="1"/>
    <col min="8197" max="8197" width="7.7109375" style="629" customWidth="1"/>
    <col min="8198" max="8198" width="6" style="629" customWidth="1"/>
    <col min="8199" max="8199" width="11.5703125" style="629" customWidth="1"/>
    <col min="8200" max="8200" width="13.42578125" style="629" customWidth="1"/>
    <col min="8201" max="8201" width="13.85546875" style="629" customWidth="1"/>
    <col min="8202" max="8448" width="9.140625" style="629"/>
    <col min="8449" max="8449" width="13" style="629" customWidth="1"/>
    <col min="8450" max="8450" width="9.140625" style="629"/>
    <col min="8451" max="8451" width="13" style="629" customWidth="1"/>
    <col min="8452" max="8452" width="29.7109375" style="629" customWidth="1"/>
    <col min="8453" max="8453" width="7.7109375" style="629" customWidth="1"/>
    <col min="8454" max="8454" width="6" style="629" customWidth="1"/>
    <col min="8455" max="8455" width="11.5703125" style="629" customWidth="1"/>
    <col min="8456" max="8456" width="13.42578125" style="629" customWidth="1"/>
    <col min="8457" max="8457" width="13.85546875" style="629" customWidth="1"/>
    <col min="8458" max="8704" width="9.140625" style="629"/>
    <col min="8705" max="8705" width="13" style="629" customWidth="1"/>
    <col min="8706" max="8706" width="9.140625" style="629"/>
    <col min="8707" max="8707" width="13" style="629" customWidth="1"/>
    <col min="8708" max="8708" width="29.7109375" style="629" customWidth="1"/>
    <col min="8709" max="8709" width="7.7109375" style="629" customWidth="1"/>
    <col min="8710" max="8710" width="6" style="629" customWidth="1"/>
    <col min="8711" max="8711" width="11.5703125" style="629" customWidth="1"/>
    <col min="8712" max="8712" width="13.42578125" style="629" customWidth="1"/>
    <col min="8713" max="8713" width="13.85546875" style="629" customWidth="1"/>
    <col min="8714" max="8960" width="9.140625" style="629"/>
    <col min="8961" max="8961" width="13" style="629" customWidth="1"/>
    <col min="8962" max="8962" width="9.140625" style="629"/>
    <col min="8963" max="8963" width="13" style="629" customWidth="1"/>
    <col min="8964" max="8964" width="29.7109375" style="629" customWidth="1"/>
    <col min="8965" max="8965" width="7.7109375" style="629" customWidth="1"/>
    <col min="8966" max="8966" width="6" style="629" customWidth="1"/>
    <col min="8967" max="8967" width="11.5703125" style="629" customWidth="1"/>
    <col min="8968" max="8968" width="13.42578125" style="629" customWidth="1"/>
    <col min="8969" max="8969" width="13.85546875" style="629" customWidth="1"/>
    <col min="8970" max="9216" width="9.140625" style="629"/>
    <col min="9217" max="9217" width="13" style="629" customWidth="1"/>
    <col min="9218" max="9218" width="9.140625" style="629"/>
    <col min="9219" max="9219" width="13" style="629" customWidth="1"/>
    <col min="9220" max="9220" width="29.7109375" style="629" customWidth="1"/>
    <col min="9221" max="9221" width="7.7109375" style="629" customWidth="1"/>
    <col min="9222" max="9222" width="6" style="629" customWidth="1"/>
    <col min="9223" max="9223" width="11.5703125" style="629" customWidth="1"/>
    <col min="9224" max="9224" width="13.42578125" style="629" customWidth="1"/>
    <col min="9225" max="9225" width="13.85546875" style="629" customWidth="1"/>
    <col min="9226" max="9472" width="9.140625" style="629"/>
    <col min="9473" max="9473" width="13" style="629" customWidth="1"/>
    <col min="9474" max="9474" width="9.140625" style="629"/>
    <col min="9475" max="9475" width="13" style="629" customWidth="1"/>
    <col min="9476" max="9476" width="29.7109375" style="629" customWidth="1"/>
    <col min="9477" max="9477" width="7.7109375" style="629" customWidth="1"/>
    <col min="9478" max="9478" width="6" style="629" customWidth="1"/>
    <col min="9479" max="9479" width="11.5703125" style="629" customWidth="1"/>
    <col min="9480" max="9480" width="13.42578125" style="629" customWidth="1"/>
    <col min="9481" max="9481" width="13.85546875" style="629" customWidth="1"/>
    <col min="9482" max="9728" width="9.140625" style="629"/>
    <col min="9729" max="9729" width="13" style="629" customWidth="1"/>
    <col min="9730" max="9730" width="9.140625" style="629"/>
    <col min="9731" max="9731" width="13" style="629" customWidth="1"/>
    <col min="9732" max="9732" width="29.7109375" style="629" customWidth="1"/>
    <col min="9733" max="9733" width="7.7109375" style="629" customWidth="1"/>
    <col min="9734" max="9734" width="6" style="629" customWidth="1"/>
    <col min="9735" max="9735" width="11.5703125" style="629" customWidth="1"/>
    <col min="9736" max="9736" width="13.42578125" style="629" customWidth="1"/>
    <col min="9737" max="9737" width="13.85546875" style="629" customWidth="1"/>
    <col min="9738" max="9984" width="9.140625" style="629"/>
    <col min="9985" max="9985" width="13" style="629" customWidth="1"/>
    <col min="9986" max="9986" width="9.140625" style="629"/>
    <col min="9987" max="9987" width="13" style="629" customWidth="1"/>
    <col min="9988" max="9988" width="29.7109375" style="629" customWidth="1"/>
    <col min="9989" max="9989" width="7.7109375" style="629" customWidth="1"/>
    <col min="9990" max="9990" width="6" style="629" customWidth="1"/>
    <col min="9991" max="9991" width="11.5703125" style="629" customWidth="1"/>
    <col min="9992" max="9992" width="13.42578125" style="629" customWidth="1"/>
    <col min="9993" max="9993" width="13.85546875" style="629" customWidth="1"/>
    <col min="9994" max="10240" width="9.140625" style="629"/>
    <col min="10241" max="10241" width="13" style="629" customWidth="1"/>
    <col min="10242" max="10242" width="9.140625" style="629"/>
    <col min="10243" max="10243" width="13" style="629" customWidth="1"/>
    <col min="10244" max="10244" width="29.7109375" style="629" customWidth="1"/>
    <col min="10245" max="10245" width="7.7109375" style="629" customWidth="1"/>
    <col min="10246" max="10246" width="6" style="629" customWidth="1"/>
    <col min="10247" max="10247" width="11.5703125" style="629" customWidth="1"/>
    <col min="10248" max="10248" width="13.42578125" style="629" customWidth="1"/>
    <col min="10249" max="10249" width="13.85546875" style="629" customWidth="1"/>
    <col min="10250" max="10496" width="9.140625" style="629"/>
    <col min="10497" max="10497" width="13" style="629" customWidth="1"/>
    <col min="10498" max="10498" width="9.140625" style="629"/>
    <col min="10499" max="10499" width="13" style="629" customWidth="1"/>
    <col min="10500" max="10500" width="29.7109375" style="629" customWidth="1"/>
    <col min="10501" max="10501" width="7.7109375" style="629" customWidth="1"/>
    <col min="10502" max="10502" width="6" style="629" customWidth="1"/>
    <col min="10503" max="10503" width="11.5703125" style="629" customWidth="1"/>
    <col min="10504" max="10504" width="13.42578125" style="629" customWidth="1"/>
    <col min="10505" max="10505" width="13.85546875" style="629" customWidth="1"/>
    <col min="10506" max="10752" width="9.140625" style="629"/>
    <col min="10753" max="10753" width="13" style="629" customWidth="1"/>
    <col min="10754" max="10754" width="9.140625" style="629"/>
    <col min="10755" max="10755" width="13" style="629" customWidth="1"/>
    <col min="10756" max="10756" width="29.7109375" style="629" customWidth="1"/>
    <col min="10757" max="10757" width="7.7109375" style="629" customWidth="1"/>
    <col min="10758" max="10758" width="6" style="629" customWidth="1"/>
    <col min="10759" max="10759" width="11.5703125" style="629" customWidth="1"/>
    <col min="10760" max="10760" width="13.42578125" style="629" customWidth="1"/>
    <col min="10761" max="10761" width="13.85546875" style="629" customWidth="1"/>
    <col min="10762" max="11008" width="9.140625" style="629"/>
    <col min="11009" max="11009" width="13" style="629" customWidth="1"/>
    <col min="11010" max="11010" width="9.140625" style="629"/>
    <col min="11011" max="11011" width="13" style="629" customWidth="1"/>
    <col min="11012" max="11012" width="29.7109375" style="629" customWidth="1"/>
    <col min="11013" max="11013" width="7.7109375" style="629" customWidth="1"/>
    <col min="11014" max="11014" width="6" style="629" customWidth="1"/>
    <col min="11015" max="11015" width="11.5703125" style="629" customWidth="1"/>
    <col min="11016" max="11016" width="13.42578125" style="629" customWidth="1"/>
    <col min="11017" max="11017" width="13.85546875" style="629" customWidth="1"/>
    <col min="11018" max="11264" width="9.140625" style="629"/>
    <col min="11265" max="11265" width="13" style="629" customWidth="1"/>
    <col min="11266" max="11266" width="9.140625" style="629"/>
    <col min="11267" max="11267" width="13" style="629" customWidth="1"/>
    <col min="11268" max="11268" width="29.7109375" style="629" customWidth="1"/>
    <col min="11269" max="11269" width="7.7109375" style="629" customWidth="1"/>
    <col min="11270" max="11270" width="6" style="629" customWidth="1"/>
    <col min="11271" max="11271" width="11.5703125" style="629" customWidth="1"/>
    <col min="11272" max="11272" width="13.42578125" style="629" customWidth="1"/>
    <col min="11273" max="11273" width="13.85546875" style="629" customWidth="1"/>
    <col min="11274" max="11520" width="9.140625" style="629"/>
    <col min="11521" max="11521" width="13" style="629" customWidth="1"/>
    <col min="11522" max="11522" width="9.140625" style="629"/>
    <col min="11523" max="11523" width="13" style="629" customWidth="1"/>
    <col min="11524" max="11524" width="29.7109375" style="629" customWidth="1"/>
    <col min="11525" max="11525" width="7.7109375" style="629" customWidth="1"/>
    <col min="11526" max="11526" width="6" style="629" customWidth="1"/>
    <col min="11527" max="11527" width="11.5703125" style="629" customWidth="1"/>
    <col min="11528" max="11528" width="13.42578125" style="629" customWidth="1"/>
    <col min="11529" max="11529" width="13.85546875" style="629" customWidth="1"/>
    <col min="11530" max="11776" width="9.140625" style="629"/>
    <col min="11777" max="11777" width="13" style="629" customWidth="1"/>
    <col min="11778" max="11778" width="9.140625" style="629"/>
    <col min="11779" max="11779" width="13" style="629" customWidth="1"/>
    <col min="11780" max="11780" width="29.7109375" style="629" customWidth="1"/>
    <col min="11781" max="11781" width="7.7109375" style="629" customWidth="1"/>
    <col min="11782" max="11782" width="6" style="629" customWidth="1"/>
    <col min="11783" max="11783" width="11.5703125" style="629" customWidth="1"/>
    <col min="11784" max="11784" width="13.42578125" style="629" customWidth="1"/>
    <col min="11785" max="11785" width="13.85546875" style="629" customWidth="1"/>
    <col min="11786" max="12032" width="9.140625" style="629"/>
    <col min="12033" max="12033" width="13" style="629" customWidth="1"/>
    <col min="12034" max="12034" width="9.140625" style="629"/>
    <col min="12035" max="12035" width="13" style="629" customWidth="1"/>
    <col min="12036" max="12036" width="29.7109375" style="629" customWidth="1"/>
    <col min="12037" max="12037" width="7.7109375" style="629" customWidth="1"/>
    <col min="12038" max="12038" width="6" style="629" customWidth="1"/>
    <col min="12039" max="12039" width="11.5703125" style="629" customWidth="1"/>
    <col min="12040" max="12040" width="13.42578125" style="629" customWidth="1"/>
    <col min="12041" max="12041" width="13.85546875" style="629" customWidth="1"/>
    <col min="12042" max="12288" width="9.140625" style="629"/>
    <col min="12289" max="12289" width="13" style="629" customWidth="1"/>
    <col min="12290" max="12290" width="9.140625" style="629"/>
    <col min="12291" max="12291" width="13" style="629" customWidth="1"/>
    <col min="12292" max="12292" width="29.7109375" style="629" customWidth="1"/>
    <col min="12293" max="12293" width="7.7109375" style="629" customWidth="1"/>
    <col min="12294" max="12294" width="6" style="629" customWidth="1"/>
    <col min="12295" max="12295" width="11.5703125" style="629" customWidth="1"/>
    <col min="12296" max="12296" width="13.42578125" style="629" customWidth="1"/>
    <col min="12297" max="12297" width="13.85546875" style="629" customWidth="1"/>
    <col min="12298" max="12544" width="9.140625" style="629"/>
    <col min="12545" max="12545" width="13" style="629" customWidth="1"/>
    <col min="12546" max="12546" width="9.140625" style="629"/>
    <col min="12547" max="12547" width="13" style="629" customWidth="1"/>
    <col min="12548" max="12548" width="29.7109375" style="629" customWidth="1"/>
    <col min="12549" max="12549" width="7.7109375" style="629" customWidth="1"/>
    <col min="12550" max="12550" width="6" style="629" customWidth="1"/>
    <col min="12551" max="12551" width="11.5703125" style="629" customWidth="1"/>
    <col min="12552" max="12552" width="13.42578125" style="629" customWidth="1"/>
    <col min="12553" max="12553" width="13.85546875" style="629" customWidth="1"/>
    <col min="12554" max="12800" width="9.140625" style="629"/>
    <col min="12801" max="12801" width="13" style="629" customWidth="1"/>
    <col min="12802" max="12802" width="9.140625" style="629"/>
    <col min="12803" max="12803" width="13" style="629" customWidth="1"/>
    <col min="12804" max="12804" width="29.7109375" style="629" customWidth="1"/>
    <col min="12805" max="12805" width="7.7109375" style="629" customWidth="1"/>
    <col min="12806" max="12806" width="6" style="629" customWidth="1"/>
    <col min="12807" max="12807" width="11.5703125" style="629" customWidth="1"/>
    <col min="12808" max="12808" width="13.42578125" style="629" customWidth="1"/>
    <col min="12809" max="12809" width="13.85546875" style="629" customWidth="1"/>
    <col min="12810" max="13056" width="9.140625" style="629"/>
    <col min="13057" max="13057" width="13" style="629" customWidth="1"/>
    <col min="13058" max="13058" width="9.140625" style="629"/>
    <col min="13059" max="13059" width="13" style="629" customWidth="1"/>
    <col min="13060" max="13060" width="29.7109375" style="629" customWidth="1"/>
    <col min="13061" max="13061" width="7.7109375" style="629" customWidth="1"/>
    <col min="13062" max="13062" width="6" style="629" customWidth="1"/>
    <col min="13063" max="13063" width="11.5703125" style="629" customWidth="1"/>
    <col min="13064" max="13064" width="13.42578125" style="629" customWidth="1"/>
    <col min="13065" max="13065" width="13.85546875" style="629" customWidth="1"/>
    <col min="13066" max="13312" width="9.140625" style="629"/>
    <col min="13313" max="13313" width="13" style="629" customWidth="1"/>
    <col min="13314" max="13314" width="9.140625" style="629"/>
    <col min="13315" max="13315" width="13" style="629" customWidth="1"/>
    <col min="13316" max="13316" width="29.7109375" style="629" customWidth="1"/>
    <col min="13317" max="13317" width="7.7109375" style="629" customWidth="1"/>
    <col min="13318" max="13318" width="6" style="629" customWidth="1"/>
    <col min="13319" max="13319" width="11.5703125" style="629" customWidth="1"/>
    <col min="13320" max="13320" width="13.42578125" style="629" customWidth="1"/>
    <col min="13321" max="13321" width="13.85546875" style="629" customWidth="1"/>
    <col min="13322" max="13568" width="9.140625" style="629"/>
    <col min="13569" max="13569" width="13" style="629" customWidth="1"/>
    <col min="13570" max="13570" width="9.140625" style="629"/>
    <col min="13571" max="13571" width="13" style="629" customWidth="1"/>
    <col min="13572" max="13572" width="29.7109375" style="629" customWidth="1"/>
    <col min="13573" max="13573" width="7.7109375" style="629" customWidth="1"/>
    <col min="13574" max="13574" width="6" style="629" customWidth="1"/>
    <col min="13575" max="13575" width="11.5703125" style="629" customWidth="1"/>
    <col min="13576" max="13576" width="13.42578125" style="629" customWidth="1"/>
    <col min="13577" max="13577" width="13.85546875" style="629" customWidth="1"/>
    <col min="13578" max="13824" width="9.140625" style="629"/>
    <col min="13825" max="13825" width="13" style="629" customWidth="1"/>
    <col min="13826" max="13826" width="9.140625" style="629"/>
    <col min="13827" max="13827" width="13" style="629" customWidth="1"/>
    <col min="13828" max="13828" width="29.7109375" style="629" customWidth="1"/>
    <col min="13829" max="13829" width="7.7109375" style="629" customWidth="1"/>
    <col min="13830" max="13830" width="6" style="629" customWidth="1"/>
    <col min="13831" max="13831" width="11.5703125" style="629" customWidth="1"/>
    <col min="13832" max="13832" width="13.42578125" style="629" customWidth="1"/>
    <col min="13833" max="13833" width="13.85546875" style="629" customWidth="1"/>
    <col min="13834" max="14080" width="9.140625" style="629"/>
    <col min="14081" max="14081" width="13" style="629" customWidth="1"/>
    <col min="14082" max="14082" width="9.140625" style="629"/>
    <col min="14083" max="14083" width="13" style="629" customWidth="1"/>
    <col min="14084" max="14084" width="29.7109375" style="629" customWidth="1"/>
    <col min="14085" max="14085" width="7.7109375" style="629" customWidth="1"/>
    <col min="14086" max="14086" width="6" style="629" customWidth="1"/>
    <col min="14087" max="14087" width="11.5703125" style="629" customWidth="1"/>
    <col min="14088" max="14088" width="13.42578125" style="629" customWidth="1"/>
    <col min="14089" max="14089" width="13.85546875" style="629" customWidth="1"/>
    <col min="14090" max="14336" width="9.140625" style="629"/>
    <col min="14337" max="14337" width="13" style="629" customWidth="1"/>
    <col min="14338" max="14338" width="9.140625" style="629"/>
    <col min="14339" max="14339" width="13" style="629" customWidth="1"/>
    <col min="14340" max="14340" width="29.7109375" style="629" customWidth="1"/>
    <col min="14341" max="14341" width="7.7109375" style="629" customWidth="1"/>
    <col min="14342" max="14342" width="6" style="629" customWidth="1"/>
    <col min="14343" max="14343" width="11.5703125" style="629" customWidth="1"/>
    <col min="14344" max="14344" width="13.42578125" style="629" customWidth="1"/>
    <col min="14345" max="14345" width="13.85546875" style="629" customWidth="1"/>
    <col min="14346" max="14592" width="9.140625" style="629"/>
    <col min="14593" max="14593" width="13" style="629" customWidth="1"/>
    <col min="14594" max="14594" width="9.140625" style="629"/>
    <col min="14595" max="14595" width="13" style="629" customWidth="1"/>
    <col min="14596" max="14596" width="29.7109375" style="629" customWidth="1"/>
    <col min="14597" max="14597" width="7.7109375" style="629" customWidth="1"/>
    <col min="14598" max="14598" width="6" style="629" customWidth="1"/>
    <col min="14599" max="14599" width="11.5703125" style="629" customWidth="1"/>
    <col min="14600" max="14600" width="13.42578125" style="629" customWidth="1"/>
    <col min="14601" max="14601" width="13.85546875" style="629" customWidth="1"/>
    <col min="14602" max="14848" width="9.140625" style="629"/>
    <col min="14849" max="14849" width="13" style="629" customWidth="1"/>
    <col min="14850" max="14850" width="9.140625" style="629"/>
    <col min="14851" max="14851" width="13" style="629" customWidth="1"/>
    <col min="14852" max="14852" width="29.7109375" style="629" customWidth="1"/>
    <col min="14853" max="14853" width="7.7109375" style="629" customWidth="1"/>
    <col min="14854" max="14854" width="6" style="629" customWidth="1"/>
    <col min="14855" max="14855" width="11.5703125" style="629" customWidth="1"/>
    <col min="14856" max="14856" width="13.42578125" style="629" customWidth="1"/>
    <col min="14857" max="14857" width="13.85546875" style="629" customWidth="1"/>
    <col min="14858" max="15104" width="9.140625" style="629"/>
    <col min="15105" max="15105" width="13" style="629" customWidth="1"/>
    <col min="15106" max="15106" width="9.140625" style="629"/>
    <col min="15107" max="15107" width="13" style="629" customWidth="1"/>
    <col min="15108" max="15108" width="29.7109375" style="629" customWidth="1"/>
    <col min="15109" max="15109" width="7.7109375" style="629" customWidth="1"/>
    <col min="15110" max="15110" width="6" style="629" customWidth="1"/>
    <col min="15111" max="15111" width="11.5703125" style="629" customWidth="1"/>
    <col min="15112" max="15112" width="13.42578125" style="629" customWidth="1"/>
    <col min="15113" max="15113" width="13.85546875" style="629" customWidth="1"/>
    <col min="15114" max="15360" width="9.140625" style="629"/>
    <col min="15361" max="15361" width="13" style="629" customWidth="1"/>
    <col min="15362" max="15362" width="9.140625" style="629"/>
    <col min="15363" max="15363" width="13" style="629" customWidth="1"/>
    <col min="15364" max="15364" width="29.7109375" style="629" customWidth="1"/>
    <col min="15365" max="15365" width="7.7109375" style="629" customWidth="1"/>
    <col min="15366" max="15366" width="6" style="629" customWidth="1"/>
    <col min="15367" max="15367" width="11.5703125" style="629" customWidth="1"/>
    <col min="15368" max="15368" width="13.42578125" style="629" customWidth="1"/>
    <col min="15369" max="15369" width="13.85546875" style="629" customWidth="1"/>
    <col min="15370" max="15616" width="9.140625" style="629"/>
    <col min="15617" max="15617" width="13" style="629" customWidth="1"/>
    <col min="15618" max="15618" width="9.140625" style="629"/>
    <col min="15619" max="15619" width="13" style="629" customWidth="1"/>
    <col min="15620" max="15620" width="29.7109375" style="629" customWidth="1"/>
    <col min="15621" max="15621" width="7.7109375" style="629" customWidth="1"/>
    <col min="15622" max="15622" width="6" style="629" customWidth="1"/>
    <col min="15623" max="15623" width="11.5703125" style="629" customWidth="1"/>
    <col min="15624" max="15624" width="13.42578125" style="629" customWidth="1"/>
    <col min="15625" max="15625" width="13.85546875" style="629" customWidth="1"/>
    <col min="15626" max="15872" width="9.140625" style="629"/>
    <col min="15873" max="15873" width="13" style="629" customWidth="1"/>
    <col min="15874" max="15874" width="9.140625" style="629"/>
    <col min="15875" max="15875" width="13" style="629" customWidth="1"/>
    <col min="15876" max="15876" width="29.7109375" style="629" customWidth="1"/>
    <col min="15877" max="15877" width="7.7109375" style="629" customWidth="1"/>
    <col min="15878" max="15878" width="6" style="629" customWidth="1"/>
    <col min="15879" max="15879" width="11.5703125" style="629" customWidth="1"/>
    <col min="15880" max="15880" width="13.42578125" style="629" customWidth="1"/>
    <col min="15881" max="15881" width="13.85546875" style="629" customWidth="1"/>
    <col min="15882" max="16128" width="9.140625" style="629"/>
    <col min="16129" max="16129" width="13" style="629" customWidth="1"/>
    <col min="16130" max="16130" width="9.140625" style="629"/>
    <col min="16131" max="16131" width="13" style="629" customWidth="1"/>
    <col min="16132" max="16132" width="29.7109375" style="629" customWidth="1"/>
    <col min="16133" max="16133" width="7.7109375" style="629" customWidth="1"/>
    <col min="16134" max="16134" width="6" style="629" customWidth="1"/>
    <col min="16135" max="16135" width="11.5703125" style="629" customWidth="1"/>
    <col min="16136" max="16136" width="13.42578125" style="629" customWidth="1"/>
    <col min="16137" max="16137" width="13.85546875" style="629" customWidth="1"/>
    <col min="16138" max="16384" width="9.140625" style="629"/>
  </cols>
  <sheetData>
    <row r="1" spans="1:14">
      <c r="A1" s="628" t="str">
        <f>TH!A1</f>
        <v>Đơn vị: CÔNG TY TNHH MỘT THÀNH VIÊN KHỞI NGUYÊN AN</v>
      </c>
      <c r="F1" s="931" t="s">
        <v>363</v>
      </c>
      <c r="G1" s="931"/>
      <c r="H1" s="931"/>
      <c r="I1" s="931"/>
    </row>
    <row r="2" spans="1:14">
      <c r="A2" s="629" t="str">
        <f>TH!A2</f>
        <v>Địa chỉ: Thửa đất số 144, tờ bản đồ số 12TĐH.1, tổ 1, khu phố Đông Tác, Phường Tân Đông Hiệp, Thị Xã Dĩ An, Tỉnh Bình Dương, Việt Nam</v>
      </c>
      <c r="F2" s="930" t="e">
        <f ca="1">IF(YEAR($A$11)&gt;=2015,"(Ban hành theo Thông tư số 200/2014/TT-BTC 
 Ngày 22/12/2014 của Bộ Tài chính)","(Ban hành kèm theo QĐ 48/2006/QĐ-BTC ngày 24/09/2006 của Bộ trưởng BTC)")</f>
        <v>#VALUE!</v>
      </c>
      <c r="G2" s="930"/>
      <c r="H2" s="930"/>
      <c r="I2" s="930"/>
    </row>
    <row r="3" spans="1:14">
      <c r="F3" s="930"/>
      <c r="G3" s="930"/>
      <c r="H3" s="930"/>
      <c r="I3" s="930"/>
    </row>
    <row r="4" spans="1:14">
      <c r="H4" s="630"/>
      <c r="I4" s="630"/>
    </row>
    <row r="5" spans="1:14" ht="26.25" customHeight="1">
      <c r="B5" s="631"/>
      <c r="C5" s="631"/>
      <c r="D5" s="632" t="s">
        <v>364</v>
      </c>
      <c r="E5" s="631"/>
      <c r="F5" s="631"/>
      <c r="G5" s="631"/>
      <c r="H5" s="631"/>
      <c r="I5" s="631"/>
      <c r="J5" s="631"/>
      <c r="K5" s="631"/>
    </row>
    <row r="6" spans="1:14">
      <c r="B6" s="633"/>
      <c r="C6" s="633"/>
      <c r="D6" s="634" t="e">
        <f ca="1">$K$9&amp;"   -   Năm:  " &amp;YEAR(A11)</f>
        <v>#VALUE!</v>
      </c>
      <c r="E6" s="633"/>
      <c r="F6" s="633"/>
      <c r="G6" s="633"/>
      <c r="H6" s="633"/>
      <c r="I6" s="633"/>
      <c r="J6" s="633"/>
      <c r="K6" s="633"/>
    </row>
    <row r="7" spans="1:14">
      <c r="A7" s="635"/>
      <c r="B7" s="635"/>
      <c r="C7" s="635"/>
      <c r="D7" s="635"/>
      <c r="E7" s="635"/>
      <c r="F7" s="635"/>
      <c r="G7" s="635"/>
      <c r="H7" s="934" t="s">
        <v>123</v>
      </c>
      <c r="I7" s="934"/>
      <c r="J7" s="635"/>
      <c r="K7" s="635"/>
      <c r="M7" s="933" t="s">
        <v>352</v>
      </c>
      <c r="N7" s="933"/>
    </row>
    <row r="8" spans="1:14" s="858" customFormat="1" ht="23.25" customHeight="1" thickBot="1">
      <c r="A8" s="935" t="s">
        <v>365</v>
      </c>
      <c r="B8" s="937" t="s">
        <v>1</v>
      </c>
      <c r="C8" s="938"/>
      <c r="D8" s="939" t="s">
        <v>0</v>
      </c>
      <c r="E8" s="935" t="s">
        <v>366</v>
      </c>
      <c r="F8" s="932" t="s">
        <v>94</v>
      </c>
      <c r="G8" s="932"/>
      <c r="H8" s="937" t="s">
        <v>21</v>
      </c>
      <c r="I8" s="938"/>
      <c r="J8" s="857"/>
      <c r="K8" s="857"/>
      <c r="M8" s="859">
        <f>IF(K9="Quý I",1,IF(K9="Quý II",4,IF(K9="Quý III",7,IF(K9="Quý IV",10,""))))</f>
        <v>7</v>
      </c>
      <c r="N8" s="859">
        <f>IF(K9="Quý I",3,IF(K9="Quý II",6,IF(K9="Quý III",9,IF(K9="Quý IV",12,""))))</f>
        <v>9</v>
      </c>
    </row>
    <row r="9" spans="1:14" s="858" customFormat="1" ht="28.5" customHeight="1" thickBot="1">
      <c r="A9" s="936"/>
      <c r="B9" s="860" t="s">
        <v>15</v>
      </c>
      <c r="C9" s="860" t="s">
        <v>32</v>
      </c>
      <c r="D9" s="940"/>
      <c r="E9" s="936"/>
      <c r="F9" s="861" t="s">
        <v>22</v>
      </c>
      <c r="G9" s="861" t="s">
        <v>23</v>
      </c>
      <c r="H9" s="860" t="s">
        <v>367</v>
      </c>
      <c r="I9" s="860" t="s">
        <v>23</v>
      </c>
      <c r="K9" s="736" t="s">
        <v>787</v>
      </c>
    </row>
    <row r="10" spans="1:14" s="858" customFormat="1" ht="21" customHeight="1">
      <c r="A10" s="862"/>
      <c r="B10" s="862"/>
      <c r="C10" s="862"/>
      <c r="D10" s="863" t="s">
        <v>370</v>
      </c>
      <c r="E10" s="864"/>
      <c r="F10" s="862"/>
      <c r="G10" s="862"/>
      <c r="H10" s="865">
        <f>SUMIF(_M,"&lt;"&amp;$M$8,TH)</f>
        <v>0</v>
      </c>
      <c r="I10" s="865">
        <f>SUMIF(_M,"&lt;"&amp;$M$8,TH)</f>
        <v>0</v>
      </c>
    </row>
    <row r="11" spans="1:14" s="858" customFormat="1" ht="21" customHeight="1">
      <c r="A11" s="866" t="str">
        <f ca="1">IF(ROWS($1:1)&gt;COUNT(Dong6),"",OFFSET(TH!C$1,SMALL(Dong6,ROWS($1:1)),))</f>
        <v/>
      </c>
      <c r="B11" s="867" t="str">
        <f ca="1">IF(ROWS($1:1)&gt;COUNT(Dong6),"",OFFSET(TH!D$1,SMALL(Dong6,ROWS($1:1)),))</f>
        <v/>
      </c>
      <c r="C11" s="866" t="str">
        <f ca="1">IF(ROWS($1:1)&gt;COUNT(Dong6),"",OFFSET(TH!E$1,SMALL(Dong6,ROWS($1:1)),))</f>
        <v/>
      </c>
      <c r="D11" s="868" t="str">
        <f ca="1">IF(ROWS($1:1)&gt;COUNT(Dong6),"",OFFSET(TH!F$1,SMALL(Dong6,ROWS($1:1)),))</f>
        <v/>
      </c>
      <c r="E11" s="867" t="str">
        <f t="shared" ref="E11:E40" ca="1" si="0">IF(D11&lt;&gt;"",ROW()-10,"")</f>
        <v/>
      </c>
      <c r="F11" s="869" t="str">
        <f ca="1">IF(ROWS($1:1)&gt;COUNT(Dong6),"",OFFSET(TH!L$1,SMALL(Dong6,ROWS($1:1)),))</f>
        <v/>
      </c>
      <c r="G11" s="869" t="str">
        <f ca="1">IF(ROWS($1:1)&gt;COUNT(Dong6),"",OFFSET(TH!M$1,SMALL(Dong6,ROWS($1:1)),))</f>
        <v/>
      </c>
      <c r="H11" s="721" t="str">
        <f ca="1">IF(ROWS($1:1)&gt;COUNT(Dong6),"",OFFSET(TH!K$1,SMALL(Dong6,ROWS($1:1)),))</f>
        <v/>
      </c>
      <c r="I11" s="721" t="str">
        <f ca="1">IF(ROWS($1:1)&gt;COUNT(Dong6),"",OFFSET(TH!K$1,SMALL(Dong6,ROWS($1:1)),))</f>
        <v/>
      </c>
    </row>
    <row r="12" spans="1:14" s="858" customFormat="1" ht="21" customHeight="1">
      <c r="A12" s="866" t="str">
        <f ca="1">IF(ROWS($1:2)&gt;COUNT(Dong6),"",OFFSET(TH!C$1,SMALL(Dong6,ROWS($1:2)),))</f>
        <v/>
      </c>
      <c r="B12" s="867" t="str">
        <f ca="1">IF(ROWS($1:2)&gt;COUNT(Dong6),"",OFFSET(TH!D$1,SMALL(Dong6,ROWS($1:2)),))</f>
        <v/>
      </c>
      <c r="C12" s="866" t="str">
        <f ca="1">IF(ROWS($1:2)&gt;COUNT(Dong6),"",OFFSET(TH!E$1,SMALL(Dong6,ROWS($1:2)),))</f>
        <v/>
      </c>
      <c r="D12" s="868" t="str">
        <f ca="1">IF(ROWS($1:2)&gt;COUNT(Dong6),"",OFFSET(TH!F$1,SMALL(Dong6,ROWS($1:2)),))</f>
        <v/>
      </c>
      <c r="E12" s="867" t="str">
        <f t="shared" ca="1" si="0"/>
        <v/>
      </c>
      <c r="F12" s="869" t="str">
        <f ca="1">IF(ROWS($1:2)&gt;COUNT(Dong6),"",OFFSET(TH!L$1,SMALL(Dong6,ROWS($1:2)),))</f>
        <v/>
      </c>
      <c r="G12" s="869" t="str">
        <f ca="1">IF(ROWS($1:2)&gt;COUNT(Dong6),"",OFFSET(TH!M$1,SMALL(Dong6,ROWS($1:2)),))</f>
        <v/>
      </c>
      <c r="H12" s="721" t="str">
        <f ca="1">IF(ROWS($1:2)&gt;COUNT(Dong6),"",OFFSET(TH!K$1,SMALL(Dong6,ROWS($1:2)),))</f>
        <v/>
      </c>
      <c r="I12" s="721" t="str">
        <f ca="1">IF(ROWS($1:2)&gt;COUNT(Dong6),"",OFFSET(TH!K$1,SMALL(Dong6,ROWS($1:2)),))</f>
        <v/>
      </c>
    </row>
    <row r="13" spans="1:14" s="858" customFormat="1" ht="21" customHeight="1">
      <c r="A13" s="866" t="str">
        <f ca="1">IF(ROWS($1:3)&gt;COUNT(Dong6),"",OFFSET(TH!C$1,SMALL(Dong6,ROWS($1:3)),))</f>
        <v/>
      </c>
      <c r="B13" s="867" t="str">
        <f ca="1">IF(ROWS($1:3)&gt;COUNT(Dong6),"",OFFSET(TH!D$1,SMALL(Dong6,ROWS($1:3)),))</f>
        <v/>
      </c>
      <c r="C13" s="866" t="str">
        <f ca="1">IF(ROWS($1:3)&gt;COUNT(Dong6),"",OFFSET(TH!E$1,SMALL(Dong6,ROWS($1:3)),))</f>
        <v/>
      </c>
      <c r="D13" s="868" t="str">
        <f ca="1">IF(ROWS($1:3)&gt;COUNT(Dong6),"",OFFSET(TH!F$1,SMALL(Dong6,ROWS($1:3)),))</f>
        <v/>
      </c>
      <c r="E13" s="867" t="str">
        <f t="shared" ca="1" si="0"/>
        <v/>
      </c>
      <c r="F13" s="869" t="str">
        <f ca="1">IF(ROWS($1:3)&gt;COUNT(Dong6),"",OFFSET(TH!L$1,SMALL(Dong6,ROWS($1:3)),))</f>
        <v/>
      </c>
      <c r="G13" s="869" t="str">
        <f ca="1">IF(ROWS($1:3)&gt;COUNT(Dong6),"",OFFSET(TH!M$1,SMALL(Dong6,ROWS($1:3)),))</f>
        <v/>
      </c>
      <c r="H13" s="721" t="str">
        <f ca="1">IF(ROWS($1:3)&gt;COUNT(Dong6),"",OFFSET(TH!K$1,SMALL(Dong6,ROWS($1:3)),))</f>
        <v/>
      </c>
      <c r="I13" s="721" t="str">
        <f ca="1">IF(ROWS($1:3)&gt;COUNT(Dong6),"",OFFSET(TH!K$1,SMALL(Dong6,ROWS($1:3)),))</f>
        <v/>
      </c>
    </row>
    <row r="14" spans="1:14" s="858" customFormat="1" ht="21" customHeight="1">
      <c r="A14" s="866" t="str">
        <f ca="1">IF(ROWS($1:4)&gt;COUNT(Dong6),"",OFFSET(TH!C$1,SMALL(Dong6,ROWS($1:4)),))</f>
        <v/>
      </c>
      <c r="B14" s="867" t="str">
        <f ca="1">IF(ROWS($1:4)&gt;COUNT(Dong6),"",OFFSET(TH!D$1,SMALL(Dong6,ROWS($1:4)),))</f>
        <v/>
      </c>
      <c r="C14" s="866" t="str">
        <f ca="1">IF(ROWS($1:4)&gt;COUNT(Dong6),"",OFFSET(TH!E$1,SMALL(Dong6,ROWS($1:4)),))</f>
        <v/>
      </c>
      <c r="D14" s="868" t="str">
        <f ca="1">IF(ROWS($1:4)&gt;COUNT(Dong6),"",OFFSET(TH!F$1,SMALL(Dong6,ROWS($1:4)),))</f>
        <v/>
      </c>
      <c r="E14" s="867" t="str">
        <f t="shared" ca="1" si="0"/>
        <v/>
      </c>
      <c r="F14" s="869" t="str">
        <f ca="1">IF(ROWS($1:4)&gt;COUNT(Dong6),"",OFFSET(TH!L$1,SMALL(Dong6,ROWS($1:4)),))</f>
        <v/>
      </c>
      <c r="G14" s="869" t="str">
        <f ca="1">IF(ROWS($1:4)&gt;COUNT(Dong6),"",OFFSET(TH!M$1,SMALL(Dong6,ROWS($1:4)),))</f>
        <v/>
      </c>
      <c r="H14" s="721" t="str">
        <f ca="1">IF(ROWS($1:4)&gt;COUNT(Dong6),"",OFFSET(TH!K$1,SMALL(Dong6,ROWS($1:4)),))</f>
        <v/>
      </c>
      <c r="I14" s="721" t="str">
        <f ca="1">IF(ROWS($1:4)&gt;COUNT(Dong6),"",OFFSET(TH!K$1,SMALL(Dong6,ROWS($1:4)),))</f>
        <v/>
      </c>
    </row>
    <row r="15" spans="1:14" s="858" customFormat="1" ht="21" customHeight="1">
      <c r="A15" s="866" t="str">
        <f ca="1">IF(ROWS($1:5)&gt;COUNT(Dong6),"",OFFSET(TH!C$1,SMALL(Dong6,ROWS($1:5)),))</f>
        <v/>
      </c>
      <c r="B15" s="867" t="str">
        <f ca="1">IF(ROWS($1:5)&gt;COUNT(Dong6),"",OFFSET(TH!D$1,SMALL(Dong6,ROWS($1:5)),))</f>
        <v/>
      </c>
      <c r="C15" s="866" t="str">
        <f ca="1">IF(ROWS($1:5)&gt;COUNT(Dong6),"",OFFSET(TH!E$1,SMALL(Dong6,ROWS($1:5)),))</f>
        <v/>
      </c>
      <c r="D15" s="868" t="str">
        <f ca="1">IF(ROWS($1:5)&gt;COUNT(Dong6),"",OFFSET(TH!F$1,SMALL(Dong6,ROWS($1:5)),))</f>
        <v/>
      </c>
      <c r="E15" s="867" t="str">
        <f t="shared" ca="1" si="0"/>
        <v/>
      </c>
      <c r="F15" s="869" t="str">
        <f ca="1">IF(ROWS($1:5)&gt;COUNT(Dong6),"",OFFSET(TH!L$1,SMALL(Dong6,ROWS($1:5)),))</f>
        <v/>
      </c>
      <c r="G15" s="869" t="str">
        <f ca="1">IF(ROWS($1:5)&gt;COUNT(Dong6),"",OFFSET(TH!M$1,SMALL(Dong6,ROWS($1:5)),))</f>
        <v/>
      </c>
      <c r="H15" s="721" t="str">
        <f ca="1">IF(ROWS($1:5)&gt;COUNT(Dong6),"",OFFSET(TH!K$1,SMALL(Dong6,ROWS($1:5)),))</f>
        <v/>
      </c>
      <c r="I15" s="721" t="str">
        <f ca="1">IF(ROWS($1:5)&gt;COUNT(Dong6),"",OFFSET(TH!K$1,SMALL(Dong6,ROWS($1:5)),))</f>
        <v/>
      </c>
    </row>
    <row r="16" spans="1:14" s="858" customFormat="1" ht="21" customHeight="1">
      <c r="A16" s="866" t="str">
        <f ca="1">IF(ROWS($1:6)&gt;COUNT(Dong6),"",OFFSET(TH!C$1,SMALL(Dong6,ROWS($1:6)),))</f>
        <v/>
      </c>
      <c r="B16" s="867" t="str">
        <f ca="1">IF(ROWS($1:6)&gt;COUNT(Dong6),"",OFFSET(TH!D$1,SMALL(Dong6,ROWS($1:6)),))</f>
        <v/>
      </c>
      <c r="C16" s="866" t="str">
        <f ca="1">IF(ROWS($1:6)&gt;COUNT(Dong6),"",OFFSET(TH!E$1,SMALL(Dong6,ROWS($1:6)),))</f>
        <v/>
      </c>
      <c r="D16" s="868" t="str">
        <f ca="1">IF(ROWS($1:6)&gt;COUNT(Dong6),"",OFFSET(TH!F$1,SMALL(Dong6,ROWS($1:6)),))</f>
        <v/>
      </c>
      <c r="E16" s="867" t="str">
        <f t="shared" ca="1" si="0"/>
        <v/>
      </c>
      <c r="F16" s="869" t="str">
        <f ca="1">IF(ROWS($1:6)&gt;COUNT(Dong6),"",OFFSET(TH!L$1,SMALL(Dong6,ROWS($1:6)),))</f>
        <v/>
      </c>
      <c r="G16" s="869" t="str">
        <f ca="1">IF(ROWS($1:6)&gt;COUNT(Dong6),"",OFFSET(TH!M$1,SMALL(Dong6,ROWS($1:6)),))</f>
        <v/>
      </c>
      <c r="H16" s="721" t="str">
        <f ca="1">IF(ROWS($1:6)&gt;COUNT(Dong6),"",OFFSET(TH!K$1,SMALL(Dong6,ROWS($1:6)),))</f>
        <v/>
      </c>
      <c r="I16" s="721" t="str">
        <f ca="1">IF(ROWS($1:6)&gt;COUNT(Dong6),"",OFFSET(TH!K$1,SMALL(Dong6,ROWS($1:6)),))</f>
        <v/>
      </c>
    </row>
    <row r="17" spans="1:9" s="858" customFormat="1" ht="21" customHeight="1">
      <c r="A17" s="866" t="str">
        <f ca="1">IF(ROWS($1:7)&gt;COUNT(Dong6),"",OFFSET(TH!C$1,SMALL(Dong6,ROWS($1:7)),))</f>
        <v/>
      </c>
      <c r="B17" s="867" t="str">
        <f ca="1">IF(ROWS($1:7)&gt;COUNT(Dong6),"",OFFSET(TH!D$1,SMALL(Dong6,ROWS($1:7)),))</f>
        <v/>
      </c>
      <c r="C17" s="866" t="str">
        <f ca="1">IF(ROWS($1:7)&gt;COUNT(Dong6),"",OFFSET(TH!E$1,SMALL(Dong6,ROWS($1:7)),))</f>
        <v/>
      </c>
      <c r="D17" s="868" t="str">
        <f ca="1">IF(ROWS($1:7)&gt;COUNT(Dong6),"",OFFSET(TH!F$1,SMALL(Dong6,ROWS($1:7)),))</f>
        <v/>
      </c>
      <c r="E17" s="867" t="str">
        <f t="shared" ca="1" si="0"/>
        <v/>
      </c>
      <c r="F17" s="869" t="str">
        <f ca="1">IF(ROWS($1:7)&gt;COUNT(Dong6),"",OFFSET(TH!L$1,SMALL(Dong6,ROWS($1:7)),))</f>
        <v/>
      </c>
      <c r="G17" s="869" t="str">
        <f ca="1">IF(ROWS($1:7)&gt;COUNT(Dong6),"",OFFSET(TH!M$1,SMALL(Dong6,ROWS($1:7)),))</f>
        <v/>
      </c>
      <c r="H17" s="721" t="str">
        <f ca="1">IF(ROWS($1:7)&gt;COUNT(Dong6),"",OFFSET(TH!K$1,SMALL(Dong6,ROWS($1:7)),))</f>
        <v/>
      </c>
      <c r="I17" s="721" t="str">
        <f ca="1">IF(ROWS($1:7)&gt;COUNT(Dong6),"",OFFSET(TH!K$1,SMALL(Dong6,ROWS($1:7)),))</f>
        <v/>
      </c>
    </row>
    <row r="18" spans="1:9" s="858" customFormat="1" ht="21" customHeight="1">
      <c r="A18" s="866" t="str">
        <f ca="1">IF(ROWS($1:8)&gt;COUNT(Dong6),"",OFFSET(TH!C$1,SMALL(Dong6,ROWS($1:8)),))</f>
        <v/>
      </c>
      <c r="B18" s="867" t="str">
        <f ca="1">IF(ROWS($1:8)&gt;COUNT(Dong6),"",OFFSET(TH!D$1,SMALL(Dong6,ROWS($1:8)),))</f>
        <v/>
      </c>
      <c r="C18" s="866" t="str">
        <f ca="1">IF(ROWS($1:8)&gt;COUNT(Dong6),"",OFFSET(TH!E$1,SMALL(Dong6,ROWS($1:8)),))</f>
        <v/>
      </c>
      <c r="D18" s="868" t="str">
        <f ca="1">IF(ROWS($1:8)&gt;COUNT(Dong6),"",OFFSET(TH!F$1,SMALL(Dong6,ROWS($1:8)),))</f>
        <v/>
      </c>
      <c r="E18" s="867" t="str">
        <f t="shared" ca="1" si="0"/>
        <v/>
      </c>
      <c r="F18" s="869" t="str">
        <f ca="1">IF(ROWS($1:8)&gt;COUNT(Dong6),"",OFFSET(TH!L$1,SMALL(Dong6,ROWS($1:8)),))</f>
        <v/>
      </c>
      <c r="G18" s="869" t="str">
        <f ca="1">IF(ROWS($1:8)&gt;COUNT(Dong6),"",OFFSET(TH!M$1,SMALL(Dong6,ROWS($1:8)),))</f>
        <v/>
      </c>
      <c r="H18" s="721" t="str">
        <f ca="1">IF(ROWS($1:8)&gt;COUNT(Dong6),"",OFFSET(TH!K$1,SMALL(Dong6,ROWS($1:8)),))</f>
        <v/>
      </c>
      <c r="I18" s="721" t="str">
        <f ca="1">IF(ROWS($1:8)&gt;COUNT(Dong6),"",OFFSET(TH!K$1,SMALL(Dong6,ROWS($1:8)),))</f>
        <v/>
      </c>
    </row>
    <row r="19" spans="1:9" s="858" customFormat="1" ht="21" customHeight="1">
      <c r="A19" s="866" t="str">
        <f ca="1">IF(ROWS($1:9)&gt;COUNT(Dong6),"",OFFSET(TH!C$1,SMALL(Dong6,ROWS($1:9)),))</f>
        <v/>
      </c>
      <c r="B19" s="867" t="str">
        <f ca="1">IF(ROWS($1:9)&gt;COUNT(Dong6),"",OFFSET(TH!D$1,SMALL(Dong6,ROWS($1:9)),))</f>
        <v/>
      </c>
      <c r="C19" s="866" t="str">
        <f ca="1">IF(ROWS($1:9)&gt;COUNT(Dong6),"",OFFSET(TH!E$1,SMALL(Dong6,ROWS($1:9)),))</f>
        <v/>
      </c>
      <c r="D19" s="868" t="str">
        <f ca="1">IF(ROWS($1:9)&gt;COUNT(Dong6),"",OFFSET(TH!F$1,SMALL(Dong6,ROWS($1:9)),))</f>
        <v/>
      </c>
      <c r="E19" s="867" t="str">
        <f t="shared" ca="1" si="0"/>
        <v/>
      </c>
      <c r="F19" s="869" t="str">
        <f ca="1">IF(ROWS($1:9)&gt;COUNT(Dong6),"",OFFSET(TH!L$1,SMALL(Dong6,ROWS($1:9)),))</f>
        <v/>
      </c>
      <c r="G19" s="869" t="str">
        <f ca="1">IF(ROWS($1:9)&gt;COUNT(Dong6),"",OFFSET(TH!M$1,SMALL(Dong6,ROWS($1:9)),))</f>
        <v/>
      </c>
      <c r="H19" s="721" t="str">
        <f ca="1">IF(ROWS($1:9)&gt;COUNT(Dong6),"",OFFSET(TH!K$1,SMALL(Dong6,ROWS($1:9)),))</f>
        <v/>
      </c>
      <c r="I19" s="721" t="str">
        <f ca="1">IF(ROWS($1:9)&gt;COUNT(Dong6),"",OFFSET(TH!K$1,SMALL(Dong6,ROWS($1:9)),))</f>
        <v/>
      </c>
    </row>
    <row r="20" spans="1:9" s="858" customFormat="1" ht="21" customHeight="1">
      <c r="A20" s="866" t="str">
        <f ca="1">IF(ROWS($1:10)&gt;COUNT(Dong6),"",OFFSET(TH!C$1,SMALL(Dong6,ROWS($1:10)),))</f>
        <v/>
      </c>
      <c r="B20" s="867" t="str">
        <f ca="1">IF(ROWS($1:10)&gt;COUNT(Dong6),"",OFFSET(TH!D$1,SMALL(Dong6,ROWS($1:10)),))</f>
        <v/>
      </c>
      <c r="C20" s="866" t="str">
        <f ca="1">IF(ROWS($1:10)&gt;COUNT(Dong6),"",OFFSET(TH!E$1,SMALL(Dong6,ROWS($1:10)),))</f>
        <v/>
      </c>
      <c r="D20" s="868" t="str">
        <f ca="1">IF(ROWS($1:10)&gt;COUNT(Dong6),"",OFFSET(TH!F$1,SMALL(Dong6,ROWS($1:10)),))</f>
        <v/>
      </c>
      <c r="E20" s="867" t="str">
        <f t="shared" ca="1" si="0"/>
        <v/>
      </c>
      <c r="F20" s="869" t="str">
        <f ca="1">IF(ROWS($1:10)&gt;COUNT(Dong6),"",OFFSET(TH!L$1,SMALL(Dong6,ROWS($1:10)),))</f>
        <v/>
      </c>
      <c r="G20" s="869" t="str">
        <f ca="1">IF(ROWS($1:10)&gt;COUNT(Dong6),"",OFFSET(TH!M$1,SMALL(Dong6,ROWS($1:10)),))</f>
        <v/>
      </c>
      <c r="H20" s="721" t="str">
        <f ca="1">IF(ROWS($1:10)&gt;COUNT(Dong6),"",OFFSET(TH!K$1,SMALL(Dong6,ROWS($1:10)),))</f>
        <v/>
      </c>
      <c r="I20" s="721" t="str">
        <f ca="1">IF(ROWS($1:10)&gt;COUNT(Dong6),"",OFFSET(TH!K$1,SMALL(Dong6,ROWS($1:10)),))</f>
        <v/>
      </c>
    </row>
    <row r="21" spans="1:9" s="858" customFormat="1" ht="21" customHeight="1">
      <c r="A21" s="866" t="str">
        <f ca="1">IF(ROWS($1:11)&gt;COUNT(Dong6),"",OFFSET(TH!C$1,SMALL(Dong6,ROWS($1:11)),))</f>
        <v/>
      </c>
      <c r="B21" s="867" t="str">
        <f ca="1">IF(ROWS($1:11)&gt;COUNT(Dong6),"",OFFSET(TH!D$1,SMALL(Dong6,ROWS($1:11)),))</f>
        <v/>
      </c>
      <c r="C21" s="866" t="str">
        <f ca="1">IF(ROWS($1:11)&gt;COUNT(Dong6),"",OFFSET(TH!E$1,SMALL(Dong6,ROWS($1:11)),))</f>
        <v/>
      </c>
      <c r="D21" s="868" t="str">
        <f ca="1">IF(ROWS($1:11)&gt;COUNT(Dong6),"",OFFSET(TH!F$1,SMALL(Dong6,ROWS($1:11)),))</f>
        <v/>
      </c>
      <c r="E21" s="867" t="str">
        <f t="shared" ca="1" si="0"/>
        <v/>
      </c>
      <c r="F21" s="869" t="str">
        <f ca="1">IF(ROWS($1:11)&gt;COUNT(Dong6),"",OFFSET(TH!L$1,SMALL(Dong6,ROWS($1:11)),))</f>
        <v/>
      </c>
      <c r="G21" s="869" t="str">
        <f ca="1">IF(ROWS($1:11)&gt;COUNT(Dong6),"",OFFSET(TH!M$1,SMALL(Dong6,ROWS($1:11)),))</f>
        <v/>
      </c>
      <c r="H21" s="721" t="str">
        <f ca="1">IF(ROWS($1:11)&gt;COUNT(Dong6),"",OFFSET(TH!K$1,SMALL(Dong6,ROWS($1:11)),))</f>
        <v/>
      </c>
      <c r="I21" s="721" t="str">
        <f ca="1">IF(ROWS($1:11)&gt;COUNT(Dong6),"",OFFSET(TH!K$1,SMALL(Dong6,ROWS($1:11)),))</f>
        <v/>
      </c>
    </row>
    <row r="22" spans="1:9" s="858" customFormat="1" ht="21" customHeight="1">
      <c r="A22" s="866" t="str">
        <f ca="1">IF(ROWS($1:12)&gt;COUNT(Dong6),"",OFFSET(TH!C$1,SMALL(Dong6,ROWS($1:12)),))</f>
        <v/>
      </c>
      <c r="B22" s="867" t="str">
        <f ca="1">IF(ROWS($1:12)&gt;COUNT(Dong6),"",OFFSET(TH!D$1,SMALL(Dong6,ROWS($1:12)),))</f>
        <v/>
      </c>
      <c r="C22" s="866" t="str">
        <f ca="1">IF(ROWS($1:12)&gt;COUNT(Dong6),"",OFFSET(TH!E$1,SMALL(Dong6,ROWS($1:12)),))</f>
        <v/>
      </c>
      <c r="D22" s="868" t="str">
        <f ca="1">IF(ROWS($1:12)&gt;COUNT(Dong6),"",OFFSET(TH!F$1,SMALL(Dong6,ROWS($1:12)),))</f>
        <v/>
      </c>
      <c r="E22" s="867" t="str">
        <f t="shared" ca="1" si="0"/>
        <v/>
      </c>
      <c r="F22" s="869" t="str">
        <f ca="1">IF(ROWS($1:12)&gt;COUNT(Dong6),"",OFFSET(TH!L$1,SMALL(Dong6,ROWS($1:12)),))</f>
        <v/>
      </c>
      <c r="G22" s="869" t="str">
        <f ca="1">IF(ROWS($1:12)&gt;COUNT(Dong6),"",OFFSET(TH!M$1,SMALL(Dong6,ROWS($1:12)),))</f>
        <v/>
      </c>
      <c r="H22" s="721" t="str">
        <f ca="1">IF(ROWS($1:12)&gt;COUNT(Dong6),"",OFFSET(TH!K$1,SMALL(Dong6,ROWS($1:12)),))</f>
        <v/>
      </c>
      <c r="I22" s="721" t="str">
        <f ca="1">IF(ROWS($1:12)&gt;COUNT(Dong6),"",OFFSET(TH!K$1,SMALL(Dong6,ROWS($1:12)),))</f>
        <v/>
      </c>
    </row>
    <row r="23" spans="1:9" s="858" customFormat="1" ht="21" customHeight="1">
      <c r="A23" s="866" t="str">
        <f ca="1">IF(ROWS($1:13)&gt;COUNT(Dong6),"",OFFSET(TH!C$1,SMALL(Dong6,ROWS($1:13)),))</f>
        <v/>
      </c>
      <c r="B23" s="867" t="str">
        <f ca="1">IF(ROWS($1:13)&gt;COUNT(Dong6),"",OFFSET(TH!D$1,SMALL(Dong6,ROWS($1:13)),))</f>
        <v/>
      </c>
      <c r="C23" s="866" t="str">
        <f ca="1">IF(ROWS($1:13)&gt;COUNT(Dong6),"",OFFSET(TH!E$1,SMALL(Dong6,ROWS($1:13)),))</f>
        <v/>
      </c>
      <c r="D23" s="868" t="str">
        <f ca="1">IF(ROWS($1:13)&gt;COUNT(Dong6),"",OFFSET(TH!F$1,SMALL(Dong6,ROWS($1:13)),))</f>
        <v/>
      </c>
      <c r="E23" s="867" t="str">
        <f t="shared" ca="1" si="0"/>
        <v/>
      </c>
      <c r="F23" s="869" t="str">
        <f ca="1">IF(ROWS($1:13)&gt;COUNT(Dong6),"",OFFSET(TH!L$1,SMALL(Dong6,ROWS($1:13)),))</f>
        <v/>
      </c>
      <c r="G23" s="869" t="str">
        <f ca="1">IF(ROWS($1:13)&gt;COUNT(Dong6),"",OFFSET(TH!M$1,SMALL(Dong6,ROWS($1:13)),))</f>
        <v/>
      </c>
      <c r="H23" s="721" t="str">
        <f ca="1">IF(ROWS($1:13)&gt;COUNT(Dong6),"",OFFSET(TH!K$1,SMALL(Dong6,ROWS($1:13)),))</f>
        <v/>
      </c>
      <c r="I23" s="721" t="str">
        <f ca="1">IF(ROWS($1:13)&gt;COUNT(Dong6),"",OFFSET(TH!K$1,SMALL(Dong6,ROWS($1:13)),))</f>
        <v/>
      </c>
    </row>
    <row r="24" spans="1:9" s="858" customFormat="1" ht="21" customHeight="1">
      <c r="A24" s="866" t="str">
        <f ca="1">IF(ROWS($1:14)&gt;COUNT(Dong6),"",OFFSET(TH!C$1,SMALL(Dong6,ROWS($1:14)),))</f>
        <v/>
      </c>
      <c r="B24" s="867" t="str">
        <f ca="1">IF(ROWS($1:14)&gt;COUNT(Dong6),"",OFFSET(TH!D$1,SMALL(Dong6,ROWS($1:14)),))</f>
        <v/>
      </c>
      <c r="C24" s="866" t="str">
        <f ca="1">IF(ROWS($1:14)&gt;COUNT(Dong6),"",OFFSET(TH!E$1,SMALL(Dong6,ROWS($1:14)),))</f>
        <v/>
      </c>
      <c r="D24" s="868" t="str">
        <f ca="1">IF(ROWS($1:14)&gt;COUNT(Dong6),"",OFFSET(TH!F$1,SMALL(Dong6,ROWS($1:14)),))</f>
        <v/>
      </c>
      <c r="E24" s="867" t="str">
        <f t="shared" ca="1" si="0"/>
        <v/>
      </c>
      <c r="F24" s="869" t="str">
        <f ca="1">IF(ROWS($1:14)&gt;COUNT(Dong6),"",OFFSET(TH!L$1,SMALL(Dong6,ROWS($1:14)),))</f>
        <v/>
      </c>
      <c r="G24" s="869" t="str">
        <f ca="1">IF(ROWS($1:14)&gt;COUNT(Dong6),"",OFFSET(TH!M$1,SMALL(Dong6,ROWS($1:14)),))</f>
        <v/>
      </c>
      <c r="H24" s="721" t="str">
        <f ca="1">IF(ROWS($1:14)&gt;COUNT(Dong6),"",OFFSET(TH!K$1,SMALL(Dong6,ROWS($1:14)),))</f>
        <v/>
      </c>
      <c r="I24" s="721" t="str">
        <f ca="1">IF(ROWS($1:14)&gt;COUNT(Dong6),"",OFFSET(TH!K$1,SMALL(Dong6,ROWS($1:14)),))</f>
        <v/>
      </c>
    </row>
    <row r="25" spans="1:9" s="858" customFormat="1" ht="21" customHeight="1">
      <c r="A25" s="866" t="str">
        <f ca="1">IF(ROWS($1:15)&gt;COUNT(Dong6),"",OFFSET(TH!C$1,SMALL(Dong6,ROWS($1:15)),))</f>
        <v/>
      </c>
      <c r="B25" s="867" t="str">
        <f ca="1">IF(ROWS($1:15)&gt;COUNT(Dong6),"",OFFSET(TH!D$1,SMALL(Dong6,ROWS($1:15)),))</f>
        <v/>
      </c>
      <c r="C25" s="866" t="str">
        <f ca="1">IF(ROWS($1:15)&gt;COUNT(Dong6),"",OFFSET(TH!E$1,SMALL(Dong6,ROWS($1:15)),))</f>
        <v/>
      </c>
      <c r="D25" s="868" t="str">
        <f ca="1">IF(ROWS($1:15)&gt;COUNT(Dong6),"",OFFSET(TH!F$1,SMALL(Dong6,ROWS($1:15)),))</f>
        <v/>
      </c>
      <c r="E25" s="867" t="str">
        <f t="shared" ca="1" si="0"/>
        <v/>
      </c>
      <c r="F25" s="869" t="str">
        <f ca="1">IF(ROWS($1:15)&gt;COUNT(Dong6),"",OFFSET(TH!L$1,SMALL(Dong6,ROWS($1:15)),))</f>
        <v/>
      </c>
      <c r="G25" s="869" t="str">
        <f ca="1">IF(ROWS($1:15)&gt;COUNT(Dong6),"",OFFSET(TH!M$1,SMALL(Dong6,ROWS($1:15)),))</f>
        <v/>
      </c>
      <c r="H25" s="721" t="str">
        <f ca="1">IF(ROWS($1:15)&gt;COUNT(Dong6),"",OFFSET(TH!K$1,SMALL(Dong6,ROWS($1:15)),))</f>
        <v/>
      </c>
      <c r="I25" s="721" t="str">
        <f ca="1">IF(ROWS($1:15)&gt;COUNT(Dong6),"",OFFSET(TH!K$1,SMALL(Dong6,ROWS($1:15)),))</f>
        <v/>
      </c>
    </row>
    <row r="26" spans="1:9" s="858" customFormat="1" ht="21" customHeight="1">
      <c r="A26" s="866" t="str">
        <f ca="1">IF(ROWS($1:16)&gt;COUNT(Dong6),"",OFFSET(TH!C$1,SMALL(Dong6,ROWS($1:16)),))</f>
        <v/>
      </c>
      <c r="B26" s="867" t="str">
        <f ca="1">IF(ROWS($1:16)&gt;COUNT(Dong6),"",OFFSET(TH!D$1,SMALL(Dong6,ROWS($1:16)),))</f>
        <v/>
      </c>
      <c r="C26" s="866" t="str">
        <f ca="1">IF(ROWS($1:16)&gt;COUNT(Dong6),"",OFFSET(TH!E$1,SMALL(Dong6,ROWS($1:16)),))</f>
        <v/>
      </c>
      <c r="D26" s="868" t="str">
        <f ca="1">IF(ROWS($1:16)&gt;COUNT(Dong6),"",OFFSET(TH!F$1,SMALL(Dong6,ROWS($1:16)),))</f>
        <v/>
      </c>
      <c r="E26" s="867" t="str">
        <f t="shared" ca="1" si="0"/>
        <v/>
      </c>
      <c r="F26" s="869" t="str">
        <f ca="1">IF(ROWS($1:16)&gt;COUNT(Dong6),"",OFFSET(TH!L$1,SMALL(Dong6,ROWS($1:16)),))</f>
        <v/>
      </c>
      <c r="G26" s="869" t="str">
        <f ca="1">IF(ROWS($1:16)&gt;COUNT(Dong6),"",OFFSET(TH!M$1,SMALL(Dong6,ROWS($1:16)),))</f>
        <v/>
      </c>
      <c r="H26" s="721" t="str">
        <f ca="1">IF(ROWS($1:16)&gt;COUNT(Dong6),"",OFFSET(TH!K$1,SMALL(Dong6,ROWS($1:16)),))</f>
        <v/>
      </c>
      <c r="I26" s="721" t="str">
        <f ca="1">IF(ROWS($1:16)&gt;COUNT(Dong6),"",OFFSET(TH!K$1,SMALL(Dong6,ROWS($1:16)),))</f>
        <v/>
      </c>
    </row>
    <row r="27" spans="1:9" s="858" customFormat="1" ht="21" customHeight="1">
      <c r="A27" s="866" t="str">
        <f ca="1">IF(ROWS($1:17)&gt;COUNT(Dong6),"",OFFSET(TH!C$1,SMALL(Dong6,ROWS($1:17)),))</f>
        <v/>
      </c>
      <c r="B27" s="867" t="str">
        <f ca="1">IF(ROWS($1:17)&gt;COUNT(Dong6),"",OFFSET(TH!D$1,SMALL(Dong6,ROWS($1:17)),))</f>
        <v/>
      </c>
      <c r="C27" s="866" t="str">
        <f ca="1">IF(ROWS($1:17)&gt;COUNT(Dong6),"",OFFSET(TH!E$1,SMALL(Dong6,ROWS($1:17)),))</f>
        <v/>
      </c>
      <c r="D27" s="868" t="str">
        <f ca="1">IF(ROWS($1:17)&gt;COUNT(Dong6),"",OFFSET(TH!F$1,SMALL(Dong6,ROWS($1:17)),))</f>
        <v/>
      </c>
      <c r="E27" s="867" t="str">
        <f t="shared" ca="1" si="0"/>
        <v/>
      </c>
      <c r="F27" s="869" t="str">
        <f ca="1">IF(ROWS($1:17)&gt;COUNT(Dong6),"",OFFSET(TH!L$1,SMALL(Dong6,ROWS($1:17)),))</f>
        <v/>
      </c>
      <c r="G27" s="869" t="str">
        <f ca="1">IF(ROWS($1:17)&gt;COUNT(Dong6),"",OFFSET(TH!M$1,SMALL(Dong6,ROWS($1:17)),))</f>
        <v/>
      </c>
      <c r="H27" s="721" t="str">
        <f ca="1">IF(ROWS($1:17)&gt;COUNT(Dong6),"",OFFSET(TH!K$1,SMALL(Dong6,ROWS($1:17)),))</f>
        <v/>
      </c>
      <c r="I27" s="721" t="str">
        <f ca="1">IF(ROWS($1:17)&gt;COUNT(Dong6),"",OFFSET(TH!K$1,SMALL(Dong6,ROWS($1:17)),))</f>
        <v/>
      </c>
    </row>
    <row r="28" spans="1:9" s="858" customFormat="1" ht="21" customHeight="1">
      <c r="A28" s="866" t="str">
        <f ca="1">IF(ROWS($1:18)&gt;COUNT(Dong6),"",OFFSET(TH!C$1,SMALL(Dong6,ROWS($1:18)),))</f>
        <v/>
      </c>
      <c r="B28" s="867" t="str">
        <f ca="1">IF(ROWS($1:18)&gt;COUNT(Dong6),"",OFFSET(TH!D$1,SMALL(Dong6,ROWS($1:18)),))</f>
        <v/>
      </c>
      <c r="C28" s="866" t="str">
        <f ca="1">IF(ROWS($1:18)&gt;COUNT(Dong6),"",OFFSET(TH!E$1,SMALL(Dong6,ROWS($1:18)),))</f>
        <v/>
      </c>
      <c r="D28" s="868" t="str">
        <f ca="1">IF(ROWS($1:18)&gt;COUNT(Dong6),"",OFFSET(TH!F$1,SMALL(Dong6,ROWS($1:18)),))</f>
        <v/>
      </c>
      <c r="E28" s="867" t="str">
        <f t="shared" ca="1" si="0"/>
        <v/>
      </c>
      <c r="F28" s="869" t="str">
        <f ca="1">IF(ROWS($1:18)&gt;COUNT(Dong6),"",OFFSET(TH!L$1,SMALL(Dong6,ROWS($1:18)),))</f>
        <v/>
      </c>
      <c r="G28" s="869" t="str">
        <f ca="1">IF(ROWS($1:18)&gt;COUNT(Dong6),"",OFFSET(TH!M$1,SMALL(Dong6,ROWS($1:18)),))</f>
        <v/>
      </c>
      <c r="H28" s="721" t="str">
        <f ca="1">IF(ROWS($1:18)&gt;COUNT(Dong6),"",OFFSET(TH!K$1,SMALL(Dong6,ROWS($1:18)),))</f>
        <v/>
      </c>
      <c r="I28" s="721" t="str">
        <f ca="1">IF(ROWS($1:18)&gt;COUNT(Dong6),"",OFFSET(TH!K$1,SMALL(Dong6,ROWS($1:18)),))</f>
        <v/>
      </c>
    </row>
    <row r="29" spans="1:9" s="858" customFormat="1" ht="21" customHeight="1">
      <c r="A29" s="866" t="str">
        <f ca="1">IF(ROWS($1:19)&gt;COUNT(Dong6),"",OFFSET(TH!C$1,SMALL(Dong6,ROWS($1:19)),))</f>
        <v/>
      </c>
      <c r="B29" s="867" t="str">
        <f ca="1">IF(ROWS($1:19)&gt;COUNT(Dong6),"",OFFSET(TH!D$1,SMALL(Dong6,ROWS($1:19)),))</f>
        <v/>
      </c>
      <c r="C29" s="866" t="str">
        <f ca="1">IF(ROWS($1:19)&gt;COUNT(Dong6),"",OFFSET(TH!E$1,SMALL(Dong6,ROWS($1:19)),))</f>
        <v/>
      </c>
      <c r="D29" s="868" t="str">
        <f ca="1">IF(ROWS($1:19)&gt;COUNT(Dong6),"",OFFSET(TH!F$1,SMALL(Dong6,ROWS($1:19)),))</f>
        <v/>
      </c>
      <c r="E29" s="867" t="str">
        <f t="shared" ca="1" si="0"/>
        <v/>
      </c>
      <c r="F29" s="869" t="str">
        <f ca="1">IF(ROWS($1:19)&gt;COUNT(Dong6),"",OFFSET(TH!L$1,SMALL(Dong6,ROWS($1:19)),))</f>
        <v/>
      </c>
      <c r="G29" s="869" t="str">
        <f ca="1">IF(ROWS($1:19)&gt;COUNT(Dong6),"",OFFSET(TH!M$1,SMALL(Dong6,ROWS($1:19)),))</f>
        <v/>
      </c>
      <c r="H29" s="721" t="str">
        <f ca="1">IF(ROWS($1:19)&gt;COUNT(Dong6),"",OFFSET(TH!K$1,SMALL(Dong6,ROWS($1:19)),))</f>
        <v/>
      </c>
      <c r="I29" s="721" t="str">
        <f ca="1">IF(ROWS($1:19)&gt;COUNT(Dong6),"",OFFSET(TH!K$1,SMALL(Dong6,ROWS($1:19)),))</f>
        <v/>
      </c>
    </row>
    <row r="30" spans="1:9" s="858" customFormat="1" ht="21" customHeight="1">
      <c r="A30" s="866" t="str">
        <f ca="1">IF(ROWS($1:20)&gt;COUNT(Dong6),"",OFFSET(TH!C$1,SMALL(Dong6,ROWS($1:20)),))</f>
        <v/>
      </c>
      <c r="B30" s="867" t="str">
        <f ca="1">IF(ROWS($1:20)&gt;COUNT(Dong6),"",OFFSET(TH!D$1,SMALL(Dong6,ROWS($1:20)),))</f>
        <v/>
      </c>
      <c r="C30" s="866" t="str">
        <f ca="1">IF(ROWS($1:20)&gt;COUNT(Dong6),"",OFFSET(TH!E$1,SMALL(Dong6,ROWS($1:20)),))</f>
        <v/>
      </c>
      <c r="D30" s="868" t="str">
        <f ca="1">IF(ROWS($1:20)&gt;COUNT(Dong6),"",OFFSET(TH!F$1,SMALL(Dong6,ROWS($1:20)),))</f>
        <v/>
      </c>
      <c r="E30" s="867" t="str">
        <f t="shared" ca="1" si="0"/>
        <v/>
      </c>
      <c r="F30" s="869" t="str">
        <f ca="1">IF(ROWS($1:20)&gt;COUNT(Dong6),"",OFFSET(TH!L$1,SMALL(Dong6,ROWS($1:20)),))</f>
        <v/>
      </c>
      <c r="G30" s="869" t="str">
        <f ca="1">IF(ROWS($1:20)&gt;COUNT(Dong6),"",OFFSET(TH!M$1,SMALL(Dong6,ROWS($1:20)),))</f>
        <v/>
      </c>
      <c r="H30" s="721" t="str">
        <f ca="1">IF(ROWS($1:20)&gt;COUNT(Dong6),"",OFFSET(TH!K$1,SMALL(Dong6,ROWS($1:20)),))</f>
        <v/>
      </c>
      <c r="I30" s="721" t="str">
        <f ca="1">IF(ROWS($1:20)&gt;COUNT(Dong6),"",OFFSET(TH!K$1,SMALL(Dong6,ROWS($1:20)),))</f>
        <v/>
      </c>
    </row>
    <row r="31" spans="1:9" s="858" customFormat="1" ht="21" customHeight="1">
      <c r="A31" s="866" t="str">
        <f ca="1">IF(ROWS($1:21)&gt;COUNT(Dong6),"",OFFSET(TH!C$1,SMALL(Dong6,ROWS($1:21)),))</f>
        <v/>
      </c>
      <c r="B31" s="867" t="str">
        <f ca="1">IF(ROWS($1:21)&gt;COUNT(Dong6),"",OFFSET(TH!D$1,SMALL(Dong6,ROWS($1:21)),))</f>
        <v/>
      </c>
      <c r="C31" s="866" t="str">
        <f ca="1">IF(ROWS($1:21)&gt;COUNT(Dong6),"",OFFSET(TH!E$1,SMALL(Dong6,ROWS($1:21)),))</f>
        <v/>
      </c>
      <c r="D31" s="868" t="str">
        <f ca="1">IF(ROWS($1:21)&gt;COUNT(Dong6),"",OFFSET(TH!F$1,SMALL(Dong6,ROWS($1:21)),))</f>
        <v/>
      </c>
      <c r="E31" s="867" t="str">
        <f t="shared" ca="1" si="0"/>
        <v/>
      </c>
      <c r="F31" s="869" t="str">
        <f ca="1">IF(ROWS($1:21)&gt;COUNT(Dong6),"",OFFSET(TH!L$1,SMALL(Dong6,ROWS($1:21)),))</f>
        <v/>
      </c>
      <c r="G31" s="869" t="str">
        <f ca="1">IF(ROWS($1:21)&gt;COUNT(Dong6),"",OFFSET(TH!M$1,SMALL(Dong6,ROWS($1:21)),))</f>
        <v/>
      </c>
      <c r="H31" s="721" t="str">
        <f ca="1">IF(ROWS($1:21)&gt;COUNT(Dong6),"",OFFSET(TH!K$1,SMALL(Dong6,ROWS($1:21)),))</f>
        <v/>
      </c>
      <c r="I31" s="721" t="str">
        <f ca="1">IF(ROWS($1:21)&gt;COUNT(Dong6),"",OFFSET(TH!K$1,SMALL(Dong6,ROWS($1:21)),))</f>
        <v/>
      </c>
    </row>
    <row r="32" spans="1:9" s="858" customFormat="1" ht="21" customHeight="1">
      <c r="A32" s="866" t="str">
        <f ca="1">IF(ROWS($1:22)&gt;COUNT(Dong6),"",OFFSET(TH!C$1,SMALL(Dong6,ROWS($1:22)),))</f>
        <v/>
      </c>
      <c r="B32" s="867" t="str">
        <f ca="1">IF(ROWS($1:22)&gt;COUNT(Dong6),"",OFFSET(TH!D$1,SMALL(Dong6,ROWS($1:22)),))</f>
        <v/>
      </c>
      <c r="C32" s="866" t="str">
        <f ca="1">IF(ROWS($1:22)&gt;COUNT(Dong6),"",OFFSET(TH!E$1,SMALL(Dong6,ROWS($1:22)),))</f>
        <v/>
      </c>
      <c r="D32" s="868" t="str">
        <f ca="1">IF(ROWS($1:22)&gt;COUNT(Dong6),"",OFFSET(TH!F$1,SMALL(Dong6,ROWS($1:22)),))</f>
        <v/>
      </c>
      <c r="E32" s="867" t="str">
        <f t="shared" ca="1" si="0"/>
        <v/>
      </c>
      <c r="F32" s="869" t="str">
        <f ca="1">IF(ROWS($1:22)&gt;COUNT(Dong6),"",OFFSET(TH!L$1,SMALL(Dong6,ROWS($1:22)),))</f>
        <v/>
      </c>
      <c r="G32" s="869" t="str">
        <f ca="1">IF(ROWS($1:22)&gt;COUNT(Dong6),"",OFFSET(TH!M$1,SMALL(Dong6,ROWS($1:22)),))</f>
        <v/>
      </c>
      <c r="H32" s="721" t="str">
        <f ca="1">IF(ROWS($1:22)&gt;COUNT(Dong6),"",OFFSET(TH!K$1,SMALL(Dong6,ROWS($1:22)),))</f>
        <v/>
      </c>
      <c r="I32" s="721" t="str">
        <f ca="1">IF(ROWS($1:22)&gt;COUNT(Dong6),"",OFFSET(TH!K$1,SMALL(Dong6,ROWS($1:22)),))</f>
        <v/>
      </c>
    </row>
    <row r="33" spans="1:9" s="858" customFormat="1" ht="21" customHeight="1">
      <c r="A33" s="866" t="str">
        <f ca="1">IF(ROWS($1:23)&gt;COUNT(Dong6),"",OFFSET(TH!C$1,SMALL(Dong6,ROWS($1:23)),))</f>
        <v/>
      </c>
      <c r="B33" s="867" t="str">
        <f ca="1">IF(ROWS($1:23)&gt;COUNT(Dong6),"",OFFSET(TH!D$1,SMALL(Dong6,ROWS($1:23)),))</f>
        <v/>
      </c>
      <c r="C33" s="866" t="str">
        <f ca="1">IF(ROWS($1:23)&gt;COUNT(Dong6),"",OFFSET(TH!E$1,SMALL(Dong6,ROWS($1:23)),))</f>
        <v/>
      </c>
      <c r="D33" s="868" t="str">
        <f ca="1">IF(ROWS($1:23)&gt;COUNT(Dong6),"",OFFSET(TH!F$1,SMALL(Dong6,ROWS($1:23)),))</f>
        <v/>
      </c>
      <c r="E33" s="867" t="str">
        <f t="shared" ca="1" si="0"/>
        <v/>
      </c>
      <c r="F33" s="869" t="str">
        <f ca="1">IF(ROWS($1:23)&gt;COUNT(Dong6),"",OFFSET(TH!L$1,SMALL(Dong6,ROWS($1:23)),))</f>
        <v/>
      </c>
      <c r="G33" s="869" t="str">
        <f ca="1">IF(ROWS($1:23)&gt;COUNT(Dong6),"",OFFSET(TH!M$1,SMALL(Dong6,ROWS($1:23)),))</f>
        <v/>
      </c>
      <c r="H33" s="721" t="str">
        <f ca="1">IF(ROWS($1:23)&gt;COUNT(Dong6),"",OFFSET(TH!K$1,SMALL(Dong6,ROWS($1:23)),))</f>
        <v/>
      </c>
      <c r="I33" s="721" t="str">
        <f ca="1">IF(ROWS($1:23)&gt;COUNT(Dong6),"",OFFSET(TH!K$1,SMALL(Dong6,ROWS($1:23)),))</f>
        <v/>
      </c>
    </row>
    <row r="34" spans="1:9" s="858" customFormat="1" ht="21" customHeight="1">
      <c r="A34" s="866" t="str">
        <f ca="1">IF(ROWS($1:24)&gt;COUNT(Dong6),"",OFFSET(TH!C$1,SMALL(Dong6,ROWS($1:24)),))</f>
        <v/>
      </c>
      <c r="B34" s="867" t="str">
        <f ca="1">IF(ROWS($1:24)&gt;COUNT(Dong6),"",OFFSET(TH!D$1,SMALL(Dong6,ROWS($1:24)),))</f>
        <v/>
      </c>
      <c r="C34" s="866" t="str">
        <f ca="1">IF(ROWS($1:24)&gt;COUNT(Dong6),"",OFFSET(TH!E$1,SMALL(Dong6,ROWS($1:24)),))</f>
        <v/>
      </c>
      <c r="D34" s="868" t="str">
        <f ca="1">IF(ROWS($1:24)&gt;COUNT(Dong6),"",OFFSET(TH!F$1,SMALL(Dong6,ROWS($1:24)),))</f>
        <v/>
      </c>
      <c r="E34" s="867" t="str">
        <f t="shared" ca="1" si="0"/>
        <v/>
      </c>
      <c r="F34" s="869" t="str">
        <f ca="1">IF(ROWS($1:24)&gt;COUNT(Dong6),"",OFFSET(TH!L$1,SMALL(Dong6,ROWS($1:24)),))</f>
        <v/>
      </c>
      <c r="G34" s="869" t="str">
        <f ca="1">IF(ROWS($1:24)&gt;COUNT(Dong6),"",OFFSET(TH!M$1,SMALL(Dong6,ROWS($1:24)),))</f>
        <v/>
      </c>
      <c r="H34" s="721" t="str">
        <f ca="1">IF(ROWS($1:24)&gt;COUNT(Dong6),"",OFFSET(TH!K$1,SMALL(Dong6,ROWS($1:24)),))</f>
        <v/>
      </c>
      <c r="I34" s="721" t="str">
        <f ca="1">IF(ROWS($1:24)&gt;COUNT(Dong6),"",OFFSET(TH!K$1,SMALL(Dong6,ROWS($1:24)),))</f>
        <v/>
      </c>
    </row>
    <row r="35" spans="1:9" s="858" customFormat="1" ht="21" customHeight="1">
      <c r="A35" s="866" t="str">
        <f ca="1">IF(ROWS($1:25)&gt;COUNT(Dong6),"",OFFSET(TH!C$1,SMALL(Dong6,ROWS($1:25)),))</f>
        <v/>
      </c>
      <c r="B35" s="867" t="str">
        <f ca="1">IF(ROWS($1:25)&gt;COUNT(Dong6),"",OFFSET(TH!D$1,SMALL(Dong6,ROWS($1:25)),))</f>
        <v/>
      </c>
      <c r="C35" s="866" t="str">
        <f ca="1">IF(ROWS($1:25)&gt;COUNT(Dong6),"",OFFSET(TH!E$1,SMALL(Dong6,ROWS($1:25)),))</f>
        <v/>
      </c>
      <c r="D35" s="868" t="str">
        <f ca="1">IF(ROWS($1:25)&gt;COUNT(Dong6),"",OFFSET(TH!F$1,SMALL(Dong6,ROWS($1:25)),))</f>
        <v/>
      </c>
      <c r="E35" s="867" t="str">
        <f t="shared" ca="1" si="0"/>
        <v/>
      </c>
      <c r="F35" s="869" t="str">
        <f ca="1">IF(ROWS($1:25)&gt;COUNT(Dong6),"",OFFSET(TH!L$1,SMALL(Dong6,ROWS($1:25)),))</f>
        <v/>
      </c>
      <c r="G35" s="869" t="str">
        <f ca="1">IF(ROWS($1:25)&gt;COUNT(Dong6),"",OFFSET(TH!M$1,SMALL(Dong6,ROWS($1:25)),))</f>
        <v/>
      </c>
      <c r="H35" s="721" t="str">
        <f ca="1">IF(ROWS($1:25)&gt;COUNT(Dong6),"",OFFSET(TH!K$1,SMALL(Dong6,ROWS($1:25)),))</f>
        <v/>
      </c>
      <c r="I35" s="721" t="str">
        <f ca="1">IF(ROWS($1:25)&gt;COUNT(Dong6),"",OFFSET(TH!K$1,SMALL(Dong6,ROWS($1:25)),))</f>
        <v/>
      </c>
    </row>
    <row r="36" spans="1:9" s="858" customFormat="1" ht="21" customHeight="1">
      <c r="A36" s="866" t="str">
        <f ca="1">IF(ROWS($1:26)&gt;COUNT(Dong6),"",OFFSET(TH!C$1,SMALL(Dong6,ROWS($1:26)),))</f>
        <v/>
      </c>
      <c r="B36" s="867" t="str">
        <f ca="1">IF(ROWS($1:26)&gt;COUNT(Dong6),"",OFFSET(TH!D$1,SMALL(Dong6,ROWS($1:26)),))</f>
        <v/>
      </c>
      <c r="C36" s="866" t="str">
        <f ca="1">IF(ROWS($1:26)&gt;COUNT(Dong6),"",OFFSET(TH!E$1,SMALL(Dong6,ROWS($1:26)),))</f>
        <v/>
      </c>
      <c r="D36" s="868" t="str">
        <f ca="1">IF(ROWS($1:26)&gt;COUNT(Dong6),"",OFFSET(TH!F$1,SMALL(Dong6,ROWS($1:26)),))</f>
        <v/>
      </c>
      <c r="E36" s="867" t="str">
        <f t="shared" ca="1" si="0"/>
        <v/>
      </c>
      <c r="F36" s="869" t="str">
        <f ca="1">IF(ROWS($1:26)&gt;COUNT(Dong6),"",OFFSET(TH!L$1,SMALL(Dong6,ROWS($1:26)),))</f>
        <v/>
      </c>
      <c r="G36" s="869" t="str">
        <f ca="1">IF(ROWS($1:26)&gt;COUNT(Dong6),"",OFFSET(TH!M$1,SMALL(Dong6,ROWS($1:26)),))</f>
        <v/>
      </c>
      <c r="H36" s="721" t="str">
        <f ca="1">IF(ROWS($1:26)&gt;COUNT(Dong6),"",OFFSET(TH!K$1,SMALL(Dong6,ROWS($1:26)),))</f>
        <v/>
      </c>
      <c r="I36" s="721" t="str">
        <f ca="1">IF(ROWS($1:26)&gt;COUNT(Dong6),"",OFFSET(TH!K$1,SMALL(Dong6,ROWS($1:26)),))</f>
        <v/>
      </c>
    </row>
    <row r="37" spans="1:9" s="858" customFormat="1" ht="21" customHeight="1">
      <c r="A37" s="866" t="str">
        <f ca="1">IF(ROWS($1:27)&gt;COUNT(Dong6),"",OFFSET(TH!C$1,SMALL(Dong6,ROWS($1:27)),))</f>
        <v/>
      </c>
      <c r="B37" s="867" t="str">
        <f ca="1">IF(ROWS($1:27)&gt;COUNT(Dong6),"",OFFSET(TH!D$1,SMALL(Dong6,ROWS($1:27)),))</f>
        <v/>
      </c>
      <c r="C37" s="866" t="str">
        <f ca="1">IF(ROWS($1:27)&gt;COUNT(Dong6),"",OFFSET(TH!E$1,SMALL(Dong6,ROWS($1:27)),))</f>
        <v/>
      </c>
      <c r="D37" s="868" t="str">
        <f ca="1">IF(ROWS($1:27)&gt;COUNT(Dong6),"",OFFSET(TH!F$1,SMALL(Dong6,ROWS($1:27)),))</f>
        <v/>
      </c>
      <c r="E37" s="867" t="str">
        <f t="shared" ca="1" si="0"/>
        <v/>
      </c>
      <c r="F37" s="869" t="str">
        <f ca="1">IF(ROWS($1:27)&gt;COUNT(Dong6),"",OFFSET(TH!L$1,SMALL(Dong6,ROWS($1:27)),))</f>
        <v/>
      </c>
      <c r="G37" s="869" t="str">
        <f ca="1">IF(ROWS($1:27)&gt;COUNT(Dong6),"",OFFSET(TH!M$1,SMALL(Dong6,ROWS($1:27)),))</f>
        <v/>
      </c>
      <c r="H37" s="721" t="str">
        <f ca="1">IF(ROWS($1:27)&gt;COUNT(Dong6),"",OFFSET(TH!K$1,SMALL(Dong6,ROWS($1:27)),))</f>
        <v/>
      </c>
      <c r="I37" s="721" t="str">
        <f ca="1">IF(ROWS($1:27)&gt;COUNT(Dong6),"",OFFSET(TH!K$1,SMALL(Dong6,ROWS($1:27)),))</f>
        <v/>
      </c>
    </row>
    <row r="38" spans="1:9" s="858" customFormat="1" ht="21" customHeight="1">
      <c r="A38" s="866" t="str">
        <f ca="1">IF(ROWS($1:28)&gt;COUNT(Dong6),"",OFFSET(TH!C$1,SMALL(Dong6,ROWS($1:28)),))</f>
        <v/>
      </c>
      <c r="B38" s="867" t="str">
        <f ca="1">IF(ROWS($1:28)&gt;COUNT(Dong6),"",OFFSET(TH!D$1,SMALL(Dong6,ROWS($1:28)),))</f>
        <v/>
      </c>
      <c r="C38" s="866" t="str">
        <f ca="1">IF(ROWS($1:28)&gt;COUNT(Dong6),"",OFFSET(TH!E$1,SMALL(Dong6,ROWS($1:28)),))</f>
        <v/>
      </c>
      <c r="D38" s="868" t="str">
        <f ca="1">IF(ROWS($1:28)&gt;COUNT(Dong6),"",OFFSET(TH!F$1,SMALL(Dong6,ROWS($1:28)),))</f>
        <v/>
      </c>
      <c r="E38" s="867" t="str">
        <f t="shared" ca="1" si="0"/>
        <v/>
      </c>
      <c r="F38" s="869" t="str">
        <f ca="1">IF(ROWS($1:28)&gt;COUNT(Dong6),"",OFFSET(TH!L$1,SMALL(Dong6,ROWS($1:28)),))</f>
        <v/>
      </c>
      <c r="G38" s="869" t="str">
        <f ca="1">IF(ROWS($1:28)&gt;COUNT(Dong6),"",OFFSET(TH!M$1,SMALL(Dong6,ROWS($1:28)),))</f>
        <v/>
      </c>
      <c r="H38" s="721" t="str">
        <f ca="1">IF(ROWS($1:28)&gt;COUNT(Dong6),"",OFFSET(TH!K$1,SMALL(Dong6,ROWS($1:28)),))</f>
        <v/>
      </c>
      <c r="I38" s="721" t="str">
        <f ca="1">IF(ROWS($1:28)&gt;COUNT(Dong6),"",OFFSET(TH!K$1,SMALL(Dong6,ROWS($1:28)),))</f>
        <v/>
      </c>
    </row>
    <row r="39" spans="1:9" s="858" customFormat="1" ht="21" customHeight="1">
      <c r="A39" s="866" t="str">
        <f ca="1">IF(ROWS($1:29)&gt;COUNT(Dong6),"",OFFSET(TH!C$1,SMALL(Dong6,ROWS($1:29)),))</f>
        <v/>
      </c>
      <c r="B39" s="867" t="str">
        <f ca="1">IF(ROWS($1:29)&gt;COUNT(Dong6),"",OFFSET(TH!D$1,SMALL(Dong6,ROWS($1:29)),))</f>
        <v/>
      </c>
      <c r="C39" s="866" t="str">
        <f ca="1">IF(ROWS($1:29)&gt;COUNT(Dong6),"",OFFSET(TH!E$1,SMALL(Dong6,ROWS($1:29)),))</f>
        <v/>
      </c>
      <c r="D39" s="868" t="str">
        <f ca="1">IF(ROWS($1:29)&gt;COUNT(Dong6),"",OFFSET(TH!F$1,SMALL(Dong6,ROWS($1:29)),))</f>
        <v/>
      </c>
      <c r="E39" s="867" t="str">
        <f t="shared" ca="1" si="0"/>
        <v/>
      </c>
      <c r="F39" s="869" t="str">
        <f ca="1">IF(ROWS($1:29)&gt;COUNT(Dong6),"",OFFSET(TH!L$1,SMALL(Dong6,ROWS($1:29)),))</f>
        <v/>
      </c>
      <c r="G39" s="869" t="str">
        <f ca="1">IF(ROWS($1:29)&gt;COUNT(Dong6),"",OFFSET(TH!M$1,SMALL(Dong6,ROWS($1:29)),))</f>
        <v/>
      </c>
      <c r="H39" s="721" t="str">
        <f ca="1">IF(ROWS($1:29)&gt;COUNT(Dong6),"",OFFSET(TH!K$1,SMALL(Dong6,ROWS($1:29)),))</f>
        <v/>
      </c>
      <c r="I39" s="721" t="str">
        <f ca="1">IF(ROWS($1:29)&gt;COUNT(Dong6),"",OFFSET(TH!K$1,SMALL(Dong6,ROWS($1:29)),))</f>
        <v/>
      </c>
    </row>
    <row r="40" spans="1:9" s="858" customFormat="1" ht="21" customHeight="1">
      <c r="A40" s="866" t="str">
        <f ca="1">IF(ROWS($1:30)&gt;COUNT(Dong6),"",OFFSET(TH!C$1,SMALL(Dong6,ROWS($1:30)),))</f>
        <v/>
      </c>
      <c r="B40" s="867" t="str">
        <f ca="1">IF(ROWS($1:30)&gt;COUNT(Dong6),"",OFFSET(TH!D$1,SMALL(Dong6,ROWS($1:30)),))</f>
        <v/>
      </c>
      <c r="C40" s="866" t="str">
        <f ca="1">IF(ROWS($1:30)&gt;COUNT(Dong6),"",OFFSET(TH!E$1,SMALL(Dong6,ROWS($1:30)),))</f>
        <v/>
      </c>
      <c r="D40" s="868" t="str">
        <f ca="1">IF(ROWS($1:30)&gt;COUNT(Dong6),"",OFFSET(TH!F$1,SMALL(Dong6,ROWS($1:30)),))</f>
        <v/>
      </c>
      <c r="E40" s="867" t="str">
        <f t="shared" ca="1" si="0"/>
        <v/>
      </c>
      <c r="F40" s="869" t="str">
        <f ca="1">IF(ROWS($1:30)&gt;COUNT(Dong6),"",OFFSET(TH!L$1,SMALL(Dong6,ROWS($1:30)),))</f>
        <v/>
      </c>
      <c r="G40" s="869" t="str">
        <f ca="1">IF(ROWS($1:30)&gt;COUNT(Dong6),"",OFFSET(TH!M$1,SMALL(Dong6,ROWS($1:30)),))</f>
        <v/>
      </c>
      <c r="H40" s="721" t="str">
        <f ca="1">IF(ROWS($1:30)&gt;COUNT(Dong6),"",OFFSET(TH!K$1,SMALL(Dong6,ROWS($1:30)),))</f>
        <v/>
      </c>
      <c r="I40" s="721" t="str">
        <f ca="1">IF(ROWS($1:30)&gt;COUNT(Dong6),"",OFFSET(TH!K$1,SMALL(Dong6,ROWS($1:30)),))</f>
        <v/>
      </c>
    </row>
    <row r="41" spans="1:9" s="858" customFormat="1" ht="21" customHeight="1">
      <c r="A41" s="866" t="str">
        <f ca="1">IF(ROWS($1:31)&gt;COUNT(Dong6),"",OFFSET(TH!C$1,SMALL(Dong6,ROWS($1:31)),))</f>
        <v/>
      </c>
      <c r="B41" s="867" t="str">
        <f ca="1">IF(ROWS($1:31)&gt;COUNT(Dong6),"",OFFSET(TH!D$1,SMALL(Dong6,ROWS($1:31)),))</f>
        <v/>
      </c>
      <c r="C41" s="866" t="str">
        <f ca="1">IF(ROWS($1:31)&gt;COUNT(Dong6),"",OFFSET(TH!E$1,SMALL(Dong6,ROWS($1:31)),))</f>
        <v/>
      </c>
      <c r="D41" s="868" t="str">
        <f ca="1">IF(ROWS($1:31)&gt;COUNT(Dong6),"",OFFSET(TH!F$1,SMALL(Dong6,ROWS($1:31)),))</f>
        <v/>
      </c>
      <c r="E41" s="867" t="str">
        <f t="shared" ref="E41:E50" ca="1" si="1">IF(D41&lt;&gt;"",ROW()-10,"")</f>
        <v/>
      </c>
      <c r="F41" s="869" t="str">
        <f ca="1">IF(ROWS($1:31)&gt;COUNT(Dong6),"",OFFSET(TH!L$1,SMALL(Dong6,ROWS($1:31)),))</f>
        <v/>
      </c>
      <c r="G41" s="869" t="str">
        <f ca="1">IF(ROWS($1:31)&gt;COUNT(Dong6),"",OFFSET(TH!M$1,SMALL(Dong6,ROWS($1:31)),))</f>
        <v/>
      </c>
      <c r="H41" s="721" t="str">
        <f ca="1">IF(ROWS($1:31)&gt;COUNT(Dong6),"",OFFSET(TH!K$1,SMALL(Dong6,ROWS($1:31)),))</f>
        <v/>
      </c>
      <c r="I41" s="721" t="str">
        <f ca="1">IF(ROWS($1:31)&gt;COUNT(Dong6),"",OFFSET(TH!K$1,SMALL(Dong6,ROWS($1:31)),))</f>
        <v/>
      </c>
    </row>
    <row r="42" spans="1:9" s="858" customFormat="1" ht="21" customHeight="1">
      <c r="A42" s="866" t="str">
        <f ca="1">IF(ROWS($1:32)&gt;COUNT(Dong6),"",OFFSET(TH!C$1,SMALL(Dong6,ROWS($1:32)),))</f>
        <v/>
      </c>
      <c r="B42" s="867" t="str">
        <f ca="1">IF(ROWS($1:32)&gt;COUNT(Dong6),"",OFFSET(TH!D$1,SMALL(Dong6,ROWS($1:32)),))</f>
        <v/>
      </c>
      <c r="C42" s="866" t="str">
        <f ca="1">IF(ROWS($1:32)&gt;COUNT(Dong6),"",OFFSET(TH!E$1,SMALL(Dong6,ROWS($1:32)),))</f>
        <v/>
      </c>
      <c r="D42" s="868" t="str">
        <f ca="1">IF(ROWS($1:32)&gt;COUNT(Dong6),"",OFFSET(TH!F$1,SMALL(Dong6,ROWS($1:32)),))</f>
        <v/>
      </c>
      <c r="E42" s="867" t="str">
        <f t="shared" ca="1" si="1"/>
        <v/>
      </c>
      <c r="F42" s="869" t="str">
        <f ca="1">IF(ROWS($1:32)&gt;COUNT(Dong6),"",OFFSET(TH!L$1,SMALL(Dong6,ROWS($1:32)),))</f>
        <v/>
      </c>
      <c r="G42" s="869" t="str">
        <f ca="1">IF(ROWS($1:32)&gt;COUNT(Dong6),"",OFFSET(TH!M$1,SMALL(Dong6,ROWS($1:32)),))</f>
        <v/>
      </c>
      <c r="H42" s="721" t="str">
        <f ca="1">IF(ROWS($1:32)&gt;COUNT(Dong6),"",OFFSET(TH!K$1,SMALL(Dong6,ROWS($1:32)),))</f>
        <v/>
      </c>
      <c r="I42" s="721" t="str">
        <f ca="1">IF(ROWS($1:32)&gt;COUNT(Dong6),"",OFFSET(TH!K$1,SMALL(Dong6,ROWS($1:32)),))</f>
        <v/>
      </c>
    </row>
    <row r="43" spans="1:9" s="858" customFormat="1" ht="21" customHeight="1">
      <c r="A43" s="866" t="str">
        <f ca="1">IF(ROWS($1:33)&gt;COUNT(Dong6),"",OFFSET(TH!C$1,SMALL(Dong6,ROWS($1:33)),))</f>
        <v/>
      </c>
      <c r="B43" s="867" t="str">
        <f ca="1">IF(ROWS($1:33)&gt;COUNT(Dong6),"",OFFSET(TH!D$1,SMALL(Dong6,ROWS($1:33)),))</f>
        <v/>
      </c>
      <c r="C43" s="866" t="str">
        <f ca="1">IF(ROWS($1:33)&gt;COUNT(Dong6),"",OFFSET(TH!E$1,SMALL(Dong6,ROWS($1:33)),))</f>
        <v/>
      </c>
      <c r="D43" s="868" t="str">
        <f ca="1">IF(ROWS($1:33)&gt;COUNT(Dong6),"",OFFSET(TH!F$1,SMALL(Dong6,ROWS($1:33)),))</f>
        <v/>
      </c>
      <c r="E43" s="867" t="str">
        <f t="shared" ca="1" si="1"/>
        <v/>
      </c>
      <c r="F43" s="869" t="str">
        <f ca="1">IF(ROWS($1:33)&gt;COUNT(Dong6),"",OFFSET(TH!L$1,SMALL(Dong6,ROWS($1:33)),))</f>
        <v/>
      </c>
      <c r="G43" s="869" t="str">
        <f ca="1">IF(ROWS($1:33)&gt;COUNT(Dong6),"",OFFSET(TH!M$1,SMALL(Dong6,ROWS($1:33)),))</f>
        <v/>
      </c>
      <c r="H43" s="721" t="str">
        <f ca="1">IF(ROWS($1:33)&gt;COUNT(Dong6),"",OFFSET(TH!K$1,SMALL(Dong6,ROWS($1:33)),))</f>
        <v/>
      </c>
      <c r="I43" s="721" t="str">
        <f ca="1">IF(ROWS($1:33)&gt;COUNT(Dong6),"",OFFSET(TH!K$1,SMALL(Dong6,ROWS($1:33)),))</f>
        <v/>
      </c>
    </row>
    <row r="44" spans="1:9" s="858" customFormat="1" ht="21" customHeight="1">
      <c r="A44" s="866" t="str">
        <f ca="1">IF(ROWS($1:34)&gt;COUNT(Dong6),"",OFFSET(TH!C$1,SMALL(Dong6,ROWS($1:34)),))</f>
        <v/>
      </c>
      <c r="B44" s="867" t="str">
        <f ca="1">IF(ROWS($1:34)&gt;COUNT(Dong6),"",OFFSET(TH!D$1,SMALL(Dong6,ROWS($1:34)),))</f>
        <v/>
      </c>
      <c r="C44" s="866" t="str">
        <f ca="1">IF(ROWS($1:34)&gt;COUNT(Dong6),"",OFFSET(TH!E$1,SMALL(Dong6,ROWS($1:34)),))</f>
        <v/>
      </c>
      <c r="D44" s="868" t="str">
        <f ca="1">IF(ROWS($1:34)&gt;COUNT(Dong6),"",OFFSET(TH!F$1,SMALL(Dong6,ROWS($1:34)),))</f>
        <v/>
      </c>
      <c r="E44" s="867" t="str">
        <f t="shared" ca="1" si="1"/>
        <v/>
      </c>
      <c r="F44" s="869" t="str">
        <f ca="1">IF(ROWS($1:34)&gt;COUNT(Dong6),"",OFFSET(TH!L$1,SMALL(Dong6,ROWS($1:34)),))</f>
        <v/>
      </c>
      <c r="G44" s="869" t="str">
        <f ca="1">IF(ROWS($1:34)&gt;COUNT(Dong6),"",OFFSET(TH!M$1,SMALL(Dong6,ROWS($1:34)),))</f>
        <v/>
      </c>
      <c r="H44" s="721" t="str">
        <f ca="1">IF(ROWS($1:34)&gt;COUNT(Dong6),"",OFFSET(TH!K$1,SMALL(Dong6,ROWS($1:34)),))</f>
        <v/>
      </c>
      <c r="I44" s="721" t="str">
        <f ca="1">IF(ROWS($1:34)&gt;COUNT(Dong6),"",OFFSET(TH!K$1,SMALL(Dong6,ROWS($1:34)),))</f>
        <v/>
      </c>
    </row>
    <row r="45" spans="1:9" s="858" customFormat="1" ht="21" customHeight="1">
      <c r="A45" s="866" t="str">
        <f ca="1">IF(ROWS($1:35)&gt;COUNT(Dong6),"",OFFSET(TH!C$1,SMALL(Dong6,ROWS($1:35)),))</f>
        <v/>
      </c>
      <c r="B45" s="867" t="str">
        <f ca="1">IF(ROWS($1:35)&gt;COUNT(Dong6),"",OFFSET(TH!D$1,SMALL(Dong6,ROWS($1:35)),))</f>
        <v/>
      </c>
      <c r="C45" s="866" t="str">
        <f ca="1">IF(ROWS($1:35)&gt;COUNT(Dong6),"",OFFSET(TH!E$1,SMALL(Dong6,ROWS($1:35)),))</f>
        <v/>
      </c>
      <c r="D45" s="868" t="str">
        <f ca="1">IF(ROWS($1:35)&gt;COUNT(Dong6),"",OFFSET(TH!F$1,SMALL(Dong6,ROWS($1:35)),))</f>
        <v/>
      </c>
      <c r="E45" s="867" t="str">
        <f t="shared" ca="1" si="1"/>
        <v/>
      </c>
      <c r="F45" s="869" t="str">
        <f ca="1">IF(ROWS($1:35)&gt;COUNT(Dong6),"",OFFSET(TH!L$1,SMALL(Dong6,ROWS($1:35)),))</f>
        <v/>
      </c>
      <c r="G45" s="869" t="str">
        <f ca="1">IF(ROWS($1:35)&gt;COUNT(Dong6),"",OFFSET(TH!M$1,SMALL(Dong6,ROWS($1:35)),))</f>
        <v/>
      </c>
      <c r="H45" s="721" t="str">
        <f ca="1">IF(ROWS($1:35)&gt;COUNT(Dong6),"",OFFSET(TH!K$1,SMALL(Dong6,ROWS($1:35)),))</f>
        <v/>
      </c>
      <c r="I45" s="721" t="str">
        <f ca="1">IF(ROWS($1:35)&gt;COUNT(Dong6),"",OFFSET(TH!K$1,SMALL(Dong6,ROWS($1:35)),))</f>
        <v/>
      </c>
    </row>
    <row r="46" spans="1:9" s="858" customFormat="1" ht="21" customHeight="1">
      <c r="A46" s="866" t="str">
        <f ca="1">IF(ROWS($1:36)&gt;COUNT(Dong6),"",OFFSET(TH!C$1,SMALL(Dong6,ROWS($1:36)),))</f>
        <v/>
      </c>
      <c r="B46" s="867" t="str">
        <f ca="1">IF(ROWS($1:36)&gt;COUNT(Dong6),"",OFFSET(TH!D$1,SMALL(Dong6,ROWS($1:36)),))</f>
        <v/>
      </c>
      <c r="C46" s="866" t="str">
        <f ca="1">IF(ROWS($1:36)&gt;COUNT(Dong6),"",OFFSET(TH!E$1,SMALL(Dong6,ROWS($1:36)),))</f>
        <v/>
      </c>
      <c r="D46" s="868" t="str">
        <f ca="1">IF(ROWS($1:36)&gt;COUNT(Dong6),"",OFFSET(TH!F$1,SMALL(Dong6,ROWS($1:36)),))</f>
        <v/>
      </c>
      <c r="E46" s="867" t="str">
        <f t="shared" ca="1" si="1"/>
        <v/>
      </c>
      <c r="F46" s="869" t="str">
        <f ca="1">IF(ROWS($1:36)&gt;COUNT(Dong6),"",OFFSET(TH!L$1,SMALL(Dong6,ROWS($1:36)),))</f>
        <v/>
      </c>
      <c r="G46" s="869" t="str">
        <f ca="1">IF(ROWS($1:36)&gt;COUNT(Dong6),"",OFFSET(TH!M$1,SMALL(Dong6,ROWS($1:36)),))</f>
        <v/>
      </c>
      <c r="H46" s="721" t="str">
        <f ca="1">IF(ROWS($1:36)&gt;COUNT(Dong6),"",OFFSET(TH!K$1,SMALL(Dong6,ROWS($1:36)),))</f>
        <v/>
      </c>
      <c r="I46" s="721" t="str">
        <f ca="1">IF(ROWS($1:36)&gt;COUNT(Dong6),"",OFFSET(TH!K$1,SMALL(Dong6,ROWS($1:36)),))</f>
        <v/>
      </c>
    </row>
    <row r="47" spans="1:9" s="858" customFormat="1" ht="21" customHeight="1">
      <c r="A47" s="866" t="str">
        <f ca="1">IF(ROWS($1:37)&gt;COUNT(Dong6),"",OFFSET(TH!C$1,SMALL(Dong6,ROWS($1:37)),))</f>
        <v/>
      </c>
      <c r="B47" s="867" t="str">
        <f ca="1">IF(ROWS($1:37)&gt;COUNT(Dong6),"",OFFSET(TH!D$1,SMALL(Dong6,ROWS($1:37)),))</f>
        <v/>
      </c>
      <c r="C47" s="866" t="str">
        <f ca="1">IF(ROWS($1:37)&gt;COUNT(Dong6),"",OFFSET(TH!E$1,SMALL(Dong6,ROWS($1:37)),))</f>
        <v/>
      </c>
      <c r="D47" s="868" t="str">
        <f ca="1">IF(ROWS($1:37)&gt;COUNT(Dong6),"",OFFSET(TH!F$1,SMALL(Dong6,ROWS($1:37)),))</f>
        <v/>
      </c>
      <c r="E47" s="867" t="str">
        <f t="shared" ca="1" si="1"/>
        <v/>
      </c>
      <c r="F47" s="869" t="str">
        <f ca="1">IF(ROWS($1:37)&gt;COUNT(Dong6),"",OFFSET(TH!L$1,SMALL(Dong6,ROWS($1:37)),))</f>
        <v/>
      </c>
      <c r="G47" s="869" t="str">
        <f ca="1">IF(ROWS($1:37)&gt;COUNT(Dong6),"",OFFSET(TH!M$1,SMALL(Dong6,ROWS($1:37)),))</f>
        <v/>
      </c>
      <c r="H47" s="721" t="str">
        <f ca="1">IF(ROWS($1:37)&gt;COUNT(Dong6),"",OFFSET(TH!K$1,SMALL(Dong6,ROWS($1:37)),))</f>
        <v/>
      </c>
      <c r="I47" s="721" t="str">
        <f ca="1">IF(ROWS($1:37)&gt;COUNT(Dong6),"",OFFSET(TH!K$1,SMALL(Dong6,ROWS($1:37)),))</f>
        <v/>
      </c>
    </row>
    <row r="48" spans="1:9" s="858" customFormat="1" ht="21" customHeight="1">
      <c r="A48" s="866" t="str">
        <f ca="1">IF(ROWS($1:38)&gt;COUNT(Dong6),"",OFFSET(TH!C$1,SMALL(Dong6,ROWS($1:38)),))</f>
        <v/>
      </c>
      <c r="B48" s="867" t="str">
        <f ca="1">IF(ROWS($1:38)&gt;COUNT(Dong6),"",OFFSET(TH!D$1,SMALL(Dong6,ROWS($1:38)),))</f>
        <v/>
      </c>
      <c r="C48" s="866" t="str">
        <f ca="1">IF(ROWS($1:38)&gt;COUNT(Dong6),"",OFFSET(TH!E$1,SMALL(Dong6,ROWS($1:38)),))</f>
        <v/>
      </c>
      <c r="D48" s="868" t="str">
        <f ca="1">IF(ROWS($1:38)&gt;COUNT(Dong6),"",OFFSET(TH!F$1,SMALL(Dong6,ROWS($1:38)),))</f>
        <v/>
      </c>
      <c r="E48" s="867" t="str">
        <f t="shared" ca="1" si="1"/>
        <v/>
      </c>
      <c r="F48" s="869" t="str">
        <f ca="1">IF(ROWS($1:38)&gt;COUNT(Dong6),"",OFFSET(TH!L$1,SMALL(Dong6,ROWS($1:38)),))</f>
        <v/>
      </c>
      <c r="G48" s="869" t="str">
        <f ca="1">IF(ROWS($1:38)&gt;COUNT(Dong6),"",OFFSET(TH!M$1,SMALL(Dong6,ROWS($1:38)),))</f>
        <v/>
      </c>
      <c r="H48" s="721" t="str">
        <f ca="1">IF(ROWS($1:38)&gt;COUNT(Dong6),"",OFFSET(TH!K$1,SMALL(Dong6,ROWS($1:38)),))</f>
        <v/>
      </c>
      <c r="I48" s="721" t="str">
        <f ca="1">IF(ROWS($1:38)&gt;COUNT(Dong6),"",OFFSET(TH!K$1,SMALL(Dong6,ROWS($1:38)),))</f>
        <v/>
      </c>
    </row>
    <row r="49" spans="1:10" s="858" customFormat="1" ht="21" customHeight="1">
      <c r="A49" s="866" t="str">
        <f ca="1">IF(ROWS($1:39)&gt;COUNT(Dong6),"",OFFSET(TH!C$1,SMALL(Dong6,ROWS($1:39)),))</f>
        <v/>
      </c>
      <c r="B49" s="867" t="str">
        <f ca="1">IF(ROWS($1:39)&gt;COUNT(Dong6),"",OFFSET(TH!D$1,SMALL(Dong6,ROWS($1:39)),))</f>
        <v/>
      </c>
      <c r="C49" s="866" t="str">
        <f ca="1">IF(ROWS($1:39)&gt;COUNT(Dong6),"",OFFSET(TH!E$1,SMALL(Dong6,ROWS($1:39)),))</f>
        <v/>
      </c>
      <c r="D49" s="868" t="str">
        <f ca="1">IF(ROWS($1:39)&gt;COUNT(Dong6),"",OFFSET(TH!F$1,SMALL(Dong6,ROWS($1:39)),))</f>
        <v/>
      </c>
      <c r="E49" s="867" t="str">
        <f t="shared" ca="1" si="1"/>
        <v/>
      </c>
      <c r="F49" s="869" t="str">
        <f ca="1">IF(ROWS($1:39)&gt;COUNT(Dong6),"",OFFSET(TH!L$1,SMALL(Dong6,ROWS($1:39)),))</f>
        <v/>
      </c>
      <c r="G49" s="869" t="str">
        <f ca="1">IF(ROWS($1:39)&gt;COUNT(Dong6),"",OFFSET(TH!M$1,SMALL(Dong6,ROWS($1:39)),))</f>
        <v/>
      </c>
      <c r="H49" s="721" t="str">
        <f ca="1">IF(ROWS($1:39)&gt;COUNT(Dong6),"",OFFSET(TH!K$1,SMALL(Dong6,ROWS($1:39)),))</f>
        <v/>
      </c>
      <c r="I49" s="721" t="str">
        <f ca="1">IF(ROWS($1:39)&gt;COUNT(Dong6),"",OFFSET(TH!K$1,SMALL(Dong6,ROWS($1:39)),))</f>
        <v/>
      </c>
    </row>
    <row r="50" spans="1:10" s="858" customFormat="1" ht="21" customHeight="1">
      <c r="A50" s="866" t="str">
        <f ca="1">IF(ROWS($1:40)&gt;COUNT(Dong6),"",OFFSET(TH!C$1,SMALL(Dong6,ROWS($1:40)),))</f>
        <v/>
      </c>
      <c r="B50" s="867" t="str">
        <f ca="1">IF(ROWS($1:40)&gt;COUNT(Dong6),"",OFFSET(TH!D$1,SMALL(Dong6,ROWS($1:40)),))</f>
        <v/>
      </c>
      <c r="C50" s="866" t="str">
        <f ca="1">IF(ROWS($1:40)&gt;COUNT(Dong6),"",OFFSET(TH!E$1,SMALL(Dong6,ROWS($1:40)),))</f>
        <v/>
      </c>
      <c r="D50" s="868" t="str">
        <f ca="1">IF(ROWS($1:40)&gt;COUNT(Dong6),"",OFFSET(TH!F$1,SMALL(Dong6,ROWS($1:40)),))</f>
        <v/>
      </c>
      <c r="E50" s="867" t="str">
        <f t="shared" ca="1" si="1"/>
        <v/>
      </c>
      <c r="F50" s="869" t="str">
        <f ca="1">IF(ROWS($1:40)&gt;COUNT(Dong6),"",OFFSET(TH!L$1,SMALL(Dong6,ROWS($1:40)),))</f>
        <v/>
      </c>
      <c r="G50" s="869" t="str">
        <f ca="1">IF(ROWS($1:40)&gt;COUNT(Dong6),"",OFFSET(TH!M$1,SMALL(Dong6,ROWS($1:40)),))</f>
        <v/>
      </c>
      <c r="H50" s="721" t="str">
        <f ca="1">IF(ROWS($1:40)&gt;COUNT(Dong6),"",OFFSET(TH!K$1,SMALL(Dong6,ROWS($1:40)),))</f>
        <v/>
      </c>
      <c r="I50" s="721" t="str">
        <f ca="1">IF(ROWS($1:40)&gt;COUNT(Dong6),"",OFFSET(TH!K$1,SMALL(Dong6,ROWS($1:40)),))</f>
        <v/>
      </c>
    </row>
    <row r="51" spans="1:10" s="858" customFormat="1" ht="21" customHeight="1">
      <c r="A51" s="866"/>
      <c r="B51" s="867"/>
      <c r="C51" s="866"/>
      <c r="D51" s="868"/>
      <c r="E51" s="867"/>
      <c r="F51" s="869"/>
      <c r="G51" s="869"/>
      <c r="H51" s="721"/>
      <c r="I51" s="721"/>
    </row>
    <row r="52" spans="1:10" s="858" customFormat="1" ht="21" customHeight="1">
      <c r="A52" s="870"/>
      <c r="B52" s="870"/>
      <c r="C52" s="870"/>
      <c r="D52" s="871" t="s">
        <v>371</v>
      </c>
      <c r="E52" s="872" t="s">
        <v>19</v>
      </c>
      <c r="F52" s="872"/>
      <c r="G52" s="872" t="s">
        <v>19</v>
      </c>
      <c r="H52" s="873">
        <f ca="1">SUBTOTAL(9,$H$10:$H$51)</f>
        <v>0</v>
      </c>
      <c r="I52" s="873">
        <f ca="1">SUBTOTAL(9,I10:I51)</f>
        <v>0</v>
      </c>
    </row>
    <row r="53" spans="1:10" s="858" customFormat="1" ht="15">
      <c r="A53" s="874" t="s">
        <v>925</v>
      </c>
    </row>
    <row r="54" spans="1:10" s="858" customFormat="1" ht="15">
      <c r="A54" s="874" t="e">
        <f ca="1">"- Ngày mở sổ: "&amp;DAY($A$11)&amp;"/"&amp;MONTH($A$11)&amp;"/ " &amp;YEAR($A$11)</f>
        <v>#VALUE!</v>
      </c>
    </row>
    <row r="55" spans="1:10" s="858" customFormat="1" ht="15">
      <c r="H55" s="135" t="e">
        <f ca="1">"Ngày "&amp;IF(OR($L$11=4,$L$11=6,$L$11=9,$L$11=11),"30",IF($L$11=2,"28","31"))&amp;" tháng "&amp;$N$8&amp;"  năm  "&amp;YEAR($A$14)</f>
        <v>#VALUE!</v>
      </c>
      <c r="I55" s="875"/>
      <c r="J55" s="875"/>
    </row>
    <row r="56" spans="1:10" s="858" customFormat="1" ht="15">
      <c r="B56" s="875" t="s">
        <v>368</v>
      </c>
      <c r="D56" s="875" t="s">
        <v>12</v>
      </c>
      <c r="H56" s="875" t="s">
        <v>369</v>
      </c>
      <c r="I56" s="875"/>
      <c r="J56" s="875"/>
    </row>
    <row r="57" spans="1:10" s="858" customFormat="1" ht="15">
      <c r="B57" s="875" t="s">
        <v>13</v>
      </c>
      <c r="D57" s="875" t="s">
        <v>13</v>
      </c>
      <c r="H57" s="875" t="s">
        <v>136</v>
      </c>
      <c r="I57" s="875"/>
      <c r="J57" s="875"/>
    </row>
    <row r="58" spans="1:10" s="858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45" t="s">
        <v>145</v>
      </c>
      <c r="H2" s="945"/>
      <c r="I2" s="945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46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46"/>
      <c r="I3" s="946"/>
    </row>
    <row r="4" spans="1:9">
      <c r="F4" s="17"/>
      <c r="G4" s="946"/>
      <c r="H4" s="946"/>
      <c r="I4" s="946"/>
    </row>
    <row r="5" spans="1:9" ht="17.25" customHeight="1">
      <c r="A5" s="947" t="s">
        <v>146</v>
      </c>
      <c r="B5" s="947"/>
      <c r="C5" s="947"/>
      <c r="D5" s="947"/>
      <c r="E5" s="947"/>
      <c r="F5" s="947"/>
      <c r="G5" s="947"/>
      <c r="H5" s="947"/>
      <c r="I5" s="947"/>
    </row>
    <row r="6" spans="1:9">
      <c r="A6" s="948" t="s">
        <v>147</v>
      </c>
      <c r="B6" s="949"/>
      <c r="C6" s="949"/>
      <c r="D6" s="949"/>
      <c r="E6" s="949"/>
      <c r="F6" s="949"/>
      <c r="G6" s="949"/>
      <c r="H6" s="949"/>
      <c r="I6" s="949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49" t="s">
        <v>29</v>
      </c>
      <c r="B9" s="950"/>
      <c r="C9" s="950"/>
      <c r="D9" s="950"/>
      <c r="E9" s="950"/>
      <c r="F9" s="950"/>
      <c r="G9" s="950"/>
      <c r="H9" s="950"/>
      <c r="I9" s="950"/>
    </row>
    <row r="10" spans="1:9" ht="9.75" customHeight="1">
      <c r="C10" s="951"/>
      <c r="D10" s="952"/>
      <c r="E10" s="952"/>
      <c r="F10" s="952"/>
      <c r="G10" s="952"/>
      <c r="H10" s="952"/>
      <c r="I10" s="952"/>
    </row>
    <row r="11" spans="1:9" s="18" customFormat="1" ht="19.5" customHeight="1">
      <c r="A11" s="953" t="s">
        <v>20</v>
      </c>
      <c r="B11" s="943" t="s">
        <v>1</v>
      </c>
      <c r="C11" s="954"/>
      <c r="D11" s="953" t="s">
        <v>0</v>
      </c>
      <c r="E11" s="953" t="s">
        <v>14</v>
      </c>
      <c r="F11" s="943" t="s">
        <v>21</v>
      </c>
      <c r="G11" s="954"/>
      <c r="H11" s="943" t="s">
        <v>31</v>
      </c>
      <c r="I11" s="944"/>
    </row>
    <row r="12" spans="1:9" s="18" customFormat="1" ht="32.25" customHeight="1">
      <c r="A12" s="953"/>
      <c r="B12" s="235" t="s">
        <v>15</v>
      </c>
      <c r="C12" s="235" t="s">
        <v>32</v>
      </c>
      <c r="D12" s="953"/>
      <c r="E12" s="953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0</v>
      </c>
      <c r="H15" s="240">
        <f ca="1">IF(D15&lt;&gt;"",MAX(H14+F15-G15-I14,0),0)</f>
        <v>0</v>
      </c>
      <c r="I15" s="240">
        <f ca="1">IF(D15&lt;&gt;"",MAX(I14+G15-H14-F15,0),0)</f>
        <v>0</v>
      </c>
    </row>
    <row r="16" spans="1:9" s="18" customFormat="1" ht="18" customHeight="1">
      <c r="A16" s="197" t="str">
        <f ca="1">IF(ROWS($1:2)&gt;COUNT(Dong5),"",OFFSET(TH!C$1,SMALL(Dong5,ROWS($1:2)),))</f>
        <v/>
      </c>
      <c r="B16" s="197" t="str">
        <f ca="1">IF(ROWS($1:2)&gt;COUNT(Dong5),"",OFFSET(TH!D$1,SMALL(Dong5,ROWS($1:2)),))</f>
        <v/>
      </c>
      <c r="C16" s="197" t="str">
        <f ca="1">IF(ROWS($1:2)&gt;COUNT(Dong5),"",OFFSET(TH!E$1,SMALL(Dong5,ROWS($1:2)),))</f>
        <v/>
      </c>
      <c r="D16" s="238" t="str">
        <f ca="1">IF(ROWS($1:2)&gt;COUNT(Dong5),"",OFFSET(TH!F$1,SMALL(Dong5,ROWS($1:2)),))</f>
        <v/>
      </c>
      <c r="E16" s="197" t="str">
        <f ca="1">IF(ROWS($1:2)&gt;COUNT(Dong5),"",IF(OFFSET(TH!L$1,SMALL(Dong5,ROWS($1:2)),)=$E$7,OFFSET(TH!M$1,SMALL(Dong5,ROWS($1:2)),),OFFSET(TH!L$1,SMALL(Dong5,ROWS($1:2)),)))</f>
        <v/>
      </c>
      <c r="F16" s="239">
        <f ca="1">IF(ROWS($1:2)&gt;COUNT(Dong5),0,IF(OFFSET(TH!L$1,SMALL(Dong5,ROWS($1:2)),)=$E$7,OFFSET(TH!K$1,SMALL(Dong5,ROWS($1:2)),),0))</f>
        <v>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0</v>
      </c>
    </row>
    <row r="17" spans="1:9" s="18" customFormat="1" ht="18" customHeight="1">
      <c r="A17" s="197" t="str">
        <f ca="1">IF(ROWS($1:3)&gt;COUNT(Dong5),"",OFFSET(TH!C$1,SMALL(Dong5,ROWS($1:3)),))</f>
        <v/>
      </c>
      <c r="B17" s="197" t="str">
        <f ca="1">IF(ROWS($1:3)&gt;COUNT(Dong5),"",OFFSET(TH!D$1,SMALL(Dong5,ROWS($1:3)),))</f>
        <v/>
      </c>
      <c r="C17" s="197" t="str">
        <f ca="1">IF(ROWS($1:3)&gt;COUNT(Dong5),"",OFFSET(TH!E$1,SMALL(Dong5,ROWS($1:3)),))</f>
        <v/>
      </c>
      <c r="D17" s="238" t="str">
        <f ca="1">IF(ROWS($1:3)&gt;COUNT(Dong5),"",OFFSET(TH!F$1,SMALL(Dong5,ROWS($1:3)),))</f>
        <v/>
      </c>
      <c r="E17" s="197" t="str">
        <f ca="1">IF(ROWS($1:3)&gt;COUNT(Dong5),"",IF(OFFSET(TH!L$1,SMALL(Dong5,ROWS($1:3)),)=$E$7,OFFSET(TH!M$1,SMALL(Dong5,ROWS($1:3)),),OFFSET(TH!L$1,SMALL(Dong5,ROWS($1:3)),)))</f>
        <v/>
      </c>
      <c r="F17" s="239">
        <f ca="1">IF(ROWS($1:3)&gt;COUNT(Dong5),0,IF(OFFSET(TH!L$1,SMALL(Dong5,ROWS($1:3)),)=$E$7,OFFSET(TH!K$1,SMALL(Dong5,ROWS($1:3)),),0))</f>
        <v>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0</v>
      </c>
    </row>
    <row r="18" spans="1:9" s="18" customFormat="1" ht="18" customHeight="1">
      <c r="A18" s="197" t="str">
        <f ca="1">IF(ROWS($1:4)&gt;COUNT(Dong5),"",OFFSET(TH!C$1,SMALL(Dong5,ROWS($1:4)),))</f>
        <v/>
      </c>
      <c r="B18" s="197" t="str">
        <f ca="1">IF(ROWS($1:4)&gt;COUNT(Dong5),"",OFFSET(TH!D$1,SMALL(Dong5,ROWS($1:4)),))</f>
        <v/>
      </c>
      <c r="C18" s="197" t="str">
        <f ca="1">IF(ROWS($1:4)&gt;COUNT(Dong5),"",OFFSET(TH!E$1,SMALL(Dong5,ROWS($1:4)),))</f>
        <v/>
      </c>
      <c r="D18" s="238" t="str">
        <f ca="1">IF(ROWS($1:4)&gt;COUNT(Dong5),"",OFFSET(TH!F$1,SMALL(Dong5,ROWS($1:4)),))</f>
        <v/>
      </c>
      <c r="E18" s="197" t="str">
        <f ca="1">IF(ROWS($1:4)&gt;COUNT(Dong5),"",IF(OFFSET(TH!L$1,SMALL(Dong5,ROWS($1:4)),)=$E$7,OFFSET(TH!M$1,SMALL(Dong5,ROWS($1:4)),),OFFSET(TH!L$1,SMALL(Dong5,ROWS($1:4)),)))</f>
        <v/>
      </c>
      <c r="F18" s="239">
        <f ca="1">IF(ROWS($1:4)&gt;COUNT(Dong5),0,IF(OFFSET(TH!L$1,SMALL(Dong5,ROWS($1:4)),)=$E$7,OFFSET(TH!K$1,SMALL(Dong5,ROWS($1:4)),),0))</f>
        <v>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0</v>
      </c>
    </row>
    <row r="19" spans="1:9" s="18" customFormat="1" ht="18" customHeight="1">
      <c r="A19" s="197" t="str">
        <f ca="1">IF(ROWS($1:5)&gt;COUNT(Dong5),"",OFFSET(TH!C$1,SMALL(Dong5,ROWS($1:5)),))</f>
        <v/>
      </c>
      <c r="B19" s="197" t="str">
        <f ca="1">IF(ROWS($1:5)&gt;COUNT(Dong5),"",OFFSET(TH!D$1,SMALL(Dong5,ROWS($1:5)),))</f>
        <v/>
      </c>
      <c r="C19" s="197" t="str">
        <f ca="1">IF(ROWS($1:5)&gt;COUNT(Dong5),"",OFFSET(TH!E$1,SMALL(Dong5,ROWS($1:5)),))</f>
        <v/>
      </c>
      <c r="D19" s="238" t="str">
        <f ca="1">IF(ROWS($1:5)&gt;COUNT(Dong5),"",OFFSET(TH!F$1,SMALL(Dong5,ROWS($1:5)),))</f>
        <v/>
      </c>
      <c r="E19" s="197" t="str">
        <f ca="1">IF(ROWS($1:5)&gt;COUNT(Dong5),"",IF(OFFSET(TH!L$1,SMALL(Dong5,ROWS($1:5)),)=$E$7,OFFSET(TH!M$1,SMALL(Dong5,ROWS($1:5)),),OFFSET(TH!L$1,SMALL(Dong5,ROWS($1:5)),)))</f>
        <v/>
      </c>
      <c r="F19" s="239">
        <f ca="1">IF(ROWS($1:5)&gt;COUNT(Dong5),0,IF(OFFSET(TH!L$1,SMALL(Dong5,ROWS($1:5)),)=$E$7,OFFSET(TH!K$1,SMALL(Dong5,ROWS($1:5)),),0))</f>
        <v>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0</v>
      </c>
    </row>
    <row r="20" spans="1:9" s="18" customFormat="1" ht="18" customHeight="1">
      <c r="A20" s="197" t="str">
        <f ca="1">IF(ROWS($1:6)&gt;COUNT(Dong5),"",OFFSET(TH!C$1,SMALL(Dong5,ROWS($1:6)),))</f>
        <v/>
      </c>
      <c r="B20" s="197" t="str">
        <f ca="1">IF(ROWS($1:6)&gt;COUNT(Dong5),"",OFFSET(TH!D$1,SMALL(Dong5,ROWS($1:6)),))</f>
        <v/>
      </c>
      <c r="C20" s="197" t="str">
        <f ca="1">IF(ROWS($1:6)&gt;COUNT(Dong5),"",OFFSET(TH!E$1,SMALL(Dong5,ROWS($1:6)),))</f>
        <v/>
      </c>
      <c r="D20" s="238" t="str">
        <f ca="1">IF(ROWS($1:6)&gt;COUNT(Dong5),"",OFFSET(TH!F$1,SMALL(Dong5,ROWS($1:6)),))</f>
        <v/>
      </c>
      <c r="E20" s="197" t="str">
        <f ca="1">IF(ROWS($1:6)&gt;COUNT(Dong5),"",IF(OFFSET(TH!L$1,SMALL(Dong5,ROWS($1:6)),)=$E$7,OFFSET(TH!M$1,SMALL(Dong5,ROWS($1:6)),),OFFSET(TH!L$1,SMALL(Dong5,ROWS($1:6)),)))</f>
        <v/>
      </c>
      <c r="F20" s="239">
        <f ca="1">IF(ROWS($1:6)&gt;COUNT(Dong5),0,IF(OFFSET(TH!L$1,SMALL(Dong5,ROWS($1:6)),)=$E$7,OFFSET(TH!K$1,SMALL(Dong5,ROWS($1:6)),),0))</f>
        <v>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0</v>
      </c>
    </row>
    <row r="21" spans="1:9" s="18" customFormat="1" ht="18" customHeight="1">
      <c r="A21" s="197" t="str">
        <f ca="1">IF(ROWS($1:7)&gt;COUNT(Dong5),"",OFFSET(TH!C$1,SMALL(Dong5,ROWS($1:7)),))</f>
        <v/>
      </c>
      <c r="B21" s="197" t="str">
        <f ca="1">IF(ROWS($1:7)&gt;COUNT(Dong5),"",OFFSET(TH!D$1,SMALL(Dong5,ROWS($1:7)),))</f>
        <v/>
      </c>
      <c r="C21" s="197" t="str">
        <f ca="1">IF(ROWS($1:7)&gt;COUNT(Dong5),"",OFFSET(TH!E$1,SMALL(Dong5,ROWS($1:7)),))</f>
        <v/>
      </c>
      <c r="D21" s="238" t="str">
        <f ca="1">IF(ROWS($1:7)&gt;COUNT(Dong5),"",OFFSET(TH!F$1,SMALL(Dong5,ROWS($1:7)),))</f>
        <v/>
      </c>
      <c r="E21" s="197" t="str">
        <f ca="1">IF(ROWS($1:7)&gt;COUNT(Dong5),"",IF(OFFSET(TH!L$1,SMALL(Dong5,ROWS($1:7)),)=$E$7,OFFSET(TH!M$1,SMALL(Dong5,ROWS($1:7)),),OFFSET(TH!L$1,SMALL(Dong5,ROWS($1:7)),)))</f>
        <v/>
      </c>
      <c r="F21" s="239">
        <f ca="1">IF(ROWS($1:7)&gt;COUNT(Dong5),0,IF(OFFSET(TH!L$1,SMALL(Dong5,ROWS($1:7)),)=$E$7,OFFSET(TH!K$1,SMALL(Dong5,ROWS($1:7)),),0))</f>
        <v>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0</v>
      </c>
    </row>
    <row r="22" spans="1:9" s="18" customFormat="1" ht="18" customHeight="1">
      <c r="A22" s="197" t="str">
        <f ca="1">IF(ROWS($1:8)&gt;COUNT(Dong5),"",OFFSET(TH!C$1,SMALL(Dong5,ROWS($1:8)),))</f>
        <v/>
      </c>
      <c r="B22" s="197" t="str">
        <f ca="1">IF(ROWS($1:8)&gt;COUNT(Dong5),"",OFFSET(TH!D$1,SMALL(Dong5,ROWS($1:8)),))</f>
        <v/>
      </c>
      <c r="C22" s="197" t="str">
        <f ca="1">IF(ROWS($1:8)&gt;COUNT(Dong5),"",OFFSET(TH!E$1,SMALL(Dong5,ROWS($1:8)),))</f>
        <v/>
      </c>
      <c r="D22" s="238" t="str">
        <f ca="1">IF(ROWS($1:8)&gt;COUNT(Dong5),"",OFFSET(TH!F$1,SMALL(Dong5,ROWS($1:8)),))</f>
        <v/>
      </c>
      <c r="E22" s="197" t="str">
        <f ca="1">IF(ROWS($1:8)&gt;COUNT(Dong5),"",IF(OFFSET(TH!L$1,SMALL(Dong5,ROWS($1:8)),)=$E$7,OFFSET(TH!M$1,SMALL(Dong5,ROWS($1:8)),),OFFSET(TH!L$1,SMALL(Dong5,ROWS($1:8)),)))</f>
        <v/>
      </c>
      <c r="F22" s="239">
        <f ca="1">IF(ROWS($1:8)&gt;COUNT(Dong5),0,IF(OFFSET(TH!L$1,SMALL(Dong5,ROWS($1:8)),)=$E$7,OFFSET(TH!K$1,SMALL(Dong5,ROWS($1:8)),),0))</f>
        <v>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0</v>
      </c>
    </row>
    <row r="23" spans="1:9" s="18" customFormat="1" ht="18" customHeight="1">
      <c r="A23" s="197" t="str">
        <f ca="1">IF(ROWS($1:9)&gt;COUNT(Dong5),"",OFFSET(TH!C$1,SMALL(Dong5,ROWS($1:9)),))</f>
        <v/>
      </c>
      <c r="B23" s="197" t="str">
        <f ca="1">IF(ROWS($1:9)&gt;COUNT(Dong5),"",OFFSET(TH!D$1,SMALL(Dong5,ROWS($1:9)),))</f>
        <v/>
      </c>
      <c r="C23" s="197" t="str">
        <f ca="1">IF(ROWS($1:9)&gt;COUNT(Dong5),"",OFFSET(TH!E$1,SMALL(Dong5,ROWS($1:9)),))</f>
        <v/>
      </c>
      <c r="D23" s="238" t="str">
        <f ca="1">IF(ROWS($1:9)&gt;COUNT(Dong5),"",OFFSET(TH!F$1,SMALL(Dong5,ROWS($1:9)),))</f>
        <v/>
      </c>
      <c r="E23" s="197" t="str">
        <f ca="1">IF(ROWS($1:9)&gt;COUNT(Dong5),"",IF(OFFSET(TH!L$1,SMALL(Dong5,ROWS($1:9)),)=$E$7,OFFSET(TH!M$1,SMALL(Dong5,ROWS($1:9)),),OFFSET(TH!L$1,SMALL(Dong5,ROWS($1:9)),)))</f>
        <v/>
      </c>
      <c r="F23" s="239">
        <f ca="1">IF(ROWS($1:9)&gt;COUNT(Dong5),0,IF(OFFSET(TH!L$1,SMALL(Dong5,ROWS($1:9)),)=$E$7,OFFSET(TH!K$1,SMALL(Dong5,ROWS($1:9)),),0))</f>
        <v>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0</v>
      </c>
    </row>
    <row r="24" spans="1:9" s="18" customFormat="1" ht="18" customHeight="1">
      <c r="A24" s="197" t="str">
        <f ca="1">IF(ROWS($1:10)&gt;COUNT(Dong5),"",OFFSET(TH!C$1,SMALL(Dong5,ROWS($1:10)),))</f>
        <v/>
      </c>
      <c r="B24" s="197" t="str">
        <f ca="1">IF(ROWS($1:10)&gt;COUNT(Dong5),"",OFFSET(TH!D$1,SMALL(Dong5,ROWS($1:10)),))</f>
        <v/>
      </c>
      <c r="C24" s="197" t="str">
        <f ca="1">IF(ROWS($1:10)&gt;COUNT(Dong5),"",OFFSET(TH!E$1,SMALL(Dong5,ROWS($1:10)),))</f>
        <v/>
      </c>
      <c r="D24" s="238" t="str">
        <f ca="1">IF(ROWS($1:10)&gt;COUNT(Dong5),"",OFFSET(TH!F$1,SMALL(Dong5,ROWS($1:10)),))</f>
        <v/>
      </c>
      <c r="E24" s="197" t="str">
        <f ca="1">IF(ROWS($1:10)&gt;COUNT(Dong5),"",IF(OFFSET(TH!L$1,SMALL(Dong5,ROWS($1:10)),)=$E$7,OFFSET(TH!M$1,SMALL(Dong5,ROWS($1:10)),),OFFSET(TH!L$1,SMALL(Dong5,ROWS($1:10)),)))</f>
        <v/>
      </c>
      <c r="F24" s="239">
        <f ca="1">IF(ROWS($1:10)&gt;COUNT(Dong5),0,IF(OFFSET(TH!L$1,SMALL(Dong5,ROWS($1:10)),)=$E$7,OFFSET(TH!K$1,SMALL(Dong5,ROWS($1:10)),),0))</f>
        <v>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0</v>
      </c>
    </row>
    <row r="25" spans="1:9" s="18" customFormat="1" ht="18" customHeight="1">
      <c r="A25" s="197" t="str">
        <f ca="1">IF(ROWS($1:11)&gt;COUNT(Dong5),"",OFFSET(TH!C$1,SMALL(Dong5,ROWS($1:11)),))</f>
        <v/>
      </c>
      <c r="B25" s="197" t="str">
        <f ca="1">IF(ROWS($1:11)&gt;COUNT(Dong5),"",OFFSET(TH!D$1,SMALL(Dong5,ROWS($1:11)),))</f>
        <v/>
      </c>
      <c r="C25" s="197" t="str">
        <f ca="1">IF(ROWS($1:11)&gt;COUNT(Dong5),"",OFFSET(TH!E$1,SMALL(Dong5,ROWS($1:11)),))</f>
        <v/>
      </c>
      <c r="D25" s="238" t="str">
        <f ca="1">IF(ROWS($1:11)&gt;COUNT(Dong5),"",OFFSET(TH!F$1,SMALL(Dong5,ROWS($1:11)),))</f>
        <v/>
      </c>
      <c r="E25" s="197" t="str">
        <f ca="1">IF(ROWS($1:11)&gt;COUNT(Dong5),"",IF(OFFSET(TH!L$1,SMALL(Dong5,ROWS($1:11)),)=$E$7,OFFSET(TH!M$1,SMALL(Dong5,ROWS($1:11)),),OFFSET(TH!L$1,SMALL(Dong5,ROWS($1:11)),)))</f>
        <v/>
      </c>
      <c r="F25" s="239">
        <f ca="1">IF(ROWS($1:11)&gt;COUNT(Dong5),0,IF(OFFSET(TH!L$1,SMALL(Dong5,ROWS($1:11)),)=$E$7,OFFSET(TH!K$1,SMALL(Dong5,ROWS($1:11)),),0))</f>
        <v>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0</v>
      </c>
    </row>
    <row r="26" spans="1:9" s="18" customFormat="1" ht="18" customHeight="1">
      <c r="A26" s="197" t="str">
        <f ca="1">IF(ROWS($1:12)&gt;COUNT(Dong5),"",OFFSET(TH!C$1,SMALL(Dong5,ROWS($1:12)),))</f>
        <v/>
      </c>
      <c r="B26" s="197" t="str">
        <f ca="1">IF(ROWS($1:12)&gt;COUNT(Dong5),"",OFFSET(TH!D$1,SMALL(Dong5,ROWS($1:12)),))</f>
        <v/>
      </c>
      <c r="C26" s="197" t="str">
        <f ca="1">IF(ROWS($1:12)&gt;COUNT(Dong5),"",OFFSET(TH!E$1,SMALL(Dong5,ROWS($1:12)),))</f>
        <v/>
      </c>
      <c r="D26" s="238" t="str">
        <f ca="1">IF(ROWS($1:12)&gt;COUNT(Dong5),"",OFFSET(TH!F$1,SMALL(Dong5,ROWS($1:12)),))</f>
        <v/>
      </c>
      <c r="E26" s="197" t="str">
        <f ca="1">IF(ROWS($1:12)&gt;COUNT(Dong5),"",IF(OFFSET(TH!L$1,SMALL(Dong5,ROWS($1:12)),)=$E$7,OFFSET(TH!M$1,SMALL(Dong5,ROWS($1:12)),),OFFSET(TH!L$1,SMALL(Dong5,ROWS($1:12)),)))</f>
        <v/>
      </c>
      <c r="F26" s="239">
        <f ca="1">IF(ROWS($1:12)&gt;COUNT(Dong5),0,IF(OFFSET(TH!L$1,SMALL(Dong5,ROWS($1:12)),)=$E$7,OFFSET(TH!K$1,SMALL(Dong5,ROWS($1:12)),),0))</f>
        <v>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0</v>
      </c>
    </row>
    <row r="27" spans="1:9" s="18" customFormat="1" ht="18" customHeight="1">
      <c r="A27" s="197" t="str">
        <f ca="1">IF(ROWS($1:13)&gt;COUNT(Dong5),"",OFFSET(TH!C$1,SMALL(Dong5,ROWS($1:13)),))</f>
        <v/>
      </c>
      <c r="B27" s="197" t="str">
        <f ca="1">IF(ROWS($1:13)&gt;COUNT(Dong5),"",OFFSET(TH!D$1,SMALL(Dong5,ROWS($1:13)),))</f>
        <v/>
      </c>
      <c r="C27" s="197" t="str">
        <f ca="1">IF(ROWS($1:13)&gt;COUNT(Dong5),"",OFFSET(TH!E$1,SMALL(Dong5,ROWS($1:13)),))</f>
        <v/>
      </c>
      <c r="D27" s="238" t="str">
        <f ca="1">IF(ROWS($1:13)&gt;COUNT(Dong5),"",OFFSET(TH!F$1,SMALL(Dong5,ROWS($1:13)),))</f>
        <v/>
      </c>
      <c r="E27" s="197" t="str">
        <f ca="1">IF(ROWS($1:13)&gt;COUNT(Dong5),"",IF(OFFSET(TH!L$1,SMALL(Dong5,ROWS($1:13)),)=$E$7,OFFSET(TH!M$1,SMALL(Dong5,ROWS($1:13)),),OFFSET(TH!L$1,SMALL(Dong5,ROWS($1:13)),)))</f>
        <v/>
      </c>
      <c r="F27" s="239">
        <f ca="1">IF(ROWS($1:13)&gt;COUNT(Dong5),0,IF(OFFSET(TH!L$1,SMALL(Dong5,ROWS($1:13)),)=$E$7,OFFSET(TH!K$1,SMALL(Dong5,ROWS($1:13)),),0))</f>
        <v>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0</v>
      </c>
    </row>
    <row r="28" spans="1:9" s="18" customFormat="1" ht="18" customHeight="1">
      <c r="A28" s="197" t="str">
        <f ca="1">IF(ROWS($1:14)&gt;COUNT(Dong5),"",OFFSET(TH!C$1,SMALL(Dong5,ROWS($1:14)),))</f>
        <v/>
      </c>
      <c r="B28" s="197" t="str">
        <f ca="1">IF(ROWS($1:14)&gt;COUNT(Dong5),"",OFFSET(TH!D$1,SMALL(Dong5,ROWS($1:14)),))</f>
        <v/>
      </c>
      <c r="C28" s="197" t="str">
        <f ca="1">IF(ROWS($1:14)&gt;COUNT(Dong5),"",OFFSET(TH!E$1,SMALL(Dong5,ROWS($1:14)),))</f>
        <v/>
      </c>
      <c r="D28" s="238" t="str">
        <f ca="1">IF(ROWS($1:14)&gt;COUNT(Dong5),"",OFFSET(TH!F$1,SMALL(Dong5,ROWS($1:14)),))</f>
        <v/>
      </c>
      <c r="E28" s="197" t="str">
        <f ca="1">IF(ROWS($1:14)&gt;COUNT(Dong5),"",IF(OFFSET(TH!L$1,SMALL(Dong5,ROWS($1:14)),)=$E$7,OFFSET(TH!M$1,SMALL(Dong5,ROWS($1:14)),),OFFSET(TH!L$1,SMALL(Dong5,ROWS($1:14)),)))</f>
        <v/>
      </c>
      <c r="F28" s="239">
        <f ca="1">IF(ROWS($1:14)&gt;COUNT(Dong5),0,IF(OFFSET(TH!L$1,SMALL(Dong5,ROWS($1:14)),)=$E$7,OFFSET(TH!K$1,SMALL(Dong5,ROWS($1:14)),),0))</f>
        <v>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0</v>
      </c>
    </row>
    <row r="29" spans="1:9" s="18" customFormat="1" ht="18" customHeight="1">
      <c r="A29" s="197" t="str">
        <f ca="1">IF(ROWS($1:15)&gt;COUNT(Dong5),"",OFFSET(TH!C$1,SMALL(Dong5,ROWS($1:15)),))</f>
        <v/>
      </c>
      <c r="B29" s="197" t="str">
        <f ca="1">IF(ROWS($1:15)&gt;COUNT(Dong5),"",OFFSET(TH!D$1,SMALL(Dong5,ROWS($1:15)),))</f>
        <v/>
      </c>
      <c r="C29" s="197" t="str">
        <f ca="1">IF(ROWS($1:15)&gt;COUNT(Dong5),"",OFFSET(TH!E$1,SMALL(Dong5,ROWS($1:15)),))</f>
        <v/>
      </c>
      <c r="D29" s="238" t="str">
        <f ca="1">IF(ROWS($1:15)&gt;COUNT(Dong5),"",OFFSET(TH!F$1,SMALL(Dong5,ROWS($1:15)),))</f>
        <v/>
      </c>
      <c r="E29" s="197" t="str">
        <f ca="1">IF(ROWS($1:15)&gt;COUNT(Dong5),"",IF(OFFSET(TH!L$1,SMALL(Dong5,ROWS($1:15)),)=$E$7,OFFSET(TH!M$1,SMALL(Dong5,ROWS($1:15)),),OFFSET(TH!L$1,SMALL(Dong5,ROWS($1:15)),)))</f>
        <v/>
      </c>
      <c r="F29" s="239">
        <f ca="1">IF(ROWS($1:15)&gt;COUNT(Dong5),0,IF(OFFSET(TH!L$1,SMALL(Dong5,ROWS($1:15)),)=$E$7,OFFSET(TH!K$1,SMALL(Dong5,ROWS($1:15)),),0))</f>
        <v>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0</v>
      </c>
    </row>
    <row r="30" spans="1:9" s="18" customFormat="1" ht="18" customHeight="1">
      <c r="A30" s="197" t="str">
        <f ca="1">IF(ROWS($1:16)&gt;COUNT(Dong5),"",OFFSET(TH!C$1,SMALL(Dong5,ROWS($1:16)),))</f>
        <v/>
      </c>
      <c r="B30" s="197" t="str">
        <f ca="1">IF(ROWS($1:16)&gt;COUNT(Dong5),"",OFFSET(TH!D$1,SMALL(Dong5,ROWS($1:16)),))</f>
        <v/>
      </c>
      <c r="C30" s="197" t="str">
        <f ca="1">IF(ROWS($1:16)&gt;COUNT(Dong5),"",OFFSET(TH!E$1,SMALL(Dong5,ROWS($1:16)),))</f>
        <v/>
      </c>
      <c r="D30" s="238" t="str">
        <f ca="1">IF(ROWS($1:16)&gt;COUNT(Dong5),"",OFFSET(TH!F$1,SMALL(Dong5,ROWS($1:16)),))</f>
        <v/>
      </c>
      <c r="E30" s="197" t="str">
        <f ca="1">IF(ROWS($1:16)&gt;COUNT(Dong5),"",IF(OFFSET(TH!L$1,SMALL(Dong5,ROWS($1:16)),)=$E$7,OFFSET(TH!M$1,SMALL(Dong5,ROWS($1:16)),),OFFSET(TH!L$1,SMALL(Dong5,ROWS($1:16)),)))</f>
        <v/>
      </c>
      <c r="F30" s="239">
        <f ca="1">IF(ROWS($1:16)&gt;COUNT(Dong5),0,IF(OFFSET(TH!L$1,SMALL(Dong5,ROWS($1:16)),)=$E$7,OFFSET(TH!K$1,SMALL(Dong5,ROWS($1:16)),),0))</f>
        <v>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0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0</v>
      </c>
      <c r="G32" s="241">
        <f ca="1">SUM(G15:G31)</f>
        <v>0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0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41" t="str">
        <f ca="1">"Ngày 31 tháng  12  năm  "&amp;YEAR($A$15)</f>
        <v>Ngày 31 tháng  12  năm  2016</v>
      </c>
      <c r="F37" s="941"/>
      <c r="G37" s="941"/>
      <c r="H37" s="941"/>
      <c r="I37" s="941"/>
    </row>
    <row r="38" spans="1:9" s="18" customFormat="1" ht="12.75">
      <c r="A38" s="941" t="s">
        <v>11</v>
      </c>
      <c r="B38" s="941"/>
      <c r="C38" s="941"/>
      <c r="D38" s="941"/>
      <c r="E38" s="941" t="s">
        <v>12</v>
      </c>
      <c r="F38" s="941"/>
      <c r="G38" s="941"/>
      <c r="H38" s="941"/>
      <c r="I38" s="941"/>
    </row>
    <row r="39" spans="1:9" s="18" customFormat="1" ht="12.75">
      <c r="A39" s="941" t="s">
        <v>13</v>
      </c>
      <c r="B39" s="941"/>
      <c r="C39" s="941"/>
      <c r="D39" s="941"/>
      <c r="E39" s="941" t="s">
        <v>13</v>
      </c>
      <c r="F39" s="941"/>
      <c r="G39" s="941"/>
      <c r="H39" s="941"/>
      <c r="I39" s="941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42"/>
      <c r="B46" s="942"/>
      <c r="C46" s="942"/>
      <c r="D46" s="942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45" t="s">
        <v>119</v>
      </c>
      <c r="H1" s="945"/>
      <c r="I1" s="945"/>
      <c r="J1" s="945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46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H2" s="946"/>
      <c r="I2" s="946"/>
      <c r="J2" s="946"/>
    </row>
    <row r="3" spans="1:15" s="3" customFormat="1" ht="16.5" customHeight="1">
      <c r="A3" s="4"/>
      <c r="B3" s="16"/>
      <c r="C3" s="108"/>
      <c r="D3" s="108"/>
      <c r="E3" s="16"/>
      <c r="G3" s="946"/>
      <c r="H3" s="946"/>
      <c r="I3" s="946"/>
      <c r="J3" s="946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55" t="s">
        <v>120</v>
      </c>
      <c r="B5" s="955"/>
      <c r="C5" s="955"/>
      <c r="D5" s="955"/>
      <c r="E5" s="955"/>
      <c r="F5" s="955"/>
      <c r="G5" s="955"/>
      <c r="H5" s="955"/>
      <c r="I5" s="955"/>
      <c r="J5" s="955"/>
    </row>
    <row r="6" spans="1:15" ht="14.25" customHeight="1">
      <c r="A6" s="957" t="e">
        <f ca="1">$L$11&amp;" / "&amp;YEAR($A$14)</f>
        <v>#VALUE!</v>
      </c>
      <c r="B6" s="957"/>
      <c r="C6" s="957"/>
      <c r="D6" s="957"/>
      <c r="E6" s="957"/>
      <c r="F6" s="957"/>
      <c r="G6" s="957"/>
      <c r="H6" s="957"/>
      <c r="I6" s="957"/>
      <c r="J6" s="957"/>
    </row>
    <row r="7" spans="1:15">
      <c r="A7" s="956" t="s">
        <v>121</v>
      </c>
      <c r="B7" s="956"/>
      <c r="C7" s="956"/>
      <c r="D7" s="956"/>
      <c r="E7" s="956"/>
      <c r="F7" s="956"/>
      <c r="G7" s="956"/>
      <c r="H7" s="956"/>
      <c r="I7" s="956"/>
      <c r="J7" s="956"/>
    </row>
    <row r="8" spans="1:15">
      <c r="A8" s="956" t="s">
        <v>122</v>
      </c>
      <c r="B8" s="956"/>
      <c r="C8" s="956"/>
      <c r="D8" s="956"/>
      <c r="E8" s="956"/>
      <c r="F8" s="956"/>
      <c r="G8" s="956"/>
      <c r="H8" s="956"/>
      <c r="I8" s="956"/>
      <c r="J8" s="956"/>
    </row>
    <row r="9" spans="1:15">
      <c r="A9" s="111"/>
      <c r="I9" s="111" t="s">
        <v>123</v>
      </c>
    </row>
    <row r="10" spans="1:15" ht="33" customHeight="1" thickBot="1">
      <c r="A10" s="959" t="s">
        <v>20</v>
      </c>
      <c r="B10" s="959" t="s">
        <v>124</v>
      </c>
      <c r="C10" s="958" t="s">
        <v>125</v>
      </c>
      <c r="D10" s="958"/>
      <c r="E10" s="958" t="s">
        <v>0</v>
      </c>
      <c r="F10" s="959" t="s">
        <v>14</v>
      </c>
      <c r="G10" s="958" t="s">
        <v>21</v>
      </c>
      <c r="H10" s="958"/>
      <c r="I10" s="958" t="s">
        <v>126</v>
      </c>
      <c r="J10" s="958" t="s">
        <v>127</v>
      </c>
      <c r="L10" s="615"/>
      <c r="N10" s="933" t="s">
        <v>352</v>
      </c>
      <c r="O10" s="933"/>
    </row>
    <row r="11" spans="1:15" ht="24" customHeight="1" thickBot="1">
      <c r="A11" s="960"/>
      <c r="B11" s="960"/>
      <c r="C11" s="112" t="s">
        <v>128</v>
      </c>
      <c r="D11" s="112" t="s">
        <v>129</v>
      </c>
      <c r="E11" s="958"/>
      <c r="F11" s="960"/>
      <c r="G11" s="112" t="s">
        <v>22</v>
      </c>
      <c r="H11" s="112" t="s">
        <v>23</v>
      </c>
      <c r="I11" s="958"/>
      <c r="J11" s="958"/>
      <c r="L11" s="177" t="s">
        <v>945</v>
      </c>
      <c r="N11" s="636">
        <f>IF(L11="Quý I",1,IF(L11="Quý II",4,IF(L11="Quý III",7,IF(L11="Quý IV",10,""))))</f>
        <v>1</v>
      </c>
      <c r="O11" s="636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37"/>
      <c r="O12" s="637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0</v>
      </c>
      <c r="J13" s="116"/>
      <c r="N13" s="638"/>
      <c r="O13" s="638"/>
    </row>
    <row r="14" spans="1:15" ht="21.75" customHeight="1">
      <c r="A14" s="119" t="str">
        <f ca="1">IF(ROWS($1:1)&gt;COUNT(Dong1),"",OFFSET(TH!C$1,SMALL(Dong1,ROWS($1:1)),))</f>
        <v/>
      </c>
      <c r="B14" s="119" t="str">
        <f ca="1">IF(ROWS($1:1)&gt;COUNT(Dong1),"",OFFSET(TH!E$1,SMALL(Dong1,ROWS($1:1)),))</f>
        <v/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/>
      </c>
      <c r="E14" s="222" t="str">
        <f ca="1">IF(ROWS($1:1)&gt;COUNT(Dong1),"",OFFSET(TH!F$1,SMALL(Dong1,ROWS($1:1)),))</f>
        <v/>
      </c>
      <c r="F14" s="123" t="str">
        <f ca="1">IF(ROWS($1:1)&gt;COUNT(Dong1),"",IF(OFFSET(TH!M$1,SMALL(Dong1,ROWS($1:1)),)="1111",OFFSET(TH!L$1,SMALL(Dong1,ROWS($1:1)),),OFFSET(TH!M$1,SMALL(Dong1,ROWS($1:1)),)))</f>
        <v/>
      </c>
      <c r="G14" s="124" t="str">
        <f ca="1">IF(ROWS($1:1)&gt;COUNT(Dong1),"",IF(OFFSET(TH!L$1,SMALL(Dong1,ROWS($1:1)),)="1111",OFFSET(TH!K$1,SMALL(Dong1,ROWS($1:1)),),0))</f>
        <v/>
      </c>
      <c r="H14" s="122" t="str">
        <f ca="1">IF(ROWS($1:1)&gt;COUNT(Dong1),"",IF(OFFSET(TH!M$1,SMALL(Dong1,ROWS($1:1)),)="1111",OFFSET(TH!K$1,SMALL(Dong1,ROWS($1:1)),),0))</f>
        <v/>
      </c>
      <c r="I14" s="120">
        <f ca="1">IF(E14&lt;&gt;"",I13+G14-H14,0)</f>
        <v>0</v>
      </c>
      <c r="J14" s="125"/>
      <c r="N14" s="639"/>
      <c r="O14" s="639"/>
    </row>
    <row r="15" spans="1:15" ht="21.75" customHeight="1">
      <c r="A15" s="119" t="str">
        <f ca="1">IF(ROWS($1:2)&gt;COUNT(Dong1),"",OFFSET(TH!C$1,SMALL(Dong1,ROWS($1:2)),))</f>
        <v/>
      </c>
      <c r="B15" s="119" t="str">
        <f ca="1">IF(ROWS($1:2)&gt;COUNT(Dong1),"",OFFSET(TH!E$1,SMALL(Dong1,ROWS($1:2)),))</f>
        <v/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/>
      </c>
      <c r="E15" s="222" t="str">
        <f ca="1">IF(ROWS($1:2)&gt;COUNT(Dong1),"",OFFSET(TH!F$1,SMALL(Dong1,ROWS($1:2)),))</f>
        <v/>
      </c>
      <c r="F15" s="123" t="str">
        <f ca="1">IF(ROWS($1:2)&gt;COUNT(Dong1),"",IF(OFFSET(TH!M$1,SMALL(Dong1,ROWS($1:2)),)="1111",OFFSET(TH!L$1,SMALL(Dong1,ROWS($1:2)),),OFFSET(TH!M$1,SMALL(Dong1,ROWS($1:2)),)))</f>
        <v/>
      </c>
      <c r="G15" s="124" t="str">
        <f ca="1">IF(ROWS($1:2)&gt;COUNT(Dong1),"",IF(OFFSET(TH!L$1,SMALL(Dong1,ROWS($1:2)),)="1111",OFFSET(TH!K$1,SMALL(Dong1,ROWS($1:2)),),0))</f>
        <v/>
      </c>
      <c r="H15" s="122" t="str">
        <f ca="1">IF(ROWS($1:2)&gt;COUNT(Dong1),"",IF(OFFSET(TH!M$1,SMALL(Dong1,ROWS($1:2)),)="1111",OFFSET(TH!K$1,SMALL(Dong1,ROWS($1:2)),),0))</f>
        <v/>
      </c>
      <c r="I15" s="120">
        <f t="shared" ref="I15:I49" ca="1" si="0">IF(E15&lt;&gt;"",I14+G15-H15,0)</f>
        <v>0</v>
      </c>
      <c r="J15" s="125"/>
      <c r="N15" s="639"/>
      <c r="O15" s="639"/>
    </row>
    <row r="16" spans="1:15" ht="21.75" customHeight="1">
      <c r="A16" s="119" t="str">
        <f ca="1">IF(ROWS($1:3)&gt;COUNT(Dong1),"",OFFSET(TH!C$1,SMALL(Dong1,ROWS($1:3)),))</f>
        <v/>
      </c>
      <c r="B16" s="119" t="str">
        <f ca="1">IF(ROWS($1:3)&gt;COUNT(Dong1),"",OFFSET(TH!E$1,SMALL(Dong1,ROWS($1:3)),))</f>
        <v/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/>
      </c>
      <c r="F16" s="123" t="str">
        <f ca="1">IF(ROWS($1:3)&gt;COUNT(Dong1),"",IF(OFFSET(TH!M$1,SMALL(Dong1,ROWS($1:3)),)="1111",OFFSET(TH!L$1,SMALL(Dong1,ROWS($1:3)),),OFFSET(TH!M$1,SMALL(Dong1,ROWS($1:3)),)))</f>
        <v/>
      </c>
      <c r="G16" s="124" t="str">
        <f ca="1">IF(ROWS($1:3)&gt;COUNT(Dong1),"",IF(OFFSET(TH!L$1,SMALL(Dong1,ROWS($1:3)),)="1111",OFFSET(TH!K$1,SMALL(Dong1,ROWS($1:3)),),0))</f>
        <v/>
      </c>
      <c r="H16" s="122" t="str">
        <f ca="1">IF(ROWS($1:3)&gt;COUNT(Dong1),"",IF(OFFSET(TH!M$1,SMALL(Dong1,ROWS($1:3)),)="1111",OFFSET(TH!K$1,SMALL(Dong1,ROWS($1:3)),),0))</f>
        <v/>
      </c>
      <c r="I16" s="120">
        <f t="shared" ca="1" si="0"/>
        <v>0</v>
      </c>
      <c r="J16" s="125"/>
      <c r="N16" s="639"/>
      <c r="O16" s="639"/>
    </row>
    <row r="17" spans="1:15" ht="21.75" customHeight="1">
      <c r="A17" s="119" t="str">
        <f ca="1">IF(ROWS($1:4)&gt;COUNT(Dong1),"",OFFSET(TH!C$1,SMALL(Dong1,ROWS($1:4)),))</f>
        <v/>
      </c>
      <c r="B17" s="119" t="str">
        <f ca="1">IF(ROWS($1:4)&gt;COUNT(Dong1),"",OFFSET(TH!E$1,SMALL(Dong1,ROWS($1:4)),))</f>
        <v/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/>
      </c>
      <c r="F17" s="123" t="str">
        <f ca="1">IF(ROWS($1:4)&gt;COUNT(Dong1),"",IF(OFFSET(TH!M$1,SMALL(Dong1,ROWS($1:4)),)="1111",OFFSET(TH!L$1,SMALL(Dong1,ROWS($1:4)),),OFFSET(TH!M$1,SMALL(Dong1,ROWS($1:4)),)))</f>
        <v/>
      </c>
      <c r="G17" s="124" t="str">
        <f ca="1">IF(ROWS($1:4)&gt;COUNT(Dong1),"",IF(OFFSET(TH!L$1,SMALL(Dong1,ROWS($1:4)),)="1111",OFFSET(TH!K$1,SMALL(Dong1,ROWS($1:4)),),0))</f>
        <v/>
      </c>
      <c r="H17" s="122" t="str">
        <f ca="1">IF(ROWS($1:4)&gt;COUNT(Dong1),"",IF(OFFSET(TH!M$1,SMALL(Dong1,ROWS($1:4)),)="1111",OFFSET(TH!K$1,SMALL(Dong1,ROWS($1:4)),),0))</f>
        <v/>
      </c>
      <c r="I17" s="120">
        <f t="shared" ca="1" si="0"/>
        <v>0</v>
      </c>
      <c r="J17" s="125"/>
      <c r="N17" s="639"/>
      <c r="O17" s="639"/>
    </row>
    <row r="18" spans="1:15" ht="21.75" customHeight="1">
      <c r="A18" s="119" t="str">
        <f ca="1">IF(ROWS($1:5)&gt;COUNT(Dong1),"",OFFSET(TH!C$1,SMALL(Dong1,ROWS($1:5)),))</f>
        <v/>
      </c>
      <c r="B18" s="119" t="str">
        <f ca="1">IF(ROWS($1:5)&gt;COUNT(Dong1),"",OFFSET(TH!E$1,SMALL(Dong1,ROWS($1:5)),))</f>
        <v/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/>
      </c>
      <c r="F18" s="123" t="str">
        <f ca="1">IF(ROWS($1:5)&gt;COUNT(Dong1),"",IF(OFFSET(TH!M$1,SMALL(Dong1,ROWS($1:5)),)="1111",OFFSET(TH!L$1,SMALL(Dong1,ROWS($1:5)),),OFFSET(TH!M$1,SMALL(Dong1,ROWS($1:5)),)))</f>
        <v/>
      </c>
      <c r="G18" s="124" t="str">
        <f ca="1">IF(ROWS($1:5)&gt;COUNT(Dong1),"",IF(OFFSET(TH!L$1,SMALL(Dong1,ROWS($1:5)),)="1111",OFFSET(TH!K$1,SMALL(Dong1,ROWS($1:5)),),0))</f>
        <v/>
      </c>
      <c r="H18" s="122" t="str">
        <f ca="1">IF(ROWS($1:5)&gt;COUNT(Dong1),"",IF(OFFSET(TH!M$1,SMALL(Dong1,ROWS($1:5)),)="1111",OFFSET(TH!K$1,SMALL(Dong1,ROWS($1:5)),),0))</f>
        <v/>
      </c>
      <c r="I18" s="120">
        <f t="shared" ca="1" si="0"/>
        <v>0</v>
      </c>
      <c r="J18" s="125"/>
      <c r="N18" s="639"/>
      <c r="O18" s="639"/>
    </row>
    <row r="19" spans="1:15" ht="21.75" customHeight="1">
      <c r="A19" s="119" t="str">
        <f ca="1">IF(ROWS($1:6)&gt;COUNT(Dong1),"",OFFSET(TH!C$1,SMALL(Dong1,ROWS($1:6)),))</f>
        <v/>
      </c>
      <c r="B19" s="119" t="str">
        <f ca="1">IF(ROWS($1:6)&gt;COUNT(Dong1),"",OFFSET(TH!E$1,SMALL(Dong1,ROWS($1:6)),))</f>
        <v/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/>
      </c>
      <c r="F19" s="123" t="str">
        <f ca="1">IF(ROWS($1:6)&gt;COUNT(Dong1),"",IF(OFFSET(TH!M$1,SMALL(Dong1,ROWS($1:6)),)="1111",OFFSET(TH!L$1,SMALL(Dong1,ROWS($1:6)),),OFFSET(TH!M$1,SMALL(Dong1,ROWS($1:6)),)))</f>
        <v/>
      </c>
      <c r="G19" s="124" t="str">
        <f ca="1">IF(ROWS($1:6)&gt;COUNT(Dong1),"",IF(OFFSET(TH!L$1,SMALL(Dong1,ROWS($1:6)),)="1111",OFFSET(TH!K$1,SMALL(Dong1,ROWS($1:6)),),0))</f>
        <v/>
      </c>
      <c r="H19" s="122" t="str">
        <f ca="1">IF(ROWS($1:6)&gt;COUNT(Dong1),"",IF(OFFSET(TH!M$1,SMALL(Dong1,ROWS($1:6)),)="1111",OFFSET(TH!K$1,SMALL(Dong1,ROWS($1:6)),),0))</f>
        <v/>
      </c>
      <c r="I19" s="120">
        <f t="shared" ca="1" si="0"/>
        <v>0</v>
      </c>
      <c r="J19" s="125"/>
      <c r="N19" s="639"/>
      <c r="O19" s="639"/>
    </row>
    <row r="20" spans="1:15" ht="21.75" customHeight="1">
      <c r="A20" s="119" t="str">
        <f ca="1">IF(ROWS($1:7)&gt;COUNT(Dong1),"",OFFSET(TH!C$1,SMALL(Dong1,ROWS($1:7)),))</f>
        <v/>
      </c>
      <c r="B20" s="119" t="str">
        <f ca="1">IF(ROWS($1:7)&gt;COUNT(Dong1),"",OFFSET(TH!E$1,SMALL(Dong1,ROWS($1:7)),))</f>
        <v/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/>
      </c>
      <c r="E20" s="222" t="str">
        <f ca="1">IF(ROWS($1:7)&gt;COUNT(Dong1),"",OFFSET(TH!F$1,SMALL(Dong1,ROWS($1:7)),))</f>
        <v/>
      </c>
      <c r="F20" s="123" t="str">
        <f ca="1">IF(ROWS($1:7)&gt;COUNT(Dong1),"",IF(OFFSET(TH!M$1,SMALL(Dong1,ROWS($1:7)),)="1111",OFFSET(TH!L$1,SMALL(Dong1,ROWS($1:7)),),OFFSET(TH!M$1,SMALL(Dong1,ROWS($1:7)),)))</f>
        <v/>
      </c>
      <c r="G20" s="124" t="str">
        <f ca="1">IF(ROWS($1:7)&gt;COUNT(Dong1),"",IF(OFFSET(TH!L$1,SMALL(Dong1,ROWS($1:7)),)="1111",OFFSET(TH!K$1,SMALL(Dong1,ROWS($1:7)),),0))</f>
        <v/>
      </c>
      <c r="H20" s="122" t="str">
        <f ca="1">IF(ROWS($1:7)&gt;COUNT(Dong1),"",IF(OFFSET(TH!M$1,SMALL(Dong1,ROWS($1:7)),)="1111",OFFSET(TH!K$1,SMALL(Dong1,ROWS($1:7)),),0))</f>
        <v/>
      </c>
      <c r="I20" s="120">
        <f t="shared" ca="1" si="0"/>
        <v>0</v>
      </c>
      <c r="J20" s="125"/>
      <c r="N20" s="639"/>
      <c r="O20" s="639"/>
    </row>
    <row r="21" spans="1:15" ht="21.75" customHeight="1">
      <c r="A21" s="119" t="str">
        <f ca="1">IF(ROWS($1:8)&gt;COUNT(Dong1),"",OFFSET(TH!C$1,SMALL(Dong1,ROWS($1:8)),))</f>
        <v/>
      </c>
      <c r="B21" s="119" t="str">
        <f ca="1">IF(ROWS($1:8)&gt;COUNT(Dong1),"",OFFSET(TH!E$1,SMALL(Dong1,ROWS($1:8)),))</f>
        <v/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/>
      </c>
      <c r="E21" s="222" t="str">
        <f ca="1">IF(ROWS($1:8)&gt;COUNT(Dong1),"",OFFSET(TH!F$1,SMALL(Dong1,ROWS($1:8)),))</f>
        <v/>
      </c>
      <c r="F21" s="123" t="str">
        <f ca="1">IF(ROWS($1:8)&gt;COUNT(Dong1),"",IF(OFFSET(TH!M$1,SMALL(Dong1,ROWS($1:8)),)="1111",OFFSET(TH!L$1,SMALL(Dong1,ROWS($1:8)),),OFFSET(TH!M$1,SMALL(Dong1,ROWS($1:8)),)))</f>
        <v/>
      </c>
      <c r="G21" s="124" t="str">
        <f ca="1">IF(ROWS($1:8)&gt;COUNT(Dong1),"",IF(OFFSET(TH!L$1,SMALL(Dong1,ROWS($1:8)),)="1111",OFFSET(TH!K$1,SMALL(Dong1,ROWS($1:8)),),0))</f>
        <v/>
      </c>
      <c r="H21" s="122" t="str">
        <f ca="1">IF(ROWS($1:8)&gt;COUNT(Dong1),"",IF(OFFSET(TH!M$1,SMALL(Dong1,ROWS($1:8)),)="1111",OFFSET(TH!K$1,SMALL(Dong1,ROWS($1:8)),),0))</f>
        <v/>
      </c>
      <c r="I21" s="120">
        <f t="shared" ca="1" si="0"/>
        <v>0</v>
      </c>
      <c r="J21" s="125"/>
      <c r="N21" s="639"/>
      <c r="O21" s="639"/>
    </row>
    <row r="22" spans="1:15" ht="21.75" customHeight="1">
      <c r="A22" s="119" t="str">
        <f ca="1">IF(ROWS($1:9)&gt;COUNT(Dong1),"",OFFSET(TH!C$1,SMALL(Dong1,ROWS($1:9)),))</f>
        <v/>
      </c>
      <c r="B22" s="119" t="str">
        <f ca="1">IF(ROWS($1:9)&gt;COUNT(Dong1),"",OFFSET(TH!E$1,SMALL(Dong1,ROWS($1:9)),))</f>
        <v/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/>
      </c>
      <c r="F22" s="123" t="str">
        <f ca="1">IF(ROWS($1:9)&gt;COUNT(Dong1),"",IF(OFFSET(TH!M$1,SMALL(Dong1,ROWS($1:9)),)="1111",OFFSET(TH!L$1,SMALL(Dong1,ROWS($1:9)),),OFFSET(TH!M$1,SMALL(Dong1,ROWS($1:9)),)))</f>
        <v/>
      </c>
      <c r="G22" s="124" t="str">
        <f ca="1">IF(ROWS($1:9)&gt;COUNT(Dong1),"",IF(OFFSET(TH!L$1,SMALL(Dong1,ROWS($1:9)),)="1111",OFFSET(TH!K$1,SMALL(Dong1,ROWS($1:9)),),0))</f>
        <v/>
      </c>
      <c r="H22" s="122" t="str">
        <f ca="1">IF(ROWS($1:9)&gt;COUNT(Dong1),"",IF(OFFSET(TH!M$1,SMALL(Dong1,ROWS($1:9)),)="1111",OFFSET(TH!K$1,SMALL(Dong1,ROWS($1:9)),),0))</f>
        <v/>
      </c>
      <c r="I22" s="120">
        <f t="shared" ca="1" si="0"/>
        <v>0</v>
      </c>
      <c r="J22" s="125"/>
      <c r="N22" s="639"/>
      <c r="O22" s="639"/>
    </row>
    <row r="23" spans="1:15" ht="21.75" customHeight="1">
      <c r="A23" s="119" t="str">
        <f ca="1">IF(ROWS($1:10)&gt;COUNT(Dong1),"",OFFSET(TH!C$1,SMALL(Dong1,ROWS($1:10)),))</f>
        <v/>
      </c>
      <c r="B23" s="119" t="str">
        <f ca="1">IF(ROWS($1:10)&gt;COUNT(Dong1),"",OFFSET(TH!E$1,SMALL(Dong1,ROWS($1:10)),))</f>
        <v/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/>
      </c>
      <c r="E23" s="222" t="str">
        <f ca="1">IF(ROWS($1:10)&gt;COUNT(Dong1),"",OFFSET(TH!F$1,SMALL(Dong1,ROWS($1:10)),))</f>
        <v/>
      </c>
      <c r="F23" s="123" t="str">
        <f ca="1">IF(ROWS($1:10)&gt;COUNT(Dong1),"",IF(OFFSET(TH!M$1,SMALL(Dong1,ROWS($1:10)),)="1111",OFFSET(TH!L$1,SMALL(Dong1,ROWS($1:10)),),OFFSET(TH!M$1,SMALL(Dong1,ROWS($1:10)),)))</f>
        <v/>
      </c>
      <c r="G23" s="124" t="str">
        <f ca="1">IF(ROWS($1:10)&gt;COUNT(Dong1),"",IF(OFFSET(TH!L$1,SMALL(Dong1,ROWS($1:10)),)="1111",OFFSET(TH!K$1,SMALL(Dong1,ROWS($1:10)),),0))</f>
        <v/>
      </c>
      <c r="H23" s="122" t="str">
        <f ca="1">IF(ROWS($1:10)&gt;COUNT(Dong1),"",IF(OFFSET(TH!M$1,SMALL(Dong1,ROWS($1:10)),)="1111",OFFSET(TH!K$1,SMALL(Dong1,ROWS($1:10)),),0))</f>
        <v/>
      </c>
      <c r="I23" s="120">
        <f t="shared" ca="1" si="0"/>
        <v>0</v>
      </c>
      <c r="J23" s="125"/>
      <c r="N23" s="639"/>
      <c r="O23" s="639"/>
    </row>
    <row r="24" spans="1:15" ht="21.75" customHeight="1">
      <c r="A24" s="119" t="str">
        <f ca="1">IF(ROWS($1:11)&gt;COUNT(Dong1),"",OFFSET(TH!C$1,SMALL(Dong1,ROWS($1:11)),))</f>
        <v/>
      </c>
      <c r="B24" s="119" t="str">
        <f ca="1">IF(ROWS($1:11)&gt;COUNT(Dong1),"",OFFSET(TH!E$1,SMALL(Dong1,ROWS($1:11)),))</f>
        <v/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/>
      </c>
      <c r="F24" s="123" t="str">
        <f ca="1">IF(ROWS($1:11)&gt;COUNT(Dong1),"",IF(OFFSET(TH!M$1,SMALL(Dong1,ROWS($1:11)),)="1111",OFFSET(TH!L$1,SMALL(Dong1,ROWS($1:11)),),OFFSET(TH!M$1,SMALL(Dong1,ROWS($1:11)),)))</f>
        <v/>
      </c>
      <c r="G24" s="124" t="str">
        <f ca="1">IF(ROWS($1:11)&gt;COUNT(Dong1),"",IF(OFFSET(TH!L$1,SMALL(Dong1,ROWS($1:11)),)="1111",OFFSET(TH!K$1,SMALL(Dong1,ROWS($1:11)),),0))</f>
        <v/>
      </c>
      <c r="H24" s="122" t="str">
        <f ca="1">IF(ROWS($1:11)&gt;COUNT(Dong1),"",IF(OFFSET(TH!M$1,SMALL(Dong1,ROWS($1:11)),)="1111",OFFSET(TH!K$1,SMALL(Dong1,ROWS($1:11)),),0))</f>
        <v/>
      </c>
      <c r="I24" s="120">
        <f t="shared" ca="1" si="0"/>
        <v>0</v>
      </c>
      <c r="J24" s="125"/>
      <c r="N24" s="639"/>
      <c r="O24" s="639"/>
    </row>
    <row r="25" spans="1:15" ht="21.75" customHeight="1">
      <c r="A25" s="119" t="str">
        <f ca="1">IF(ROWS($1:12)&gt;COUNT(Dong1),"",OFFSET(TH!C$1,SMALL(Dong1,ROWS($1:12)),))</f>
        <v/>
      </c>
      <c r="B25" s="119" t="str">
        <f ca="1">IF(ROWS($1:12)&gt;COUNT(Dong1),"",OFFSET(TH!E$1,SMALL(Dong1,ROWS($1:12)),))</f>
        <v/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/>
      </c>
      <c r="F25" s="123" t="str">
        <f ca="1">IF(ROWS($1:12)&gt;COUNT(Dong1),"",IF(OFFSET(TH!M$1,SMALL(Dong1,ROWS($1:12)),)="1111",OFFSET(TH!L$1,SMALL(Dong1,ROWS($1:12)),),OFFSET(TH!M$1,SMALL(Dong1,ROWS($1:12)),)))</f>
        <v/>
      </c>
      <c r="G25" s="124" t="str">
        <f ca="1">IF(ROWS($1:12)&gt;COUNT(Dong1),"",IF(OFFSET(TH!L$1,SMALL(Dong1,ROWS($1:12)),)="1111",OFFSET(TH!K$1,SMALL(Dong1,ROWS($1:12)),),0))</f>
        <v/>
      </c>
      <c r="H25" s="122" t="str">
        <f ca="1">IF(ROWS($1:12)&gt;COUNT(Dong1),"",IF(OFFSET(TH!M$1,SMALL(Dong1,ROWS($1:12)),)="1111",OFFSET(TH!K$1,SMALL(Dong1,ROWS($1:12)),),0))</f>
        <v/>
      </c>
      <c r="I25" s="120">
        <f t="shared" ca="1" si="0"/>
        <v>0</v>
      </c>
      <c r="J25" s="125"/>
      <c r="N25" s="639"/>
      <c r="O25" s="639"/>
    </row>
    <row r="26" spans="1:15" ht="21.75" customHeight="1">
      <c r="A26" s="119" t="str">
        <f ca="1">IF(ROWS($1:13)&gt;COUNT(Dong1),"",OFFSET(TH!C$1,SMALL(Dong1,ROWS($1:13)),))</f>
        <v/>
      </c>
      <c r="B26" s="119" t="str">
        <f ca="1">IF(ROWS($1:13)&gt;COUNT(Dong1),"",OFFSET(TH!E$1,SMALL(Dong1,ROWS($1:13)),))</f>
        <v/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/>
      </c>
      <c r="F26" s="123" t="str">
        <f ca="1">IF(ROWS($1:13)&gt;COUNT(Dong1),"",IF(OFFSET(TH!M$1,SMALL(Dong1,ROWS($1:13)),)="1111",OFFSET(TH!L$1,SMALL(Dong1,ROWS($1:13)),),OFFSET(TH!M$1,SMALL(Dong1,ROWS($1:13)),)))</f>
        <v/>
      </c>
      <c r="G26" s="124" t="str">
        <f ca="1">IF(ROWS($1:13)&gt;COUNT(Dong1),"",IF(OFFSET(TH!L$1,SMALL(Dong1,ROWS($1:13)),)="1111",OFFSET(TH!K$1,SMALL(Dong1,ROWS($1:13)),),0))</f>
        <v/>
      </c>
      <c r="H26" s="122" t="str">
        <f ca="1">IF(ROWS($1:13)&gt;COUNT(Dong1),"",IF(OFFSET(TH!M$1,SMALL(Dong1,ROWS($1:13)),)="1111",OFFSET(TH!K$1,SMALL(Dong1,ROWS($1:13)),),0))</f>
        <v/>
      </c>
      <c r="I26" s="120">
        <f t="shared" ca="1" si="0"/>
        <v>0</v>
      </c>
      <c r="J26" s="125"/>
      <c r="N26" s="639"/>
      <c r="O26" s="639"/>
    </row>
    <row r="27" spans="1:15" ht="21.75" customHeight="1">
      <c r="A27" s="119" t="str">
        <f ca="1">IF(ROWS($1:14)&gt;COUNT(Dong1),"",OFFSET(TH!C$1,SMALL(Dong1,ROWS($1:14)),))</f>
        <v/>
      </c>
      <c r="B27" s="119" t="str">
        <f ca="1">IF(ROWS($1:14)&gt;COUNT(Dong1),"",OFFSET(TH!E$1,SMALL(Dong1,ROWS($1:14)),))</f>
        <v/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/>
      </c>
      <c r="F27" s="123" t="str">
        <f ca="1">IF(ROWS($1:14)&gt;COUNT(Dong1),"",IF(OFFSET(TH!M$1,SMALL(Dong1,ROWS($1:14)),)="1111",OFFSET(TH!L$1,SMALL(Dong1,ROWS($1:14)),),OFFSET(TH!M$1,SMALL(Dong1,ROWS($1:14)),)))</f>
        <v/>
      </c>
      <c r="G27" s="124" t="str">
        <f ca="1">IF(ROWS($1:14)&gt;COUNT(Dong1),"",IF(OFFSET(TH!L$1,SMALL(Dong1,ROWS($1:14)),)="1111",OFFSET(TH!K$1,SMALL(Dong1,ROWS($1:14)),),0))</f>
        <v/>
      </c>
      <c r="H27" s="122" t="str">
        <f ca="1">IF(ROWS($1:14)&gt;COUNT(Dong1),"",IF(OFFSET(TH!M$1,SMALL(Dong1,ROWS($1:14)),)="1111",OFFSET(TH!K$1,SMALL(Dong1,ROWS($1:14)),),0))</f>
        <v/>
      </c>
      <c r="I27" s="120">
        <f t="shared" ca="1" si="0"/>
        <v>0</v>
      </c>
      <c r="J27" s="125"/>
      <c r="N27" s="639"/>
      <c r="O27" s="639"/>
    </row>
    <row r="28" spans="1:15" ht="21.75" customHeight="1">
      <c r="A28" s="119" t="str">
        <f ca="1">IF(ROWS($1:15)&gt;COUNT(Dong1),"",OFFSET(TH!C$1,SMALL(Dong1,ROWS($1:15)),))</f>
        <v/>
      </c>
      <c r="B28" s="119" t="str">
        <f ca="1">IF(ROWS($1:15)&gt;COUNT(Dong1),"",OFFSET(TH!E$1,SMALL(Dong1,ROWS($1:15)),))</f>
        <v/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/>
      </c>
      <c r="E28" s="222" t="str">
        <f ca="1">IF(ROWS($1:15)&gt;COUNT(Dong1),"",OFFSET(TH!F$1,SMALL(Dong1,ROWS($1:15)),))</f>
        <v/>
      </c>
      <c r="F28" s="123" t="str">
        <f ca="1">IF(ROWS($1:15)&gt;COUNT(Dong1),"",IF(OFFSET(TH!M$1,SMALL(Dong1,ROWS($1:15)),)="1111",OFFSET(TH!L$1,SMALL(Dong1,ROWS($1:15)),),OFFSET(TH!M$1,SMALL(Dong1,ROWS($1:15)),)))</f>
        <v/>
      </c>
      <c r="G28" s="124" t="str">
        <f ca="1">IF(ROWS($1:15)&gt;COUNT(Dong1),"",IF(OFFSET(TH!L$1,SMALL(Dong1,ROWS($1:15)),)="1111",OFFSET(TH!K$1,SMALL(Dong1,ROWS($1:15)),),0))</f>
        <v/>
      </c>
      <c r="H28" s="122" t="str">
        <f ca="1">IF(ROWS($1:15)&gt;COUNT(Dong1),"",IF(OFFSET(TH!M$1,SMALL(Dong1,ROWS($1:15)),)="1111",OFFSET(TH!K$1,SMALL(Dong1,ROWS($1:15)),),0))</f>
        <v/>
      </c>
      <c r="I28" s="120">
        <f t="shared" ca="1" si="0"/>
        <v>0</v>
      </c>
      <c r="J28" s="125"/>
      <c r="N28" s="639"/>
      <c r="O28" s="639"/>
    </row>
    <row r="29" spans="1:15" ht="21.75" customHeight="1">
      <c r="A29" s="119" t="str">
        <f ca="1">IF(ROWS($1:16)&gt;COUNT(Dong1),"",OFFSET(TH!C$1,SMALL(Dong1,ROWS($1:16)),))</f>
        <v/>
      </c>
      <c r="B29" s="119" t="str">
        <f ca="1">IF(ROWS($1:16)&gt;COUNT(Dong1),"",OFFSET(TH!E$1,SMALL(Dong1,ROWS($1:16)),))</f>
        <v/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/>
      </c>
      <c r="E29" s="222" t="str">
        <f ca="1">IF(ROWS($1:16)&gt;COUNT(Dong1),"",OFFSET(TH!F$1,SMALL(Dong1,ROWS($1:16)),))</f>
        <v/>
      </c>
      <c r="F29" s="123" t="str">
        <f ca="1">IF(ROWS($1:16)&gt;COUNT(Dong1),"",IF(OFFSET(TH!M$1,SMALL(Dong1,ROWS($1:16)),)="1111",OFFSET(TH!L$1,SMALL(Dong1,ROWS($1:16)),),OFFSET(TH!M$1,SMALL(Dong1,ROWS($1:16)),)))</f>
        <v/>
      </c>
      <c r="G29" s="124" t="str">
        <f ca="1">IF(ROWS($1:16)&gt;COUNT(Dong1),"",IF(OFFSET(TH!L$1,SMALL(Dong1,ROWS($1:16)),)="1111",OFFSET(TH!K$1,SMALL(Dong1,ROWS($1:16)),),0))</f>
        <v/>
      </c>
      <c r="H29" s="122" t="str">
        <f ca="1">IF(ROWS($1:16)&gt;COUNT(Dong1),"",IF(OFFSET(TH!M$1,SMALL(Dong1,ROWS($1:16)),)="1111",OFFSET(TH!K$1,SMALL(Dong1,ROWS($1:16)),),0))</f>
        <v/>
      </c>
      <c r="I29" s="120">
        <f t="shared" ca="1" si="0"/>
        <v>0</v>
      </c>
      <c r="J29" s="125"/>
      <c r="N29" s="639"/>
      <c r="O29" s="639"/>
    </row>
    <row r="30" spans="1:15" ht="21.75" customHeight="1">
      <c r="A30" s="119" t="str">
        <f ca="1">IF(ROWS($1:17)&gt;COUNT(Dong1),"",OFFSET(TH!C$1,SMALL(Dong1,ROWS($1:17)),))</f>
        <v/>
      </c>
      <c r="B30" s="119" t="str">
        <f ca="1">IF(ROWS($1:17)&gt;COUNT(Dong1),"",OFFSET(TH!E$1,SMALL(Dong1,ROWS($1:17)),))</f>
        <v/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/>
      </c>
      <c r="E30" s="222" t="str">
        <f ca="1">IF(ROWS($1:17)&gt;COUNT(Dong1),"",OFFSET(TH!F$1,SMALL(Dong1,ROWS($1:17)),))</f>
        <v/>
      </c>
      <c r="F30" s="123" t="str">
        <f ca="1">IF(ROWS($1:17)&gt;COUNT(Dong1),"",IF(OFFSET(TH!M$1,SMALL(Dong1,ROWS($1:17)),)="1111",OFFSET(TH!L$1,SMALL(Dong1,ROWS($1:17)),),OFFSET(TH!M$1,SMALL(Dong1,ROWS($1:17)),)))</f>
        <v/>
      </c>
      <c r="G30" s="124" t="str">
        <f ca="1">IF(ROWS($1:17)&gt;COUNT(Dong1),"",IF(OFFSET(TH!L$1,SMALL(Dong1,ROWS($1:17)),)="1111",OFFSET(TH!K$1,SMALL(Dong1,ROWS($1:17)),),0))</f>
        <v/>
      </c>
      <c r="H30" s="122" t="str">
        <f ca="1">IF(ROWS($1:17)&gt;COUNT(Dong1),"",IF(OFFSET(TH!M$1,SMALL(Dong1,ROWS($1:17)),)="1111",OFFSET(TH!K$1,SMALL(Dong1,ROWS($1:17)),),0))</f>
        <v/>
      </c>
      <c r="I30" s="120">
        <f t="shared" ca="1" si="0"/>
        <v>0</v>
      </c>
      <c r="J30" s="125"/>
      <c r="N30" s="639"/>
      <c r="O30" s="639"/>
    </row>
    <row r="31" spans="1:15" ht="21.75" customHeight="1">
      <c r="A31" s="119" t="str">
        <f ca="1">IF(ROWS($1:18)&gt;COUNT(Dong1),"",OFFSET(TH!C$1,SMALL(Dong1,ROWS($1:18)),))</f>
        <v/>
      </c>
      <c r="B31" s="119" t="str">
        <f ca="1">IF(ROWS($1:18)&gt;COUNT(Dong1),"",OFFSET(TH!E$1,SMALL(Dong1,ROWS($1:18)),))</f>
        <v/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/>
      </c>
      <c r="F31" s="123" t="str">
        <f ca="1">IF(ROWS($1:18)&gt;COUNT(Dong1),"",IF(OFFSET(TH!M$1,SMALL(Dong1,ROWS($1:18)),)="1111",OFFSET(TH!L$1,SMALL(Dong1,ROWS($1:18)),),OFFSET(TH!M$1,SMALL(Dong1,ROWS($1:18)),)))</f>
        <v/>
      </c>
      <c r="G31" s="124" t="str">
        <f ca="1">IF(ROWS($1:18)&gt;COUNT(Dong1),"",IF(OFFSET(TH!L$1,SMALL(Dong1,ROWS($1:18)),)="1111",OFFSET(TH!K$1,SMALL(Dong1,ROWS($1:18)),),0))</f>
        <v/>
      </c>
      <c r="H31" s="122" t="str">
        <f ca="1">IF(ROWS($1:18)&gt;COUNT(Dong1),"",IF(OFFSET(TH!M$1,SMALL(Dong1,ROWS($1:18)),)="1111",OFFSET(TH!K$1,SMALL(Dong1,ROWS($1:18)),),0))</f>
        <v/>
      </c>
      <c r="I31" s="120">
        <f t="shared" ca="1" si="0"/>
        <v>0</v>
      </c>
      <c r="J31" s="125"/>
      <c r="N31" s="639"/>
      <c r="O31" s="639"/>
    </row>
    <row r="32" spans="1:15" ht="21.75" customHeight="1">
      <c r="A32" s="119" t="str">
        <f ca="1">IF(ROWS($1:19)&gt;COUNT(Dong1),"",OFFSET(TH!C$1,SMALL(Dong1,ROWS($1:19)),))</f>
        <v/>
      </c>
      <c r="B32" s="119" t="str">
        <f ca="1">IF(ROWS($1:19)&gt;COUNT(Dong1),"",OFFSET(TH!E$1,SMALL(Dong1,ROWS($1:19)),))</f>
        <v/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/>
      </c>
      <c r="F32" s="123" t="str">
        <f ca="1">IF(ROWS($1:19)&gt;COUNT(Dong1),"",IF(OFFSET(TH!M$1,SMALL(Dong1,ROWS($1:19)),)="1111",OFFSET(TH!L$1,SMALL(Dong1,ROWS($1:19)),),OFFSET(TH!M$1,SMALL(Dong1,ROWS($1:19)),)))</f>
        <v/>
      </c>
      <c r="G32" s="124" t="str">
        <f ca="1">IF(ROWS($1:19)&gt;COUNT(Dong1),"",IF(OFFSET(TH!L$1,SMALL(Dong1,ROWS($1:19)),)="1111",OFFSET(TH!K$1,SMALL(Dong1,ROWS($1:19)),),0))</f>
        <v/>
      </c>
      <c r="H32" s="122" t="str">
        <f ca="1">IF(ROWS($1:19)&gt;COUNT(Dong1),"",IF(OFFSET(TH!M$1,SMALL(Dong1,ROWS($1:19)),)="1111",OFFSET(TH!K$1,SMALL(Dong1,ROWS($1:19)),),0))</f>
        <v/>
      </c>
      <c r="I32" s="120">
        <f t="shared" ca="1" si="0"/>
        <v>0</v>
      </c>
      <c r="J32" s="125"/>
      <c r="N32" s="639"/>
      <c r="O32" s="639"/>
    </row>
    <row r="33" spans="1:15" ht="21.75" customHeight="1">
      <c r="A33" s="119" t="str">
        <f ca="1">IF(ROWS($1:20)&gt;COUNT(Dong1),"",OFFSET(TH!C$1,SMALL(Dong1,ROWS($1:20)),))</f>
        <v/>
      </c>
      <c r="B33" s="119" t="str">
        <f ca="1">IF(ROWS($1:20)&gt;COUNT(Dong1),"",OFFSET(TH!E$1,SMALL(Dong1,ROWS($1:20)),))</f>
        <v/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/>
      </c>
      <c r="F33" s="123" t="str">
        <f ca="1">IF(ROWS($1:20)&gt;COUNT(Dong1),"",IF(OFFSET(TH!M$1,SMALL(Dong1,ROWS($1:20)),)="1111",OFFSET(TH!L$1,SMALL(Dong1,ROWS($1:20)),),OFFSET(TH!M$1,SMALL(Dong1,ROWS($1:20)),)))</f>
        <v/>
      </c>
      <c r="G33" s="124" t="str">
        <f ca="1">IF(ROWS($1:20)&gt;COUNT(Dong1),"",IF(OFFSET(TH!L$1,SMALL(Dong1,ROWS($1:20)),)="1111",OFFSET(TH!K$1,SMALL(Dong1,ROWS($1:20)),),0))</f>
        <v/>
      </c>
      <c r="H33" s="122" t="str">
        <f ca="1">IF(ROWS($1:20)&gt;COUNT(Dong1),"",IF(OFFSET(TH!M$1,SMALL(Dong1,ROWS($1:20)),)="1111",OFFSET(TH!K$1,SMALL(Dong1,ROWS($1:20)),),0))</f>
        <v/>
      </c>
      <c r="I33" s="120">
        <f t="shared" ca="1" si="0"/>
        <v>0</v>
      </c>
      <c r="J33" s="125"/>
      <c r="N33" s="639"/>
      <c r="O33" s="639"/>
    </row>
    <row r="34" spans="1:15" ht="21.75" customHeight="1">
      <c r="A34" s="119" t="str">
        <f ca="1">IF(ROWS($1:21)&gt;COUNT(Dong1),"",OFFSET(TH!C$1,SMALL(Dong1,ROWS($1:21)),))</f>
        <v/>
      </c>
      <c r="B34" s="119" t="str">
        <f ca="1">IF(ROWS($1:21)&gt;COUNT(Dong1),"",OFFSET(TH!E$1,SMALL(Dong1,ROWS($1:21)),))</f>
        <v/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/>
      </c>
      <c r="F34" s="123" t="str">
        <f ca="1">IF(ROWS($1:21)&gt;COUNT(Dong1),"",IF(OFFSET(TH!M$1,SMALL(Dong1,ROWS($1:21)),)="1111",OFFSET(TH!L$1,SMALL(Dong1,ROWS($1:21)),),OFFSET(TH!M$1,SMALL(Dong1,ROWS($1:21)),)))</f>
        <v/>
      </c>
      <c r="G34" s="124" t="str">
        <f ca="1">IF(ROWS($1:21)&gt;COUNT(Dong1),"",IF(OFFSET(TH!L$1,SMALL(Dong1,ROWS($1:21)),)="1111",OFFSET(TH!K$1,SMALL(Dong1,ROWS($1:21)),),0))</f>
        <v/>
      </c>
      <c r="H34" s="122" t="str">
        <f ca="1">IF(ROWS($1:21)&gt;COUNT(Dong1),"",IF(OFFSET(TH!M$1,SMALL(Dong1,ROWS($1:21)),)="1111",OFFSET(TH!K$1,SMALL(Dong1,ROWS($1:21)),),0))</f>
        <v/>
      </c>
      <c r="I34" s="120">
        <f t="shared" ca="1" si="0"/>
        <v>0</v>
      </c>
      <c r="J34" s="125"/>
      <c r="N34" s="639"/>
      <c r="O34" s="639"/>
    </row>
    <row r="35" spans="1:15" ht="21.75" customHeight="1">
      <c r="A35" s="119" t="str">
        <f ca="1">IF(ROWS($1:22)&gt;COUNT(Dong1),"",OFFSET(TH!C$1,SMALL(Dong1,ROWS($1:22)),))</f>
        <v/>
      </c>
      <c r="B35" s="119" t="str">
        <f ca="1">IF(ROWS($1:22)&gt;COUNT(Dong1),"",OFFSET(TH!E$1,SMALL(Dong1,ROWS($1:22)),))</f>
        <v/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/>
      </c>
      <c r="F35" s="123" t="str">
        <f ca="1">IF(ROWS($1:22)&gt;COUNT(Dong1),"",IF(OFFSET(TH!M$1,SMALL(Dong1,ROWS($1:22)),)="1111",OFFSET(TH!L$1,SMALL(Dong1,ROWS($1:22)),),OFFSET(TH!M$1,SMALL(Dong1,ROWS($1:22)),)))</f>
        <v/>
      </c>
      <c r="G35" s="124" t="str">
        <f ca="1">IF(ROWS($1:22)&gt;COUNT(Dong1),"",IF(OFFSET(TH!L$1,SMALL(Dong1,ROWS($1:22)),)="1111",OFFSET(TH!K$1,SMALL(Dong1,ROWS($1:22)),),0))</f>
        <v/>
      </c>
      <c r="H35" s="122" t="str">
        <f ca="1">IF(ROWS($1:22)&gt;COUNT(Dong1),"",IF(OFFSET(TH!M$1,SMALL(Dong1,ROWS($1:22)),)="1111",OFFSET(TH!K$1,SMALL(Dong1,ROWS($1:22)),),0))</f>
        <v/>
      </c>
      <c r="I35" s="120">
        <f t="shared" ca="1" si="0"/>
        <v>0</v>
      </c>
      <c r="J35" s="125"/>
      <c r="N35" s="639"/>
      <c r="O35" s="639"/>
    </row>
    <row r="36" spans="1:15" ht="21.75" customHeight="1">
      <c r="A36" s="119" t="str">
        <f ca="1">IF(ROWS($1:23)&gt;COUNT(Dong1),"",OFFSET(TH!C$1,SMALL(Dong1,ROWS($1:23)),))</f>
        <v/>
      </c>
      <c r="B36" s="119" t="str">
        <f ca="1">IF(ROWS($1:23)&gt;COUNT(Dong1),"",OFFSET(TH!E$1,SMALL(Dong1,ROWS($1:23)),))</f>
        <v/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/>
      </c>
      <c r="F36" s="123" t="str">
        <f ca="1">IF(ROWS($1:23)&gt;COUNT(Dong1),"",IF(OFFSET(TH!M$1,SMALL(Dong1,ROWS($1:23)),)="1111",OFFSET(TH!L$1,SMALL(Dong1,ROWS($1:23)),),OFFSET(TH!M$1,SMALL(Dong1,ROWS($1:23)),)))</f>
        <v/>
      </c>
      <c r="G36" s="124" t="str">
        <f ca="1">IF(ROWS($1:23)&gt;COUNT(Dong1),"",IF(OFFSET(TH!L$1,SMALL(Dong1,ROWS($1:23)),)="1111",OFFSET(TH!K$1,SMALL(Dong1,ROWS($1:23)),),0))</f>
        <v/>
      </c>
      <c r="H36" s="122" t="str">
        <f ca="1">IF(ROWS($1:23)&gt;COUNT(Dong1),"",IF(OFFSET(TH!M$1,SMALL(Dong1,ROWS($1:23)),)="1111",OFFSET(TH!K$1,SMALL(Dong1,ROWS($1:23)),),0))</f>
        <v/>
      </c>
      <c r="I36" s="120">
        <f t="shared" ca="1" si="0"/>
        <v>0</v>
      </c>
      <c r="J36" s="125"/>
      <c r="N36" s="639"/>
      <c r="O36" s="639"/>
    </row>
    <row r="37" spans="1:15" ht="21.75" customHeight="1">
      <c r="A37" s="119" t="str">
        <f ca="1">IF(ROWS($1:24)&gt;COUNT(Dong1),"",OFFSET(TH!C$1,SMALL(Dong1,ROWS($1:24)),))</f>
        <v/>
      </c>
      <c r="B37" s="119" t="str">
        <f ca="1">IF(ROWS($1:24)&gt;COUNT(Dong1),"",OFFSET(TH!E$1,SMALL(Dong1,ROWS($1:24)),))</f>
        <v/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/>
      </c>
      <c r="F37" s="123" t="str">
        <f ca="1">IF(ROWS($1:24)&gt;COUNT(Dong1),"",IF(OFFSET(TH!M$1,SMALL(Dong1,ROWS($1:24)),)="1111",OFFSET(TH!L$1,SMALL(Dong1,ROWS($1:24)),),OFFSET(TH!M$1,SMALL(Dong1,ROWS($1:24)),)))</f>
        <v/>
      </c>
      <c r="G37" s="124" t="str">
        <f ca="1">IF(ROWS($1:24)&gt;COUNT(Dong1),"",IF(OFFSET(TH!L$1,SMALL(Dong1,ROWS($1:24)),)="1111",OFFSET(TH!K$1,SMALL(Dong1,ROWS($1:24)),),0))</f>
        <v/>
      </c>
      <c r="H37" s="122" t="str">
        <f ca="1">IF(ROWS($1:24)&gt;COUNT(Dong1),"",IF(OFFSET(TH!M$1,SMALL(Dong1,ROWS($1:24)),)="1111",OFFSET(TH!K$1,SMALL(Dong1,ROWS($1:24)),),0))</f>
        <v/>
      </c>
      <c r="I37" s="120">
        <f t="shared" ca="1" si="0"/>
        <v>0</v>
      </c>
      <c r="J37" s="125"/>
      <c r="N37" s="639"/>
      <c r="O37" s="639"/>
    </row>
    <row r="38" spans="1:15" ht="21.75" customHeight="1">
      <c r="A38" s="119" t="str">
        <f ca="1">IF(ROWS($1:25)&gt;COUNT(Dong1),"",OFFSET(TH!C$1,SMALL(Dong1,ROWS($1:25)),))</f>
        <v/>
      </c>
      <c r="B38" s="119" t="str">
        <f ca="1">IF(ROWS($1:25)&gt;COUNT(Dong1),"",OFFSET(TH!E$1,SMALL(Dong1,ROWS($1:25)),))</f>
        <v/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/>
      </c>
      <c r="F38" s="123" t="str">
        <f ca="1">IF(ROWS($1:25)&gt;COUNT(Dong1),"",IF(OFFSET(TH!M$1,SMALL(Dong1,ROWS($1:25)),)="1111",OFFSET(TH!L$1,SMALL(Dong1,ROWS($1:25)),),OFFSET(TH!M$1,SMALL(Dong1,ROWS($1:25)),)))</f>
        <v/>
      </c>
      <c r="G38" s="124" t="str">
        <f ca="1">IF(ROWS($1:25)&gt;COUNT(Dong1),"",IF(OFFSET(TH!L$1,SMALL(Dong1,ROWS($1:25)),)="1111",OFFSET(TH!K$1,SMALL(Dong1,ROWS($1:25)),),0))</f>
        <v/>
      </c>
      <c r="H38" s="122" t="str">
        <f ca="1">IF(ROWS($1:25)&gt;COUNT(Dong1),"",IF(OFFSET(TH!M$1,SMALL(Dong1,ROWS($1:25)),)="1111",OFFSET(TH!K$1,SMALL(Dong1,ROWS($1:25)),),0))</f>
        <v/>
      </c>
      <c r="I38" s="120">
        <f t="shared" ca="1" si="0"/>
        <v>0</v>
      </c>
      <c r="J38" s="125"/>
      <c r="N38" s="639"/>
      <c r="O38" s="639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639"/>
      <c r="O39" s="639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639"/>
      <c r="O40" s="639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639"/>
      <c r="O41" s="639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639"/>
      <c r="O42" s="639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639"/>
      <c r="O43" s="639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639"/>
      <c r="O44" s="639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39"/>
      <c r="O45" s="639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39"/>
      <c r="O46" s="639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39"/>
      <c r="O47" s="639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39"/>
      <c r="O48" s="639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39"/>
      <c r="O49" s="639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0</v>
      </c>
      <c r="H51" s="128">
        <f ca="1">SUM(H14:H50)</f>
        <v>0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0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e">
        <f ca="1">"- Ngày mở sổ: "&amp;DAY($A$14)&amp;"/"&amp;MONTH($A$14)&amp;"/ " &amp;YEAR($A$14)</f>
        <v>#VALUE!</v>
      </c>
      <c r="L55" s="245" t="s">
        <v>135</v>
      </c>
    </row>
    <row r="56" spans="1:15">
      <c r="I56" s="189" t="e">
        <f ca="1">"Ngày "&amp;IF(OR($L$11=4,$L$11=6,$L$11=9,$L$11=11),"30",IF($L$11=2,"28","31"))&amp;" tháng "&amp;$O$11&amp;"  năm  "&amp;YEAR($A$14)</f>
        <v>#VALUE!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1103" t="str">
        <f>TH!A2</f>
        <v>Địa chỉ: Thửa đất số 144, tờ bản đồ số 12TĐH.1, tổ 1, khu phố Đông Tác, Phường Tân Đông Hiệp, Thị Xã Dĩ An, Tỉnh Bình Dương, Việt Nam</v>
      </c>
      <c r="C2" s="1103"/>
      <c r="D2" s="1103"/>
      <c r="E2" s="1103"/>
      <c r="F2" s="1103"/>
      <c r="G2" s="1103"/>
      <c r="H2" s="1103"/>
      <c r="I2" s="1103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1103"/>
      <c r="C3" s="1103"/>
      <c r="D3" s="1103"/>
      <c r="E3" s="1103"/>
      <c r="F3" s="1103"/>
      <c r="G3" s="1103"/>
      <c r="H3" s="1103"/>
      <c r="I3" s="1103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92"/>
      <c r="R3" s="194"/>
      <c r="S3" s="195" t="s">
        <v>360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93"/>
      <c r="R4" s="80"/>
      <c r="S4" s="620">
        <v>1</v>
      </c>
      <c r="T4" s="80"/>
      <c r="U4" s="494" t="s">
        <v>4</v>
      </c>
      <c r="V4" s="106"/>
      <c r="W4" s="495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92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7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600"/>
      <c r="I1" s="224"/>
      <c r="K1" s="851"/>
      <c r="L1" s="851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61" t="e">
        <f ca="1">IF(YEAR($A$12)&gt;=2015,"(Ban hành theo Thông tư số 200/2014/TT-BTC 
 Ngày 22/12/2014 của Bộ Tài chính)","(Ban hành kèm theo QĐ 48/2006/QĐ-BTC ngày 24/09/2006 của Bộ trưởng BTC)")</f>
        <v>#VALUE!</v>
      </c>
      <c r="G2" s="961"/>
      <c r="H2" s="961"/>
      <c r="I2" s="225"/>
      <c r="K2" s="852"/>
      <c r="L2" s="852"/>
    </row>
    <row r="3" spans="1:20" s="139" customFormat="1" ht="16.5" customHeight="1">
      <c r="A3" s="176"/>
      <c r="B3" s="176"/>
      <c r="C3" s="176"/>
      <c r="D3" s="176"/>
      <c r="F3" s="961"/>
      <c r="G3" s="961"/>
      <c r="H3" s="961"/>
      <c r="I3" s="225"/>
    </row>
    <row r="4" spans="1:20" s="139" customFormat="1" ht="19.5" customHeight="1">
      <c r="A4" s="964" t="s">
        <v>137</v>
      </c>
      <c r="B4" s="964"/>
      <c r="C4" s="964"/>
      <c r="D4" s="964"/>
      <c r="E4" s="964"/>
      <c r="F4" s="964"/>
      <c r="G4" s="964"/>
      <c r="H4" s="964"/>
      <c r="I4" s="964"/>
    </row>
    <row r="5" spans="1:20" s="139" customFormat="1" ht="15">
      <c r="A5" s="965" t="str">
        <f>"Nơi mở tài khoản giao dịch:  "&amp;IF($M$9="ACB"," Ngân Hàng ACB"," Ngân Hàng Eximbank - Chi Nhánh Chợ Lớn")</f>
        <v>Nơi mở tài khoản giao dịch:   Ngân Hàng ACB</v>
      </c>
      <c r="B5" s="965"/>
      <c r="C5" s="965"/>
      <c r="D5" s="965"/>
      <c r="E5" s="965"/>
      <c r="F5" s="965"/>
      <c r="G5" s="965"/>
      <c r="H5" s="965"/>
      <c r="I5" s="965"/>
    </row>
    <row r="6" spans="1:20" s="139" customFormat="1" ht="15">
      <c r="D6" s="257" t="s">
        <v>158</v>
      </c>
      <c r="E6" s="965" t="str">
        <f>IF($M$9="ACB","100983119","1004 148 5104 6511")</f>
        <v>100983119</v>
      </c>
      <c r="F6" s="965"/>
      <c r="G6" s="965"/>
      <c r="H6" s="601" t="s">
        <v>108</v>
      </c>
      <c r="I6" s="258" t="str">
        <f>IF(H6="VNĐ","1121",IF(H6="USD","1122",""))</f>
        <v>1121</v>
      </c>
      <c r="N6" s="956" t="s">
        <v>352</v>
      </c>
      <c r="O6" s="956"/>
      <c r="Q6" s="962" t="s">
        <v>293</v>
      </c>
      <c r="R6" s="962" t="s">
        <v>353</v>
      </c>
      <c r="S6" s="962" t="s">
        <v>354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602"/>
      <c r="I7" s="143"/>
      <c r="Q7" s="963"/>
      <c r="R7" s="963"/>
      <c r="S7" s="963"/>
    </row>
    <row r="8" spans="1:20" s="144" customFormat="1" ht="22.5" customHeight="1" thickBot="1">
      <c r="A8" s="968" t="s">
        <v>138</v>
      </c>
      <c r="B8" s="970" t="s">
        <v>1</v>
      </c>
      <c r="C8" s="971"/>
      <c r="D8" s="966" t="s">
        <v>0</v>
      </c>
      <c r="E8" s="972" t="s">
        <v>14</v>
      </c>
      <c r="F8" s="974" t="s">
        <v>139</v>
      </c>
      <c r="G8" s="974"/>
      <c r="H8" s="971"/>
      <c r="I8" s="966" t="s">
        <v>127</v>
      </c>
      <c r="K8" s="137"/>
      <c r="L8" s="139"/>
      <c r="N8" s="609">
        <f>IF(K9="Quý I",1,IF(K9="Quý II",4,IF(K9="Quý III",7,IF(K9="Quý IV",10,""))))</f>
        <v>1</v>
      </c>
      <c r="O8" s="610">
        <f>IF(K9="Quý I",3,IF(K9="Quý II",6,IF(K9="Quý III",9,IF(K9="Quý IV",12,""))))</f>
        <v>3</v>
      </c>
      <c r="Q8" s="474" t="s">
        <v>294</v>
      </c>
      <c r="R8" s="475">
        <v>16336685</v>
      </c>
      <c r="S8" s="475">
        <v>1770433</v>
      </c>
      <c r="T8" s="476">
        <f>SUM(R8:S8)</f>
        <v>18107118</v>
      </c>
    </row>
    <row r="9" spans="1:20" s="144" customFormat="1" ht="22.5" customHeight="1" thickBot="1">
      <c r="A9" s="969"/>
      <c r="B9" s="145" t="s">
        <v>15</v>
      </c>
      <c r="C9" s="146" t="s">
        <v>140</v>
      </c>
      <c r="D9" s="967"/>
      <c r="E9" s="973"/>
      <c r="F9" s="250" t="s">
        <v>141</v>
      </c>
      <c r="G9" s="147" t="s">
        <v>142</v>
      </c>
      <c r="H9" s="603" t="s">
        <v>143</v>
      </c>
      <c r="I9" s="967"/>
      <c r="K9" s="177" t="s">
        <v>945</v>
      </c>
      <c r="L9" s="139"/>
      <c r="M9" s="473" t="s">
        <v>353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80"/>
      <c r="G11" s="480"/>
      <c r="H11" s="480">
        <f>IF($M$9="ACB",$R$8,$S$8)+SUMIF(_N112,"x",TH)-SUMIF(_C112,"x",TH)</f>
        <v>16336685</v>
      </c>
      <c r="I11" s="477"/>
      <c r="L11" s="139"/>
      <c r="Q11" s="144"/>
      <c r="R11" s="144"/>
      <c r="S11" s="144"/>
      <c r="T11" s="144"/>
    </row>
    <row r="12" spans="1:20" s="144" customFormat="1" ht="18.75" customHeight="1">
      <c r="A12" s="155" t="str">
        <f ca="1">IF(ROWS($1:1)&gt;COUNT(Dong2),"",OFFSET(TH!C$1,SMALL(Dong2,ROWS($1:1)),))</f>
        <v/>
      </c>
      <c r="B12" s="155" t="str">
        <f ca="1">IF(ROWS($1:1)&gt;COUNT(Dong2),"",OFFSET(TH!D$1,SMALL(Dong2,ROWS($1:1)),))</f>
        <v/>
      </c>
      <c r="C12" s="155" t="str">
        <f ca="1">IF(ROWS($1:1)&gt;COUNT(Dong2),"",OFFSET(TH!E$1,SMALL(Dong2,ROWS($1:1)),))</f>
        <v/>
      </c>
      <c r="D12" s="228" t="str">
        <f ca="1">IF(ROWS($1:1)&gt;COUNT(Dong2),"",OFFSET(TH!F$1,SMALL(Dong2,ROWS($1:1)),))</f>
        <v/>
      </c>
      <c r="E12" s="155" t="str">
        <f ca="1">IF(ROWS($1:1)&gt;COUNT(Dong2),"",IF(OFFSET(TH!M$1,SMALL(Dong2,ROWS($1:1)),)=$I$6,OFFSET(TH!L$1,SMALL(Dong2,ROWS($1:1)),),OFFSET(TH!M$1,SMALL(Dong2,ROWS($1:1)),)))</f>
        <v/>
      </c>
      <c r="F12" s="481" t="str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/>
      </c>
      <c r="G12" s="481" t="str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/>
      </c>
      <c r="H12" s="611">
        <f ca="1">IF(A12&lt;&gt;"",H11+F12-G12,0)</f>
        <v>0</v>
      </c>
      <c r="I12" s="478"/>
      <c r="L12" s="139"/>
    </row>
    <row r="13" spans="1:20" s="144" customFormat="1" ht="18.75" customHeight="1">
      <c r="A13" s="155" t="str">
        <f ca="1">IF(ROWS($1:2)&gt;COUNT(Dong2),"",OFFSET(TH!C$1,SMALL(Dong2,ROWS($1:2)),))</f>
        <v/>
      </c>
      <c r="B13" s="155" t="str">
        <f ca="1">IF(ROWS($1:2)&gt;COUNT(Dong2),"",OFFSET(TH!D$1,SMALL(Dong2,ROWS($1:2)),))</f>
        <v/>
      </c>
      <c r="C13" s="155" t="str">
        <f ca="1">IF(ROWS($1:2)&gt;COUNT(Dong2),"",OFFSET(TH!E$1,SMALL(Dong2,ROWS($1:2)),))</f>
        <v/>
      </c>
      <c r="D13" s="228" t="str">
        <f ca="1">IF(ROWS($1:2)&gt;COUNT(Dong2),"",OFFSET(TH!F$1,SMALL(Dong2,ROWS($1:2)),))</f>
        <v/>
      </c>
      <c r="E13" s="155" t="str">
        <f ca="1">IF(ROWS($1:2)&gt;COUNT(Dong2),"",IF(OFFSET(TH!M$1,SMALL(Dong2,ROWS($1:2)),)=$I$6,OFFSET(TH!L$1,SMALL(Dong2,ROWS($1:2)),),OFFSET(TH!M$1,SMALL(Dong2,ROWS($1:2)),)))</f>
        <v/>
      </c>
      <c r="F13" s="481" t="str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/>
      </c>
      <c r="G13" s="481" t="str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/>
      </c>
      <c r="H13" s="611">
        <f t="shared" ref="H13:H40" ca="1" si="0">IF(A13&lt;&gt;"",H12+F13-G13,0)</f>
        <v>0</v>
      </c>
      <c r="I13" s="478"/>
      <c r="L13" s="139"/>
    </row>
    <row r="14" spans="1:20" s="144" customFormat="1" ht="18.75" customHeight="1">
      <c r="A14" s="155" t="str">
        <f ca="1">IF(ROWS($1:3)&gt;COUNT(Dong2),"",OFFSET(TH!C$1,SMALL(Dong2,ROWS($1:3)),))</f>
        <v/>
      </c>
      <c r="B14" s="155" t="str">
        <f ca="1">IF(ROWS($1:3)&gt;COUNT(Dong2),"",OFFSET(TH!D$1,SMALL(Dong2,ROWS($1:3)),))</f>
        <v/>
      </c>
      <c r="C14" s="155" t="str">
        <f ca="1">IF(ROWS($1:3)&gt;COUNT(Dong2),"",OFFSET(TH!E$1,SMALL(Dong2,ROWS($1:3)),))</f>
        <v/>
      </c>
      <c r="D14" s="228" t="str">
        <f ca="1">IF(ROWS($1:3)&gt;COUNT(Dong2),"",OFFSET(TH!F$1,SMALL(Dong2,ROWS($1:3)),))</f>
        <v/>
      </c>
      <c r="E14" s="155" t="str">
        <f ca="1">IF(ROWS($1:3)&gt;COUNT(Dong2),"",IF(OFFSET(TH!M$1,SMALL(Dong2,ROWS($1:3)),)=$I$6,OFFSET(TH!L$1,SMALL(Dong2,ROWS($1:3)),),OFFSET(TH!M$1,SMALL(Dong2,ROWS($1:3)),)))</f>
        <v/>
      </c>
      <c r="F14" s="481" t="str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/>
      </c>
      <c r="G14" s="481" t="str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/>
      </c>
      <c r="H14" s="611">
        <f t="shared" ca="1" si="0"/>
        <v>0</v>
      </c>
      <c r="I14" s="478"/>
      <c r="L14" s="139"/>
    </row>
    <row r="15" spans="1:20" s="144" customFormat="1" ht="18.75" customHeight="1">
      <c r="A15" s="155" t="str">
        <f ca="1">IF(ROWS($1:4)&gt;COUNT(Dong2),"",OFFSET(TH!C$1,SMALL(Dong2,ROWS($1:4)),))</f>
        <v/>
      </c>
      <c r="B15" s="155" t="str">
        <f ca="1">IF(ROWS($1:4)&gt;COUNT(Dong2),"",OFFSET(TH!D$1,SMALL(Dong2,ROWS($1:4)),))</f>
        <v/>
      </c>
      <c r="C15" s="155" t="str">
        <f ca="1">IF(ROWS($1:4)&gt;COUNT(Dong2),"",OFFSET(TH!E$1,SMALL(Dong2,ROWS($1:4)),))</f>
        <v/>
      </c>
      <c r="D15" s="228" t="str">
        <f ca="1">IF(ROWS($1:4)&gt;COUNT(Dong2),"",OFFSET(TH!F$1,SMALL(Dong2,ROWS($1:4)),))</f>
        <v/>
      </c>
      <c r="E15" s="155" t="str">
        <f ca="1">IF(ROWS($1:4)&gt;COUNT(Dong2),"",IF(OFFSET(TH!M$1,SMALL(Dong2,ROWS($1:4)),)=$I$6,OFFSET(TH!L$1,SMALL(Dong2,ROWS($1:4)),),OFFSET(TH!M$1,SMALL(Dong2,ROWS($1:4)),)))</f>
        <v/>
      </c>
      <c r="F15" s="481" t="str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/>
      </c>
      <c r="G15" s="481" t="str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/>
      </c>
      <c r="H15" s="611">
        <f t="shared" ca="1" si="0"/>
        <v>0</v>
      </c>
      <c r="I15" s="478"/>
      <c r="L15" s="139"/>
    </row>
    <row r="16" spans="1:20" s="144" customFormat="1" ht="18.75" customHeight="1">
      <c r="A16" s="155" t="str">
        <f ca="1">IF(ROWS($1:5)&gt;COUNT(Dong2),"",OFFSET(TH!C$1,SMALL(Dong2,ROWS($1:5)),))</f>
        <v/>
      </c>
      <c r="B16" s="155" t="str">
        <f ca="1">IF(ROWS($1:5)&gt;COUNT(Dong2),"",OFFSET(TH!D$1,SMALL(Dong2,ROWS($1:5)),))</f>
        <v/>
      </c>
      <c r="C16" s="155" t="str">
        <f ca="1">IF(ROWS($1:5)&gt;COUNT(Dong2),"",OFFSET(TH!E$1,SMALL(Dong2,ROWS($1:5)),))</f>
        <v/>
      </c>
      <c r="D16" s="228" t="str">
        <f ca="1">IF(ROWS($1:5)&gt;COUNT(Dong2),"",OFFSET(TH!F$1,SMALL(Dong2,ROWS($1:5)),))</f>
        <v/>
      </c>
      <c r="E16" s="155" t="str">
        <f ca="1">IF(ROWS($1:5)&gt;COUNT(Dong2),"",IF(OFFSET(TH!M$1,SMALL(Dong2,ROWS($1:5)),)=$I$6,OFFSET(TH!L$1,SMALL(Dong2,ROWS($1:5)),),OFFSET(TH!M$1,SMALL(Dong2,ROWS($1:5)),)))</f>
        <v/>
      </c>
      <c r="F16" s="481" t="str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/>
      </c>
      <c r="G16" s="481" t="str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/>
      </c>
      <c r="H16" s="611">
        <f t="shared" ca="1" si="0"/>
        <v>0</v>
      </c>
      <c r="I16" s="478"/>
      <c r="L16" s="139"/>
    </row>
    <row r="17" spans="1:17" s="144" customFormat="1" ht="18.75" customHeight="1">
      <c r="A17" s="155" t="str">
        <f ca="1">IF(ROWS($1:6)&gt;COUNT(Dong2),"",OFFSET(TH!C$1,SMALL(Dong2,ROWS($1:6)),))</f>
        <v/>
      </c>
      <c r="B17" s="155" t="str">
        <f ca="1">IF(ROWS($1:6)&gt;COUNT(Dong2),"",OFFSET(TH!D$1,SMALL(Dong2,ROWS($1:6)),))</f>
        <v/>
      </c>
      <c r="C17" s="155" t="str">
        <f ca="1">IF(ROWS($1:6)&gt;COUNT(Dong2),"",OFFSET(TH!E$1,SMALL(Dong2,ROWS($1:6)),))</f>
        <v/>
      </c>
      <c r="D17" s="228" t="str">
        <f ca="1">IF(ROWS($1:6)&gt;COUNT(Dong2),"",OFFSET(TH!F$1,SMALL(Dong2,ROWS($1:6)),))</f>
        <v/>
      </c>
      <c r="E17" s="155" t="str">
        <f ca="1">IF(ROWS($1:6)&gt;COUNT(Dong2),"",IF(OFFSET(TH!M$1,SMALL(Dong2,ROWS($1:6)),)=$I$6,OFFSET(TH!L$1,SMALL(Dong2,ROWS($1:6)),),OFFSET(TH!M$1,SMALL(Dong2,ROWS($1:6)),)))</f>
        <v/>
      </c>
      <c r="F17" s="481" t="str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/>
      </c>
      <c r="G17" s="481" t="str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/>
      </c>
      <c r="H17" s="611">
        <f t="shared" ca="1" si="0"/>
        <v>0</v>
      </c>
      <c r="I17" s="478"/>
      <c r="L17" s="139"/>
    </row>
    <row r="18" spans="1:17" s="144" customFormat="1" ht="18.75" customHeight="1">
      <c r="A18" s="155" t="str">
        <f ca="1">IF(ROWS($1:7)&gt;COUNT(Dong2),"",OFFSET(TH!C$1,SMALL(Dong2,ROWS($1:7)),))</f>
        <v/>
      </c>
      <c r="B18" s="155" t="str">
        <f ca="1">IF(ROWS($1:7)&gt;COUNT(Dong2),"",OFFSET(TH!D$1,SMALL(Dong2,ROWS($1:7)),))</f>
        <v/>
      </c>
      <c r="C18" s="155" t="str">
        <f ca="1">IF(ROWS($1:7)&gt;COUNT(Dong2),"",OFFSET(TH!E$1,SMALL(Dong2,ROWS($1:7)),))</f>
        <v/>
      </c>
      <c r="D18" s="228" t="str">
        <f ca="1">IF(ROWS($1:7)&gt;COUNT(Dong2),"",OFFSET(TH!F$1,SMALL(Dong2,ROWS($1:7)),))</f>
        <v/>
      </c>
      <c r="E18" s="155" t="str">
        <f ca="1">IF(ROWS($1:7)&gt;COUNT(Dong2),"",IF(OFFSET(TH!M$1,SMALL(Dong2,ROWS($1:7)),)=$I$6,OFFSET(TH!L$1,SMALL(Dong2,ROWS($1:7)),),OFFSET(TH!M$1,SMALL(Dong2,ROWS($1:7)),)))</f>
        <v/>
      </c>
      <c r="F18" s="481" t="str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/>
      </c>
      <c r="G18" s="481" t="str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/>
      </c>
      <c r="H18" s="611">
        <f t="shared" ca="1" si="0"/>
        <v>0</v>
      </c>
      <c r="I18" s="478"/>
      <c r="L18" s="139"/>
    </row>
    <row r="19" spans="1:17" s="144" customFormat="1" ht="18.75" customHeight="1">
      <c r="A19" s="155" t="str">
        <f ca="1">IF(ROWS($1:8)&gt;COUNT(Dong2),"",OFFSET(TH!C$1,SMALL(Dong2,ROWS($1:8)),))</f>
        <v/>
      </c>
      <c r="B19" s="155" t="str">
        <f ca="1">IF(ROWS($1:8)&gt;COUNT(Dong2),"",OFFSET(TH!D$1,SMALL(Dong2,ROWS($1:8)),))</f>
        <v/>
      </c>
      <c r="C19" s="155" t="str">
        <f ca="1">IF(ROWS($1:8)&gt;COUNT(Dong2),"",OFFSET(TH!E$1,SMALL(Dong2,ROWS($1:8)),))</f>
        <v/>
      </c>
      <c r="D19" s="228" t="str">
        <f ca="1">IF(ROWS($1:8)&gt;COUNT(Dong2),"",OFFSET(TH!F$1,SMALL(Dong2,ROWS($1:8)),))</f>
        <v/>
      </c>
      <c r="E19" s="155" t="str">
        <f ca="1">IF(ROWS($1:8)&gt;COUNT(Dong2),"",IF(OFFSET(TH!M$1,SMALL(Dong2,ROWS($1:8)),)=$I$6,OFFSET(TH!L$1,SMALL(Dong2,ROWS($1:8)),),OFFSET(TH!M$1,SMALL(Dong2,ROWS($1:8)),)))</f>
        <v/>
      </c>
      <c r="F19" s="481" t="str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/>
      </c>
      <c r="G19" s="481" t="str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/>
      </c>
      <c r="H19" s="611">
        <f t="shared" ca="1" si="0"/>
        <v>0</v>
      </c>
      <c r="I19" s="478"/>
      <c r="L19" s="139"/>
    </row>
    <row r="20" spans="1:17" s="144" customFormat="1" ht="18.75" customHeight="1">
      <c r="A20" s="155" t="str">
        <f ca="1">IF(ROWS($1:9)&gt;COUNT(Dong2),"",OFFSET(TH!C$1,SMALL(Dong2,ROWS($1:9)),))</f>
        <v/>
      </c>
      <c r="B20" s="155" t="str">
        <f ca="1">IF(ROWS($1:9)&gt;COUNT(Dong2),"",OFFSET(TH!D$1,SMALL(Dong2,ROWS($1:9)),))</f>
        <v/>
      </c>
      <c r="C20" s="155" t="str">
        <f ca="1">IF(ROWS($1:9)&gt;COUNT(Dong2),"",OFFSET(TH!E$1,SMALL(Dong2,ROWS($1:9)),))</f>
        <v/>
      </c>
      <c r="D20" s="228" t="str">
        <f ca="1">IF(ROWS($1:9)&gt;COUNT(Dong2),"",OFFSET(TH!F$1,SMALL(Dong2,ROWS($1:9)),))</f>
        <v/>
      </c>
      <c r="E20" s="155" t="str">
        <f ca="1">IF(ROWS($1:9)&gt;COUNT(Dong2),"",IF(OFFSET(TH!M$1,SMALL(Dong2,ROWS($1:9)),)=$I$6,OFFSET(TH!L$1,SMALL(Dong2,ROWS($1:9)),),OFFSET(TH!M$1,SMALL(Dong2,ROWS($1:9)),)))</f>
        <v/>
      </c>
      <c r="F20" s="481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81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611">
        <f t="shared" ca="1" si="0"/>
        <v>0</v>
      </c>
      <c r="I20" s="478"/>
      <c r="L20" s="139"/>
    </row>
    <row r="21" spans="1:17" s="144" customFormat="1" ht="18.75" customHeight="1">
      <c r="A21" s="155" t="str">
        <f ca="1">IF(ROWS($1:10)&gt;COUNT(Dong2),"",OFFSET(TH!C$1,SMALL(Dong2,ROWS($1:10)),))</f>
        <v/>
      </c>
      <c r="B21" s="155" t="str">
        <f ca="1">IF(ROWS($1:10)&gt;COUNT(Dong2),"",OFFSET(TH!D$1,SMALL(Dong2,ROWS($1:10)),))</f>
        <v/>
      </c>
      <c r="C21" s="155" t="str">
        <f ca="1">IF(ROWS($1:10)&gt;COUNT(Dong2),"",OFFSET(TH!E$1,SMALL(Dong2,ROWS($1:10)),))</f>
        <v/>
      </c>
      <c r="D21" s="228" t="str">
        <f ca="1">IF(ROWS($1:10)&gt;COUNT(Dong2),"",OFFSET(TH!F$1,SMALL(Dong2,ROWS($1:10)),))</f>
        <v/>
      </c>
      <c r="E21" s="155" t="str">
        <f ca="1">IF(ROWS($1:10)&gt;COUNT(Dong2),"",IF(OFFSET(TH!M$1,SMALL(Dong2,ROWS($1:10)),)=$I$6,OFFSET(TH!L$1,SMALL(Dong2,ROWS($1:10)),),OFFSET(TH!M$1,SMALL(Dong2,ROWS($1:10)),)))</f>
        <v/>
      </c>
      <c r="F21" s="481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81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611">
        <f t="shared" ca="1" si="0"/>
        <v>0</v>
      </c>
      <c r="I21" s="478"/>
      <c r="L21" s="139"/>
      <c r="Q21" s="476"/>
    </row>
    <row r="22" spans="1:17" s="144" customFormat="1" ht="18.75" customHeight="1">
      <c r="A22" s="155" t="str">
        <f ca="1">IF(ROWS($1:11)&gt;COUNT(Dong2),"",OFFSET(TH!C$1,SMALL(Dong2,ROWS($1:11)),))</f>
        <v/>
      </c>
      <c r="B22" s="155" t="str">
        <f ca="1">IF(ROWS($1:11)&gt;COUNT(Dong2),"",OFFSET(TH!D$1,SMALL(Dong2,ROWS($1:11)),))</f>
        <v/>
      </c>
      <c r="C22" s="155" t="str">
        <f ca="1">IF(ROWS($1:11)&gt;COUNT(Dong2),"",OFFSET(TH!E$1,SMALL(Dong2,ROWS($1:11)),))</f>
        <v/>
      </c>
      <c r="D22" s="228" t="str">
        <f ca="1">IF(ROWS($1:11)&gt;COUNT(Dong2),"",OFFSET(TH!F$1,SMALL(Dong2,ROWS($1:11)),))</f>
        <v/>
      </c>
      <c r="E22" s="155" t="str">
        <f ca="1">IF(ROWS($1:11)&gt;COUNT(Dong2),"",IF(OFFSET(TH!M$1,SMALL(Dong2,ROWS($1:11)),)=$I$6,OFFSET(TH!L$1,SMALL(Dong2,ROWS($1:11)),),OFFSET(TH!M$1,SMALL(Dong2,ROWS($1:11)),)))</f>
        <v/>
      </c>
      <c r="F22" s="481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81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611">
        <f t="shared" ca="1" si="0"/>
        <v>0</v>
      </c>
      <c r="I22" s="478"/>
      <c r="L22" s="139"/>
    </row>
    <row r="23" spans="1:17" s="144" customFormat="1" ht="18.75" customHeight="1">
      <c r="A23" s="155" t="str">
        <f ca="1">IF(ROWS($1:12)&gt;COUNT(Dong2),"",OFFSET(TH!C$1,SMALL(Dong2,ROWS($1:12)),))</f>
        <v/>
      </c>
      <c r="B23" s="155" t="str">
        <f ca="1">IF(ROWS($1:12)&gt;COUNT(Dong2),"",OFFSET(TH!D$1,SMALL(Dong2,ROWS($1:12)),))</f>
        <v/>
      </c>
      <c r="C23" s="155" t="str">
        <f ca="1">IF(ROWS($1:12)&gt;COUNT(Dong2),"",OFFSET(TH!E$1,SMALL(Dong2,ROWS($1:12)),))</f>
        <v/>
      </c>
      <c r="D23" s="228" t="str">
        <f ca="1">IF(ROWS($1:12)&gt;COUNT(Dong2),"",OFFSET(TH!F$1,SMALL(Dong2,ROWS($1:12)),))</f>
        <v/>
      </c>
      <c r="E23" s="155" t="str">
        <f ca="1">IF(ROWS($1:12)&gt;COUNT(Dong2),"",IF(OFFSET(TH!M$1,SMALL(Dong2,ROWS($1:12)),)=$I$6,OFFSET(TH!L$1,SMALL(Dong2,ROWS($1:12)),),OFFSET(TH!M$1,SMALL(Dong2,ROWS($1:12)),)))</f>
        <v/>
      </c>
      <c r="F23" s="481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81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611">
        <f t="shared" ca="1" si="0"/>
        <v>0</v>
      </c>
      <c r="I23" s="478"/>
      <c r="L23" s="139"/>
      <c r="Q23" s="599"/>
    </row>
    <row r="24" spans="1:17" s="144" customFormat="1" ht="18.75" customHeight="1">
      <c r="A24" s="155" t="str">
        <f ca="1">IF(ROWS($1:13)&gt;COUNT(Dong2),"",OFFSET(TH!C$1,SMALL(Dong2,ROWS($1:13)),))</f>
        <v/>
      </c>
      <c r="B24" s="155" t="str">
        <f ca="1">IF(ROWS($1:13)&gt;COUNT(Dong2),"",OFFSET(TH!D$1,SMALL(Dong2,ROWS($1:13)),))</f>
        <v/>
      </c>
      <c r="C24" s="155" t="str">
        <f ca="1">IF(ROWS($1:13)&gt;COUNT(Dong2),"",OFFSET(TH!E$1,SMALL(Dong2,ROWS($1:13)),))</f>
        <v/>
      </c>
      <c r="D24" s="228" t="str">
        <f ca="1">IF(ROWS($1:13)&gt;COUNT(Dong2),"",OFFSET(TH!F$1,SMALL(Dong2,ROWS($1:13)),))</f>
        <v/>
      </c>
      <c r="E24" s="155" t="str">
        <f ca="1">IF(ROWS($1:13)&gt;COUNT(Dong2),"",IF(OFFSET(TH!M$1,SMALL(Dong2,ROWS($1:13)),)=$I$6,OFFSET(TH!L$1,SMALL(Dong2,ROWS($1:13)),),OFFSET(TH!M$1,SMALL(Dong2,ROWS($1:13)),)))</f>
        <v/>
      </c>
      <c r="F24" s="481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81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611">
        <f t="shared" ca="1" si="0"/>
        <v>0</v>
      </c>
      <c r="I24" s="478"/>
      <c r="L24" s="139"/>
    </row>
    <row r="25" spans="1:17" s="144" customFormat="1" ht="18.75" customHeight="1">
      <c r="A25" s="155" t="str">
        <f ca="1">IF(ROWS($1:14)&gt;COUNT(Dong2),"",OFFSET(TH!C$1,SMALL(Dong2,ROWS($1:14)),))</f>
        <v/>
      </c>
      <c r="B25" s="155" t="str">
        <f ca="1">IF(ROWS($1:14)&gt;COUNT(Dong2),"",OFFSET(TH!D$1,SMALL(Dong2,ROWS($1:14)),))</f>
        <v/>
      </c>
      <c r="C25" s="155" t="str">
        <f ca="1">IF(ROWS($1:14)&gt;COUNT(Dong2),"",OFFSET(TH!E$1,SMALL(Dong2,ROWS($1:14)),))</f>
        <v/>
      </c>
      <c r="D25" s="228" t="str">
        <f ca="1">IF(ROWS($1:14)&gt;COUNT(Dong2),"",OFFSET(TH!F$1,SMALL(Dong2,ROWS($1:14)),))</f>
        <v/>
      </c>
      <c r="E25" s="155" t="str">
        <f ca="1">IF(ROWS($1:14)&gt;COUNT(Dong2),"",IF(OFFSET(TH!M$1,SMALL(Dong2,ROWS($1:14)),)=$I$6,OFFSET(TH!L$1,SMALL(Dong2,ROWS($1:14)),),OFFSET(TH!M$1,SMALL(Dong2,ROWS($1:14)),)))</f>
        <v/>
      </c>
      <c r="F25" s="481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81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611">
        <f t="shared" ca="1" si="0"/>
        <v>0</v>
      </c>
      <c r="I25" s="478"/>
      <c r="L25" s="139"/>
    </row>
    <row r="26" spans="1:17" s="144" customFormat="1" ht="18.75" customHeight="1">
      <c r="A26" s="155" t="str">
        <f ca="1">IF(ROWS($1:15)&gt;COUNT(Dong2),"",OFFSET(TH!C$1,SMALL(Dong2,ROWS($1:15)),))</f>
        <v/>
      </c>
      <c r="B26" s="155" t="str">
        <f ca="1">IF(ROWS($1:15)&gt;COUNT(Dong2),"",OFFSET(TH!D$1,SMALL(Dong2,ROWS($1:15)),))</f>
        <v/>
      </c>
      <c r="C26" s="155" t="str">
        <f ca="1">IF(ROWS($1:15)&gt;COUNT(Dong2),"",OFFSET(TH!E$1,SMALL(Dong2,ROWS($1:15)),))</f>
        <v/>
      </c>
      <c r="D26" s="228" t="str">
        <f ca="1">IF(ROWS($1:15)&gt;COUNT(Dong2),"",OFFSET(TH!F$1,SMALL(Dong2,ROWS($1:15)),))</f>
        <v/>
      </c>
      <c r="E26" s="155" t="str">
        <f ca="1">IF(ROWS($1:15)&gt;COUNT(Dong2),"",IF(OFFSET(TH!M$1,SMALL(Dong2,ROWS($1:15)),)=$I$6,OFFSET(TH!L$1,SMALL(Dong2,ROWS($1:15)),),OFFSET(TH!M$1,SMALL(Dong2,ROWS($1:15)),)))</f>
        <v/>
      </c>
      <c r="F26" s="481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81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611">
        <f t="shared" ca="1" si="0"/>
        <v>0</v>
      </c>
      <c r="I26" s="478"/>
      <c r="L26" s="139"/>
    </row>
    <row r="27" spans="1:17" s="144" customFormat="1" ht="18.75" customHeight="1">
      <c r="A27" s="155" t="str">
        <f ca="1">IF(ROWS($1:16)&gt;COUNT(Dong2),"",OFFSET(TH!C$1,SMALL(Dong2,ROWS($1:16)),))</f>
        <v/>
      </c>
      <c r="B27" s="155" t="str">
        <f ca="1">IF(ROWS($1:16)&gt;COUNT(Dong2),"",OFFSET(TH!D$1,SMALL(Dong2,ROWS($1:16)),))</f>
        <v/>
      </c>
      <c r="C27" s="155" t="str">
        <f ca="1">IF(ROWS($1:16)&gt;COUNT(Dong2),"",OFFSET(TH!E$1,SMALL(Dong2,ROWS($1:16)),))</f>
        <v/>
      </c>
      <c r="D27" s="228" t="str">
        <f ca="1">IF(ROWS($1:16)&gt;COUNT(Dong2),"",OFFSET(TH!F$1,SMALL(Dong2,ROWS($1:16)),))</f>
        <v/>
      </c>
      <c r="E27" s="155" t="str">
        <f ca="1">IF(ROWS($1:16)&gt;COUNT(Dong2),"",IF(OFFSET(TH!M$1,SMALL(Dong2,ROWS($1:16)),)=$I$6,OFFSET(TH!L$1,SMALL(Dong2,ROWS($1:16)),),OFFSET(TH!M$1,SMALL(Dong2,ROWS($1:16)),)))</f>
        <v/>
      </c>
      <c r="F27" s="481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81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611">
        <f t="shared" ca="1" si="0"/>
        <v>0</v>
      </c>
      <c r="I27" s="478"/>
      <c r="L27" s="139"/>
    </row>
    <row r="28" spans="1:17" s="144" customFormat="1" ht="18.75" customHeight="1">
      <c r="A28" s="155" t="str">
        <f ca="1">IF(ROWS($1:17)&gt;COUNT(Dong2),"",OFFSET(TH!C$1,SMALL(Dong2,ROWS($1:17)),))</f>
        <v/>
      </c>
      <c r="B28" s="155" t="str">
        <f ca="1">IF(ROWS($1:17)&gt;COUNT(Dong2),"",OFFSET(TH!D$1,SMALL(Dong2,ROWS($1:17)),))</f>
        <v/>
      </c>
      <c r="C28" s="155" t="str">
        <f ca="1">IF(ROWS($1:17)&gt;COUNT(Dong2),"",OFFSET(TH!E$1,SMALL(Dong2,ROWS($1:17)),))</f>
        <v/>
      </c>
      <c r="D28" s="228" t="str">
        <f ca="1">IF(ROWS($1:17)&gt;COUNT(Dong2),"",OFFSET(TH!F$1,SMALL(Dong2,ROWS($1:17)),))</f>
        <v/>
      </c>
      <c r="E28" s="155" t="str">
        <f ca="1">IF(ROWS($1:17)&gt;COUNT(Dong2),"",IF(OFFSET(TH!M$1,SMALL(Dong2,ROWS($1:17)),)=$I$6,OFFSET(TH!L$1,SMALL(Dong2,ROWS($1:17)),),OFFSET(TH!M$1,SMALL(Dong2,ROWS($1:17)),)))</f>
        <v/>
      </c>
      <c r="F28" s="481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81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611">
        <f t="shared" ca="1" si="0"/>
        <v>0</v>
      </c>
      <c r="I28" s="478"/>
      <c r="L28" s="139"/>
    </row>
    <row r="29" spans="1:17" s="144" customFormat="1" ht="18.75" customHeight="1">
      <c r="A29" s="155" t="str">
        <f ca="1">IF(ROWS($1:18)&gt;COUNT(Dong2),"",OFFSET(TH!C$1,SMALL(Dong2,ROWS($1:18)),))</f>
        <v/>
      </c>
      <c r="B29" s="155" t="str">
        <f ca="1">IF(ROWS($1:18)&gt;COUNT(Dong2),"",OFFSET(TH!D$1,SMALL(Dong2,ROWS($1:18)),))</f>
        <v/>
      </c>
      <c r="C29" s="155" t="str">
        <f ca="1">IF(ROWS($1:18)&gt;COUNT(Dong2),"",OFFSET(TH!E$1,SMALL(Dong2,ROWS($1:18)),))</f>
        <v/>
      </c>
      <c r="D29" s="228" t="str">
        <f ca="1">IF(ROWS($1:18)&gt;COUNT(Dong2),"",OFFSET(TH!F$1,SMALL(Dong2,ROWS($1:18)),))</f>
        <v/>
      </c>
      <c r="E29" s="155" t="str">
        <f ca="1">IF(ROWS($1:18)&gt;COUNT(Dong2),"",IF(OFFSET(TH!M$1,SMALL(Dong2,ROWS($1:18)),)=$I$6,OFFSET(TH!L$1,SMALL(Dong2,ROWS($1:18)),),OFFSET(TH!M$1,SMALL(Dong2,ROWS($1:18)),)))</f>
        <v/>
      </c>
      <c r="F29" s="481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81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611">
        <f t="shared" ca="1" si="0"/>
        <v>0</v>
      </c>
      <c r="I29" s="478"/>
      <c r="L29" s="139"/>
    </row>
    <row r="30" spans="1:17" s="144" customFormat="1" ht="18.75" customHeight="1">
      <c r="A30" s="155" t="str">
        <f ca="1">IF(ROWS($1:19)&gt;COUNT(Dong2),"",OFFSET(TH!C$1,SMALL(Dong2,ROWS($1:19)),))</f>
        <v/>
      </c>
      <c r="B30" s="155" t="str">
        <f ca="1">IF(ROWS($1:19)&gt;COUNT(Dong2),"",OFFSET(TH!D$1,SMALL(Dong2,ROWS($1:19)),))</f>
        <v/>
      </c>
      <c r="C30" s="155" t="str">
        <f ca="1">IF(ROWS($1:19)&gt;COUNT(Dong2),"",OFFSET(TH!E$1,SMALL(Dong2,ROWS($1:19)),))</f>
        <v/>
      </c>
      <c r="D30" s="228" t="str">
        <f ca="1">IF(ROWS($1:19)&gt;COUNT(Dong2),"",OFFSET(TH!F$1,SMALL(Dong2,ROWS($1:19)),))</f>
        <v/>
      </c>
      <c r="E30" s="155" t="str">
        <f ca="1">IF(ROWS($1:19)&gt;COUNT(Dong2),"",IF(OFFSET(TH!M$1,SMALL(Dong2,ROWS($1:19)),)=$I$6,OFFSET(TH!L$1,SMALL(Dong2,ROWS($1:19)),),OFFSET(TH!M$1,SMALL(Dong2,ROWS($1:19)),)))</f>
        <v/>
      </c>
      <c r="F30" s="481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81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611">
        <f t="shared" ca="1" si="0"/>
        <v>0</v>
      </c>
      <c r="I30" s="478"/>
      <c r="L30" s="139"/>
    </row>
    <row r="31" spans="1:17" s="144" customFormat="1" ht="18.75" customHeight="1">
      <c r="A31" s="155" t="str">
        <f ca="1">IF(ROWS($1:20)&gt;COUNT(Dong2),"",OFFSET(TH!C$1,SMALL(Dong2,ROWS($1:20)),))</f>
        <v/>
      </c>
      <c r="B31" s="155" t="str">
        <f ca="1">IF(ROWS($1:20)&gt;COUNT(Dong2),"",OFFSET(TH!D$1,SMALL(Dong2,ROWS($1:20)),))</f>
        <v/>
      </c>
      <c r="C31" s="155" t="str">
        <f ca="1">IF(ROWS($1:20)&gt;COUNT(Dong2),"",OFFSET(TH!E$1,SMALL(Dong2,ROWS($1:20)),))</f>
        <v/>
      </c>
      <c r="D31" s="228" t="str">
        <f ca="1">IF(ROWS($1:20)&gt;COUNT(Dong2),"",OFFSET(TH!F$1,SMALL(Dong2,ROWS($1:20)),))</f>
        <v/>
      </c>
      <c r="E31" s="155" t="str">
        <f ca="1">IF(ROWS($1:20)&gt;COUNT(Dong2),"",IF(OFFSET(TH!M$1,SMALL(Dong2,ROWS($1:20)),)=$I$6,OFFSET(TH!L$1,SMALL(Dong2,ROWS($1:20)),),OFFSET(TH!M$1,SMALL(Dong2,ROWS($1:20)),)))</f>
        <v/>
      </c>
      <c r="F31" s="481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81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611">
        <f t="shared" ca="1" si="0"/>
        <v>0</v>
      </c>
      <c r="I31" s="478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28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81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81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11">
        <f t="shared" ca="1" si="0"/>
        <v>0</v>
      </c>
      <c r="I32" s="478"/>
      <c r="L32" s="139"/>
    </row>
    <row r="33" spans="1:20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28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81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81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11">
        <f t="shared" ca="1" si="0"/>
        <v>0</v>
      </c>
      <c r="I33" s="478"/>
      <c r="L33" s="139"/>
    </row>
    <row r="34" spans="1:20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28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81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81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11">
        <f t="shared" ca="1" si="0"/>
        <v>0</v>
      </c>
      <c r="I34" s="478"/>
      <c r="L34" s="139"/>
    </row>
    <row r="35" spans="1:20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28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81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81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11">
        <f t="shared" ca="1" si="0"/>
        <v>0</v>
      </c>
      <c r="I35" s="478"/>
      <c r="L35" s="139"/>
    </row>
    <row r="36" spans="1:20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28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81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81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11">
        <f t="shared" ca="1" si="0"/>
        <v>0</v>
      </c>
      <c r="I36" s="478"/>
      <c r="L36" s="139"/>
    </row>
    <row r="37" spans="1:20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28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81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81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11">
        <f t="shared" ca="1" si="0"/>
        <v>0</v>
      </c>
      <c r="I37" s="478"/>
      <c r="L37" s="139"/>
    </row>
    <row r="38" spans="1:20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28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81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81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11">
        <f t="shared" ca="1" si="0"/>
        <v>0</v>
      </c>
      <c r="I38" s="478"/>
      <c r="L38" s="139"/>
    </row>
    <row r="39" spans="1:20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28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81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81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11">
        <f t="shared" ca="1" si="0"/>
        <v>0</v>
      </c>
      <c r="I39" s="478"/>
      <c r="L39" s="139"/>
    </row>
    <row r="40" spans="1:20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28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81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81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11">
        <f t="shared" ca="1" si="0"/>
        <v>0</v>
      </c>
      <c r="I40" s="478"/>
    </row>
    <row r="41" spans="1:20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28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81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81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11">
        <f t="shared" ref="H41:H43" ca="1" si="1">IF(A41&lt;&gt;"",H40+F41-G41,0)</f>
        <v>0</v>
      </c>
      <c r="I41" s="478"/>
    </row>
    <row r="42" spans="1:20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28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81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81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11">
        <f t="shared" ca="1" si="1"/>
        <v>0</v>
      </c>
      <c r="I42" s="478"/>
    </row>
    <row r="43" spans="1:20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28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81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81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11">
        <f t="shared" ca="1" si="1"/>
        <v>0</v>
      </c>
      <c r="I43" s="478"/>
    </row>
    <row r="44" spans="1:20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28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8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8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11">
        <f t="shared" ref="H44" ca="1" si="2">IF(A44&lt;&gt;"",H43+F44-G44,0)</f>
        <v>0</v>
      </c>
      <c r="I44" s="478"/>
    </row>
    <row r="45" spans="1:20" s="144" customFormat="1" ht="18.75" customHeight="1">
      <c r="A45" s="155"/>
      <c r="B45" s="155"/>
      <c r="C45" s="155"/>
      <c r="D45" s="228"/>
      <c r="E45" s="155"/>
      <c r="F45" s="481"/>
      <c r="G45" s="481"/>
      <c r="H45" s="611"/>
      <c r="I45" s="478"/>
      <c r="Q45" s="154"/>
      <c r="R45" s="154"/>
      <c r="S45" s="154"/>
      <c r="T45" s="154"/>
    </row>
    <row r="46" spans="1:20" s="154" customFormat="1" ht="18.75" customHeight="1">
      <c r="A46" s="156"/>
      <c r="B46" s="157"/>
      <c r="C46" s="156"/>
      <c r="D46" s="153" t="s">
        <v>133</v>
      </c>
      <c r="E46" s="158"/>
      <c r="F46" s="480">
        <f ca="1">SUM(F12:F45)</f>
        <v>0</v>
      </c>
      <c r="G46" s="480">
        <f ca="1">SUM(G12:G45)</f>
        <v>0</v>
      </c>
      <c r="H46" s="480">
        <f ca="1">H11+F46-G46</f>
        <v>16336685</v>
      </c>
      <c r="I46" s="479"/>
    </row>
    <row r="47" spans="1:20" s="154" customFormat="1" ht="18.75" customHeight="1">
      <c r="A47" s="156"/>
      <c r="B47" s="157"/>
      <c r="C47" s="156"/>
      <c r="D47" s="153" t="s">
        <v>10</v>
      </c>
      <c r="E47" s="158"/>
      <c r="F47" s="159"/>
      <c r="G47" s="159"/>
      <c r="H47" s="480">
        <f ca="1">H46</f>
        <v>16336685</v>
      </c>
      <c r="I47" s="158"/>
    </row>
    <row r="48" spans="1:20" s="154" customFormat="1" ht="22.5" customHeight="1">
      <c r="A48" s="245" t="s">
        <v>155</v>
      </c>
      <c r="B48" s="160"/>
      <c r="F48" s="161"/>
      <c r="H48" s="604"/>
      <c r="I48" s="162"/>
    </row>
    <row r="49" spans="1:20" s="154" customFormat="1" ht="12.75">
      <c r="A49" s="179" t="e">
        <f ca="1">"- Ngày mở sổ: "&amp;DAY($A$12)&amp;"/"&amp;MONTH($A$12)&amp;"/ " &amp;YEAR($A$12)</f>
        <v>#VALUE!</v>
      </c>
      <c r="B49" s="163"/>
      <c r="F49" s="161"/>
      <c r="H49" s="604"/>
      <c r="I49" s="162"/>
    </row>
    <row r="50" spans="1:20" s="154" customFormat="1" ht="12.75">
      <c r="A50" s="164"/>
      <c r="B50" s="165"/>
      <c r="C50" s="166"/>
      <c r="F50" s="161"/>
      <c r="G50" s="189" t="e">
        <f ca="1">"Ngày "&amp;IF(OR($K$9=4,$K$9=6,$K$9=9,$K$9=11),"30",IF($K$9=2,"28","31"))&amp;"  tháng  "&amp;$O$8&amp;"  năm   "&amp;YEAR($A$12)</f>
        <v>#VALUE!</v>
      </c>
      <c r="H50" s="604"/>
    </row>
    <row r="51" spans="1:20" s="154" customFormat="1" ht="17.25" customHeight="1">
      <c r="B51" s="167" t="s">
        <v>11</v>
      </c>
      <c r="D51" s="167" t="s">
        <v>12</v>
      </c>
      <c r="F51" s="168"/>
      <c r="G51" s="210" t="s">
        <v>109</v>
      </c>
      <c r="H51" s="605"/>
      <c r="I51" s="229"/>
      <c r="J51" s="169"/>
      <c r="K51" s="164"/>
      <c r="L51" s="164"/>
    </row>
    <row r="52" spans="1:20" s="154" customFormat="1">
      <c r="B52" s="211" t="s">
        <v>13</v>
      </c>
      <c r="D52" s="170" t="s">
        <v>13</v>
      </c>
      <c r="F52" s="171"/>
      <c r="G52" s="212" t="s">
        <v>136</v>
      </c>
      <c r="H52" s="604"/>
      <c r="K52" s="172"/>
      <c r="L52" s="172"/>
      <c r="Q52" s="173"/>
      <c r="R52" s="173"/>
      <c r="S52" s="173"/>
      <c r="T52" s="173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3" workbookViewId="0">
      <pane ySplit="3" topLeftCell="A21" activePane="bottomLeft" state="frozen"/>
      <selection activeCell="A3" sqref="A3"/>
      <selection pane="bottomLeft" activeCell="B6" sqref="B6:B4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76" t="str">
        <f>TH!$A$1</f>
        <v>Đơn vị: CÔNG TY TNHH MỘT THÀNH VIÊN KHỞI NGUYÊN AN</v>
      </c>
    </row>
    <row r="2" spans="1:9">
      <c r="A2" s="87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76" t="s">
        <v>359</v>
      </c>
      <c r="B3" s="976"/>
      <c r="C3" s="976"/>
      <c r="D3" s="976"/>
      <c r="E3" s="976"/>
      <c r="F3" s="976"/>
      <c r="G3" s="976"/>
      <c r="H3" s="976"/>
    </row>
    <row r="4" spans="1:9" s="10" customFormat="1" ht="14.25" customHeight="1">
      <c r="A4" s="977" t="s">
        <v>35</v>
      </c>
      <c r="B4" s="979" t="s">
        <v>36</v>
      </c>
      <c r="C4" s="981" t="s">
        <v>37</v>
      </c>
      <c r="D4" s="982"/>
      <c r="E4" s="981" t="s">
        <v>38</v>
      </c>
      <c r="F4" s="982"/>
      <c r="G4" s="981" t="s">
        <v>41</v>
      </c>
      <c r="H4" s="982"/>
    </row>
    <row r="5" spans="1:9" s="10" customFormat="1" ht="14.25" customHeight="1">
      <c r="A5" s="978"/>
      <c r="B5" s="980"/>
      <c r="C5" s="617" t="s">
        <v>42</v>
      </c>
      <c r="D5" s="617" t="s">
        <v>43</v>
      </c>
      <c r="E5" s="617" t="s">
        <v>42</v>
      </c>
      <c r="F5" s="617" t="s">
        <v>43</v>
      </c>
      <c r="G5" s="617" t="s">
        <v>42</v>
      </c>
      <c r="H5" s="617" t="s">
        <v>43</v>
      </c>
    </row>
    <row r="6" spans="1:9" s="10" customFormat="1" ht="16.5" customHeight="1">
      <c r="A6" s="6" t="str">
        <f t="shared" ref="A6:A42" si="0">IF(B6&lt;&gt;"",ROW()-5,"")</f>
        <v/>
      </c>
      <c r="B6" s="192"/>
      <c r="C6" s="8"/>
      <c r="D6" s="8"/>
      <c r="E6" s="8">
        <f t="array" ref="E6">SUM(IF("131"&amp;B6=KHN&amp;KH,TH))</f>
        <v>0</v>
      </c>
      <c r="F6" s="8">
        <f t="array" ref="F6">SUM(IF("131"&amp;B6=KHC&amp;KH,TH))</f>
        <v>0</v>
      </c>
      <c r="G6" s="55">
        <f t="shared" ref="G6:G42" si="1">ROUND(MAX(C6+E6-D6-F6,0),2)</f>
        <v>0</v>
      </c>
      <c r="H6" s="55">
        <f t="shared" ref="H6:H42" si="2">ROUND(MAX(D6+F6-C6-E6,0),2)</f>
        <v>0</v>
      </c>
      <c r="I6" s="10" t="str">
        <f>IF(ISNA(VLOOKUP(B6,'[5]131'!$B$4:$B$26,1,0)),"","x")</f>
        <v/>
      </c>
    </row>
    <row r="7" spans="1:9" s="10" customFormat="1" ht="16.5" customHeight="1">
      <c r="A7" s="6" t="str">
        <f t="shared" si="0"/>
        <v/>
      </c>
      <c r="B7" s="192"/>
      <c r="C7" s="8"/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 t="str">
        <f t="shared" si="0"/>
        <v/>
      </c>
      <c r="B8" s="192"/>
      <c r="C8" s="8"/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 t="str">
        <f t="shared" si="0"/>
        <v/>
      </c>
      <c r="B9" s="192"/>
      <c r="C9" s="8"/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55">
        <f t="shared" si="1"/>
        <v>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 t="str">
        <f t="shared" si="0"/>
        <v/>
      </c>
      <c r="B10" s="890"/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IF(ISNA(VLOOKUP(B10,'[5]131'!$B$4:$B$26,1,0)),"","x")</f>
        <v/>
      </c>
    </row>
    <row r="11" spans="1:9" s="10" customFormat="1" ht="16.5" customHeight="1">
      <c r="A11" s="6" t="str">
        <f t="shared" si="0"/>
        <v/>
      </c>
      <c r="B11" s="192"/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IF(ISNA(VLOOKUP(B11,'[5]131'!$B$4:$B$26,1,0)),"","x")</f>
        <v/>
      </c>
    </row>
    <row r="12" spans="1:9" s="10" customFormat="1" ht="16.5" customHeight="1">
      <c r="A12" s="6" t="str">
        <f t="shared" si="0"/>
        <v/>
      </c>
      <c r="B12" s="204"/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 t="shared" si="1"/>
        <v>0</v>
      </c>
      <c r="H12" s="55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 t="str">
        <f t="shared" si="0"/>
        <v/>
      </c>
      <c r="B13" s="192"/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808">
        <f t="shared" si="1"/>
        <v>0</v>
      </c>
      <c r="H13" s="808">
        <f t="shared" si="2"/>
        <v>0</v>
      </c>
    </row>
    <row r="14" spans="1:9" s="10" customFormat="1" ht="16.5" customHeight="1">
      <c r="A14" s="6" t="str">
        <f t="shared" si="0"/>
        <v/>
      </c>
      <c r="B14" s="192"/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808">
        <f t="shared" si="1"/>
        <v>0</v>
      </c>
      <c r="H14" s="808">
        <f t="shared" si="2"/>
        <v>0</v>
      </c>
    </row>
    <row r="15" spans="1:9" s="10" customFormat="1" ht="16.5" customHeight="1">
      <c r="A15" s="6" t="str">
        <f t="shared" si="0"/>
        <v/>
      </c>
      <c r="B15" s="192"/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0</v>
      </c>
      <c r="G15" s="808">
        <f t="shared" si="1"/>
        <v>0</v>
      </c>
      <c r="H15" s="808">
        <f t="shared" si="2"/>
        <v>0</v>
      </c>
    </row>
    <row r="16" spans="1:9" s="10" customFormat="1" ht="16.5" customHeight="1">
      <c r="A16" s="6" t="str">
        <f t="shared" si="0"/>
        <v/>
      </c>
      <c r="B16" s="890"/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808">
        <f t="shared" si="1"/>
        <v>0</v>
      </c>
      <c r="H16" s="808">
        <f t="shared" si="2"/>
        <v>0</v>
      </c>
    </row>
    <row r="17" spans="1:8" s="10" customFormat="1" ht="16.5" customHeight="1">
      <c r="A17" s="6" t="str">
        <f t="shared" si="0"/>
        <v/>
      </c>
      <c r="B17" s="892"/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808">
        <f t="shared" si="1"/>
        <v>0</v>
      </c>
      <c r="H17" s="808">
        <f t="shared" si="2"/>
        <v>0</v>
      </c>
    </row>
    <row r="18" spans="1:8" s="10" customFormat="1" ht="16.5" customHeight="1">
      <c r="A18" s="6" t="str">
        <f t="shared" si="0"/>
        <v/>
      </c>
      <c r="B18" s="192"/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808">
        <f t="shared" si="1"/>
        <v>0</v>
      </c>
      <c r="H18" s="808">
        <f t="shared" si="2"/>
        <v>0</v>
      </c>
    </row>
    <row r="19" spans="1:8" s="10" customFormat="1" ht="16.5" customHeight="1">
      <c r="A19" s="6" t="str">
        <f t="shared" si="0"/>
        <v/>
      </c>
      <c r="B19" s="192"/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808">
        <f t="shared" si="1"/>
        <v>0</v>
      </c>
      <c r="H19" s="808">
        <f t="shared" si="2"/>
        <v>0</v>
      </c>
    </row>
    <row r="20" spans="1:8" s="10" customFormat="1" ht="16.5" customHeight="1">
      <c r="A20" s="6" t="str">
        <f t="shared" si="0"/>
        <v/>
      </c>
      <c r="B20" s="204"/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808">
        <f t="shared" si="1"/>
        <v>0</v>
      </c>
      <c r="H20" s="808">
        <f t="shared" si="2"/>
        <v>0</v>
      </c>
    </row>
    <row r="21" spans="1:8" s="10" customFormat="1" ht="16.5" customHeight="1">
      <c r="A21" s="6" t="str">
        <f t="shared" si="0"/>
        <v/>
      </c>
      <c r="B21" s="192"/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0</v>
      </c>
      <c r="G21" s="808">
        <f t="shared" si="1"/>
        <v>0</v>
      </c>
      <c r="H21" s="808">
        <f t="shared" si="2"/>
        <v>0</v>
      </c>
    </row>
    <row r="22" spans="1:8" s="10" customFormat="1" ht="16.5" customHeight="1">
      <c r="A22" s="6" t="str">
        <f t="shared" si="0"/>
        <v/>
      </c>
      <c r="B22" s="192"/>
      <c r="C22" s="8"/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808">
        <f t="shared" si="1"/>
        <v>0</v>
      </c>
      <c r="H22" s="808">
        <f t="shared" si="2"/>
        <v>0</v>
      </c>
    </row>
    <row r="23" spans="1:8" s="10" customFormat="1" ht="16.5" customHeight="1">
      <c r="A23" s="6" t="str">
        <f t="shared" si="0"/>
        <v/>
      </c>
      <c r="B23" s="204"/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808">
        <f t="shared" si="1"/>
        <v>0</v>
      </c>
      <c r="H23" s="808">
        <f t="shared" si="2"/>
        <v>0</v>
      </c>
    </row>
    <row r="24" spans="1:8" s="10" customFormat="1" ht="16.5" customHeight="1">
      <c r="A24" s="6" t="str">
        <f t="shared" si="0"/>
        <v/>
      </c>
      <c r="B24" s="192"/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808">
        <f t="shared" si="1"/>
        <v>0</v>
      </c>
      <c r="H24" s="808">
        <f t="shared" si="2"/>
        <v>0</v>
      </c>
    </row>
    <row r="25" spans="1:8" s="10" customFormat="1" ht="16.5" customHeight="1">
      <c r="A25" s="6" t="str">
        <f t="shared" si="0"/>
        <v/>
      </c>
      <c r="B25" s="192"/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0</v>
      </c>
      <c r="G25" s="808">
        <f t="shared" si="1"/>
        <v>0</v>
      </c>
      <c r="H25" s="808">
        <f t="shared" si="2"/>
        <v>0</v>
      </c>
    </row>
    <row r="26" spans="1:8" s="10" customFormat="1" ht="16.5" customHeight="1">
      <c r="A26" s="6" t="str">
        <f t="shared" si="0"/>
        <v/>
      </c>
      <c r="B26" s="192"/>
      <c r="C26" s="8"/>
      <c r="D26" s="8"/>
      <c r="E26" s="8">
        <f t="array" ref="E26">SUM(IF("131"&amp;B26=KHN&amp;KH,TH))</f>
        <v>0</v>
      </c>
      <c r="F26" s="8">
        <f t="array" ref="F26">SUM(IF("131"&amp;B26=KHC&amp;KH,TH))</f>
        <v>0</v>
      </c>
      <c r="G26" s="808">
        <f t="shared" si="1"/>
        <v>0</v>
      </c>
      <c r="H26" s="808">
        <f t="shared" si="2"/>
        <v>0</v>
      </c>
    </row>
    <row r="27" spans="1:8" s="10" customFormat="1" ht="16.5" customHeight="1">
      <c r="A27" s="6" t="str">
        <f t="shared" si="0"/>
        <v/>
      </c>
      <c r="B27" s="192"/>
      <c r="C27" s="8"/>
      <c r="D27" s="8"/>
      <c r="E27" s="8">
        <f t="array" ref="E27">SUM(IF("131"&amp;B27=KHN&amp;KH,TH))</f>
        <v>0</v>
      </c>
      <c r="F27" s="8">
        <f t="array" ref="F27">SUM(IF("131"&amp;B27=KHC&amp;KH,TH))</f>
        <v>0</v>
      </c>
      <c r="G27" s="808">
        <f t="shared" si="1"/>
        <v>0</v>
      </c>
      <c r="H27" s="808">
        <f t="shared" si="2"/>
        <v>0</v>
      </c>
    </row>
    <row r="28" spans="1:8" s="10" customFormat="1" ht="16.5" customHeight="1">
      <c r="A28" s="6" t="str">
        <f t="shared" si="0"/>
        <v/>
      </c>
      <c r="B28" s="192"/>
      <c r="C28" s="8"/>
      <c r="D28" s="8"/>
      <c r="E28" s="8">
        <f t="array" ref="E28">SUM(IF("131"&amp;B28=KHN&amp;KH,TH))</f>
        <v>0</v>
      </c>
      <c r="F28" s="8">
        <f t="array" ref="F28">SUM(IF("131"&amp;B28=KHC&amp;KH,TH))</f>
        <v>0</v>
      </c>
      <c r="G28" s="808">
        <f t="shared" si="1"/>
        <v>0</v>
      </c>
      <c r="H28" s="808">
        <f t="shared" si="2"/>
        <v>0</v>
      </c>
    </row>
    <row r="29" spans="1:8" s="10" customFormat="1" ht="16.5" customHeight="1">
      <c r="A29" s="6" t="str">
        <f t="shared" si="0"/>
        <v/>
      </c>
      <c r="B29" s="192"/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0</v>
      </c>
      <c r="G29" s="808">
        <f t="shared" si="1"/>
        <v>0</v>
      </c>
      <c r="H29" s="808">
        <f t="shared" si="2"/>
        <v>0</v>
      </c>
    </row>
    <row r="30" spans="1:8" s="10" customFormat="1" ht="16.5" customHeight="1">
      <c r="A30" s="6" t="str">
        <f t="shared" si="0"/>
        <v/>
      </c>
      <c r="B30" s="192"/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0</v>
      </c>
      <c r="G30" s="808">
        <f t="shared" si="1"/>
        <v>0</v>
      </c>
      <c r="H30" s="808">
        <f t="shared" si="2"/>
        <v>0</v>
      </c>
    </row>
    <row r="31" spans="1:8" s="10" customFormat="1" ht="16.5" customHeight="1">
      <c r="A31" s="6" t="str">
        <f t="shared" si="0"/>
        <v/>
      </c>
      <c r="B31" s="7"/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0</v>
      </c>
      <c r="G31" s="808">
        <f t="shared" si="1"/>
        <v>0</v>
      </c>
      <c r="H31" s="808">
        <f t="shared" si="2"/>
        <v>0</v>
      </c>
    </row>
    <row r="32" spans="1:8" s="10" customFormat="1" ht="16.5" customHeight="1">
      <c r="A32" s="6" t="str">
        <f t="shared" si="0"/>
        <v/>
      </c>
      <c r="B32" s="7"/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0</v>
      </c>
      <c r="G32" s="808">
        <f t="shared" si="1"/>
        <v>0</v>
      </c>
      <c r="H32" s="808">
        <f t="shared" si="2"/>
        <v>0</v>
      </c>
    </row>
    <row r="33" spans="1:9" s="10" customFormat="1" ht="16.5" customHeight="1">
      <c r="A33" s="6" t="str">
        <f t="shared" si="0"/>
        <v/>
      </c>
      <c r="B33" s="7"/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0</v>
      </c>
      <c r="G33" s="808">
        <f t="shared" si="1"/>
        <v>0</v>
      </c>
      <c r="H33" s="808">
        <f t="shared" si="2"/>
        <v>0</v>
      </c>
    </row>
    <row r="34" spans="1:9" s="10" customFormat="1" ht="16.5" customHeight="1">
      <c r="A34" s="6" t="str">
        <f t="shared" si="0"/>
        <v/>
      </c>
      <c r="B34" s="7"/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0</v>
      </c>
      <c r="G34" s="808">
        <f t="shared" si="1"/>
        <v>0</v>
      </c>
      <c r="H34" s="808">
        <f t="shared" si="2"/>
        <v>0</v>
      </c>
    </row>
    <row r="35" spans="1:9" s="10" customFormat="1" ht="16.5" customHeight="1">
      <c r="A35" s="6" t="str">
        <f t="shared" si="0"/>
        <v/>
      </c>
      <c r="B35" s="192"/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0</v>
      </c>
      <c r="G35" s="808">
        <f t="shared" si="1"/>
        <v>0</v>
      </c>
      <c r="H35" s="808">
        <f t="shared" si="2"/>
        <v>0</v>
      </c>
    </row>
    <row r="36" spans="1:9" s="10" customFormat="1" ht="16.5" customHeight="1">
      <c r="A36" s="6" t="str">
        <f t="shared" si="0"/>
        <v/>
      </c>
      <c r="B36" s="7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0</v>
      </c>
      <c r="G36" s="808">
        <f t="shared" si="1"/>
        <v>0</v>
      </c>
      <c r="H36" s="808">
        <f t="shared" si="2"/>
        <v>0</v>
      </c>
    </row>
    <row r="37" spans="1:9" s="10" customFormat="1" ht="16.5" customHeight="1">
      <c r="A37" s="6" t="str">
        <f t="shared" si="0"/>
        <v/>
      </c>
      <c r="B37" s="7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808">
        <f t="shared" si="1"/>
        <v>0</v>
      </c>
      <c r="H37" s="808">
        <f t="shared" si="2"/>
        <v>0</v>
      </c>
    </row>
    <row r="38" spans="1:9" s="10" customFormat="1" ht="16.5" customHeight="1">
      <c r="A38" s="6" t="str">
        <f t="shared" si="0"/>
        <v/>
      </c>
      <c r="B38" s="7"/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0</v>
      </c>
      <c r="G38" s="808">
        <f t="shared" si="1"/>
        <v>0</v>
      </c>
      <c r="H38" s="808">
        <f t="shared" si="2"/>
        <v>0</v>
      </c>
    </row>
    <row r="39" spans="1:9" s="10" customFormat="1" ht="16.5" customHeight="1">
      <c r="A39" s="6" t="str">
        <f t="shared" si="0"/>
        <v/>
      </c>
      <c r="B39" s="204"/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0</v>
      </c>
      <c r="G39" s="808">
        <f t="shared" si="1"/>
        <v>0</v>
      </c>
      <c r="H39" s="808">
        <f t="shared" si="2"/>
        <v>0</v>
      </c>
    </row>
    <row r="40" spans="1:9" s="10" customFormat="1" ht="16.5" customHeight="1">
      <c r="A40" s="6" t="str">
        <f t="shared" si="0"/>
        <v/>
      </c>
      <c r="B40" s="7"/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0</v>
      </c>
      <c r="G40" s="808">
        <f t="shared" si="1"/>
        <v>0</v>
      </c>
      <c r="H40" s="808">
        <f t="shared" si="2"/>
        <v>0</v>
      </c>
    </row>
    <row r="41" spans="1:9" s="10" customFormat="1" ht="16.5" customHeight="1">
      <c r="A41" s="6" t="str">
        <f t="shared" si="0"/>
        <v/>
      </c>
      <c r="B41" s="7"/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0</v>
      </c>
      <c r="G41" s="808">
        <f t="shared" si="1"/>
        <v>0</v>
      </c>
      <c r="H41" s="808">
        <f t="shared" si="2"/>
        <v>0</v>
      </c>
    </row>
    <row r="42" spans="1:9" s="10" customFormat="1" ht="16.5" customHeight="1">
      <c r="A42" s="6" t="str">
        <f t="shared" si="0"/>
        <v/>
      </c>
      <c r="B42" s="192"/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0</v>
      </c>
      <c r="G42" s="808">
        <f t="shared" si="1"/>
        <v>0</v>
      </c>
      <c r="H42" s="808">
        <f t="shared" si="2"/>
        <v>0</v>
      </c>
    </row>
    <row r="43" spans="1:9" s="10" customFormat="1" ht="16.5" customHeight="1">
      <c r="A43" s="6" t="str">
        <f t="shared" ref="A43" si="3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4">SUM(C6:C43)</f>
        <v>0</v>
      </c>
      <c r="D44" s="13">
        <f t="shared" si="4"/>
        <v>0</v>
      </c>
      <c r="E44" s="13">
        <f t="shared" si="4"/>
        <v>0</v>
      </c>
      <c r="F44" s="13">
        <f t="shared" si="4"/>
        <v>0</v>
      </c>
      <c r="G44" s="13">
        <f t="shared" si="4"/>
        <v>0</v>
      </c>
      <c r="H44" s="13">
        <f t="shared" si="4"/>
        <v>0</v>
      </c>
    </row>
    <row r="45" spans="1:9">
      <c r="E45" s="15">
        <f>CDPS!E14</f>
        <v>0</v>
      </c>
      <c r="F45" s="15">
        <f>CDPS!F14</f>
        <v>0</v>
      </c>
    </row>
    <row r="46" spans="1:9">
      <c r="E46" s="15">
        <f>E44-E45</f>
        <v>0</v>
      </c>
      <c r="F46" s="15">
        <f>F44-F45</f>
        <v>0</v>
      </c>
    </row>
    <row r="48" spans="1:9">
      <c r="E48" s="15"/>
      <c r="F48" s="975" t="s">
        <v>926</v>
      </c>
      <c r="G48" s="975"/>
      <c r="H48" s="975"/>
    </row>
    <row r="49" spans="5:8">
      <c r="F49" s="975" t="s">
        <v>109</v>
      </c>
      <c r="G49" s="975"/>
      <c r="H49" s="975"/>
    </row>
    <row r="50" spans="5:8">
      <c r="E50" s="182"/>
      <c r="F50" s="975" t="s">
        <v>136</v>
      </c>
      <c r="G50" s="975"/>
      <c r="H50" s="975"/>
    </row>
  </sheetData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0" customFormat="1" ht="14.25" customHeight="1">
      <c r="A1" s="622" t="str">
        <f>TH!A1</f>
        <v>Đơn vị: CÔNG TY TNHH MỘT THÀNH VIÊN KHỞI NGUYÊN AN</v>
      </c>
      <c r="B1" s="614"/>
      <c r="C1" s="614"/>
      <c r="G1" s="2"/>
      <c r="H1" s="985" t="s">
        <v>46</v>
      </c>
      <c r="I1" s="985"/>
      <c r="J1" s="985"/>
    </row>
    <row r="2" spans="1:10" s="470" customFormat="1" ht="14.25" customHeight="1">
      <c r="A2" s="621" t="str">
        <f>TH!A2</f>
        <v>Địa chỉ: Thửa đất số 144, tờ bản đồ số 12TĐH.1, tổ 1, khu phố Đông Tác, Phường Tân Đông Hiệp, Thị Xã Dĩ An, Tỉnh Bình Dương, Việt Nam</v>
      </c>
      <c r="B2" s="614"/>
      <c r="C2" s="614"/>
      <c r="G2" s="17"/>
      <c r="H2" s="986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6"/>
      <c r="J2" s="986"/>
    </row>
    <row r="3" spans="1:10" s="470" customFormat="1" ht="14.25" customHeight="1">
      <c r="A3" s="616"/>
      <c r="B3" s="614"/>
      <c r="C3" s="614"/>
      <c r="G3" s="17"/>
      <c r="H3" s="986"/>
      <c r="I3" s="986"/>
      <c r="J3" s="986"/>
    </row>
    <row r="4" spans="1:10" s="5" customFormat="1" ht="28.5" customHeight="1">
      <c r="A4" s="987" t="s">
        <v>26</v>
      </c>
      <c r="B4" s="987"/>
      <c r="C4" s="987"/>
      <c r="D4" s="987"/>
      <c r="E4" s="987"/>
      <c r="F4" s="987"/>
      <c r="G4" s="987"/>
      <c r="H4" s="987"/>
      <c r="I4" s="987"/>
      <c r="J4" s="987"/>
    </row>
    <row r="5" spans="1:10" s="18" customFormat="1" ht="14.25" customHeight="1">
      <c r="E5" s="612" t="s">
        <v>27</v>
      </c>
    </row>
    <row r="6" spans="1:10" s="18" customFormat="1" ht="14.25" customHeight="1">
      <c r="E6" s="612" t="s">
        <v>362</v>
      </c>
    </row>
    <row r="7" spans="1:10" s="18" customFormat="1" ht="14.25" customHeight="1">
      <c r="D7" s="20" t="s">
        <v>45</v>
      </c>
      <c r="E7" s="988" t="s">
        <v>525</v>
      </c>
      <c r="F7" s="988"/>
      <c r="G7" s="988"/>
      <c r="H7" s="988"/>
    </row>
    <row r="8" spans="1:10" s="18" customFormat="1" ht="14.25" customHeight="1">
      <c r="E8" s="612" t="s">
        <v>29</v>
      </c>
    </row>
    <row r="9" spans="1:10" s="18" customFormat="1" ht="6.75" customHeight="1">
      <c r="B9" s="612"/>
      <c r="C9" s="989"/>
      <c r="D9" s="989"/>
      <c r="E9" s="989"/>
      <c r="F9" s="989"/>
      <c r="G9" s="989"/>
      <c r="H9" s="989"/>
      <c r="I9" s="989"/>
      <c r="J9" s="989"/>
    </row>
    <row r="10" spans="1:10" s="18" customFormat="1" ht="14.25" customHeight="1">
      <c r="A10" s="953" t="s">
        <v>20</v>
      </c>
      <c r="B10" s="990" t="s">
        <v>1</v>
      </c>
      <c r="C10" s="990"/>
      <c r="D10" s="953" t="s">
        <v>0</v>
      </c>
      <c r="E10" s="953" t="s">
        <v>14</v>
      </c>
      <c r="F10" s="953" t="s">
        <v>30</v>
      </c>
      <c r="G10" s="983" t="s">
        <v>21</v>
      </c>
      <c r="H10" s="984"/>
      <c r="I10" s="983" t="s">
        <v>31</v>
      </c>
      <c r="J10" s="984"/>
    </row>
    <row r="11" spans="1:10" s="18" customFormat="1" ht="24.75" customHeight="1">
      <c r="A11" s="953"/>
      <c r="B11" s="30" t="s">
        <v>15</v>
      </c>
      <c r="C11" s="30" t="s">
        <v>32</v>
      </c>
      <c r="D11" s="953"/>
      <c r="E11" s="953"/>
      <c r="F11" s="95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8" t="s">
        <v>2</v>
      </c>
      <c r="B12" s="619" t="s">
        <v>3</v>
      </c>
      <c r="C12" s="618" t="s">
        <v>4</v>
      </c>
      <c r="D12" s="618" t="s">
        <v>5</v>
      </c>
      <c r="E12" s="618" t="s">
        <v>6</v>
      </c>
      <c r="F12" s="618">
        <v>1</v>
      </c>
      <c r="G12" s="618">
        <v>2</v>
      </c>
      <c r="H12" s="618">
        <v>3</v>
      </c>
      <c r="I12" s="618">
        <v>4</v>
      </c>
      <c r="J12" s="618">
        <v>5</v>
      </c>
    </row>
    <row r="13" spans="1:10" s="18" customFormat="1" ht="18" customHeight="1">
      <c r="A13" s="618"/>
      <c r="B13" s="618"/>
      <c r="C13" s="618"/>
      <c r="D13" s="23" t="s">
        <v>7</v>
      </c>
      <c r="E13" s="618"/>
      <c r="F13" s="24"/>
      <c r="G13" s="24"/>
      <c r="H13" s="24"/>
      <c r="I13" s="47" t="e">
        <f>VLOOKUP($E$7,'131'!$B$6:$H$43,2,0)</f>
        <v>#N/A</v>
      </c>
      <c r="J13" s="47" t="e">
        <f>VLOOKUP($E$7,'131'!$B$6:$H$43,3,0)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18"/>
      <c r="C32" s="26"/>
      <c r="D32" s="23" t="s">
        <v>33</v>
      </c>
      <c r="E32" s="618" t="s">
        <v>19</v>
      </c>
      <c r="F32" s="618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8"/>
      <c r="C33" s="618"/>
      <c r="D33" s="23" t="s">
        <v>10</v>
      </c>
      <c r="E33" s="618" t="s">
        <v>19</v>
      </c>
      <c r="F33" s="618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2"/>
      <c r="C34" s="612"/>
      <c r="E34" s="612"/>
    </row>
    <row r="35" spans="1:11" s="18" customFormat="1" ht="14.25" customHeight="1">
      <c r="A35" s="28" t="s">
        <v>152</v>
      </c>
      <c r="B35" s="612"/>
      <c r="C35" s="612"/>
      <c r="E35" s="612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2"/>
      <c r="C36" s="612"/>
      <c r="E36" s="612"/>
      <c r="K36" s="28" t="s">
        <v>34</v>
      </c>
    </row>
    <row r="37" spans="1:11" s="18" customFormat="1" ht="14.25" customHeight="1">
      <c r="B37" s="612"/>
      <c r="C37" s="612"/>
      <c r="E37" s="941" t="e">
        <f ca="1">"Ngày 31 tháng  12  năm  "&amp;YEAR($A$14)</f>
        <v>#VALUE!</v>
      </c>
      <c r="F37" s="941"/>
      <c r="G37" s="941"/>
      <c r="H37" s="941"/>
      <c r="I37" s="941"/>
      <c r="J37" s="941"/>
    </row>
    <row r="38" spans="1:11" s="18" customFormat="1" ht="14.25" customHeight="1">
      <c r="C38" s="612" t="s">
        <v>11</v>
      </c>
      <c r="E38" s="941" t="s">
        <v>12</v>
      </c>
      <c r="F38" s="941"/>
      <c r="G38" s="941"/>
      <c r="H38" s="941"/>
      <c r="I38" s="941"/>
      <c r="J38" s="941"/>
    </row>
    <row r="39" spans="1:11" s="18" customFormat="1" ht="14.25" customHeight="1">
      <c r="C39" s="612" t="s">
        <v>13</v>
      </c>
      <c r="E39" s="941" t="s">
        <v>13</v>
      </c>
      <c r="F39" s="941"/>
      <c r="G39" s="941"/>
      <c r="H39" s="941"/>
      <c r="I39" s="941"/>
      <c r="J39" s="941"/>
    </row>
    <row r="40" spans="1:11" s="29" customFormat="1"/>
    <row r="46" spans="1:11" ht="15">
      <c r="C46" s="613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6" sqref="B6:B1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76" t="str">
        <f>TH!$A$1</f>
        <v>Đơn vị: CÔNG TY TNHH MỘT THÀNH VIÊN KHỞI NGUYÊN AN</v>
      </c>
    </row>
    <row r="2" spans="1:9">
      <c r="A2" s="87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76" t="s">
        <v>102</v>
      </c>
      <c r="B3" s="976"/>
      <c r="C3" s="976"/>
      <c r="D3" s="976"/>
      <c r="E3" s="976"/>
      <c r="F3" s="976"/>
      <c r="G3" s="976"/>
      <c r="H3" s="976"/>
    </row>
    <row r="4" spans="1:9" s="10" customFormat="1" ht="14.25" customHeight="1">
      <c r="A4" s="977" t="s">
        <v>35</v>
      </c>
      <c r="B4" s="979" t="s">
        <v>36</v>
      </c>
      <c r="C4" s="981" t="s">
        <v>37</v>
      </c>
      <c r="D4" s="982"/>
      <c r="E4" s="981" t="s">
        <v>38</v>
      </c>
      <c r="F4" s="982"/>
      <c r="G4" s="981" t="s">
        <v>41</v>
      </c>
      <c r="H4" s="982"/>
    </row>
    <row r="5" spans="1:9" s="10" customFormat="1" ht="14.25" customHeight="1">
      <c r="A5" s="978"/>
      <c r="B5" s="980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 t="str">
        <f>IF(B6&lt;&gt;"",ROW()-5,"")</f>
        <v/>
      </c>
      <c r="B6" s="45"/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 t="str">
        <f t="shared" ref="A7:A14" si="2">IF(B7&lt;&gt;"",ROW()-5,"")</f>
        <v/>
      </c>
      <c r="B7" s="192"/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 t="str">
        <f t="shared" si="2"/>
        <v/>
      </c>
      <c r="B8" s="818"/>
      <c r="C8" s="8"/>
      <c r="D8" s="8"/>
      <c r="E8" s="8">
        <f t="array" ref="E8">SUM(IF("331"&amp;B8=KHN&amp;KH,TH))</f>
        <v>0</v>
      </c>
      <c r="F8" s="8">
        <f t="array" ref="F8">SUM(IF("331"&amp;B8=KHC&amp;KH,TH))</f>
        <v>0</v>
      </c>
      <c r="G8" s="55">
        <f t="shared" si="0"/>
        <v>0</v>
      </c>
      <c r="H8" s="55">
        <f t="shared" si="1"/>
        <v>0</v>
      </c>
      <c r="I8" s="10" t="str">
        <f>IF(ISNA(VLOOKUP(B8,'[5]331'!$B$4:$B$15,1,0)),"","x")</f>
        <v/>
      </c>
    </row>
    <row r="9" spans="1:9" s="10" customFormat="1" ht="16.5" customHeight="1">
      <c r="A9" s="6" t="str">
        <f t="shared" si="2"/>
        <v/>
      </c>
      <c r="B9" s="44"/>
      <c r="C9" s="8"/>
      <c r="D9" s="8"/>
      <c r="E9" s="8">
        <f t="array" ref="E9">SUM(IF("331"&amp;B9=KHN&amp;KH,TH))</f>
        <v>0</v>
      </c>
      <c r="F9" s="8">
        <f t="array" ref="F9">SUM(IF("331"&amp;B9=KHC&amp;KH,TH))</f>
        <v>0</v>
      </c>
      <c r="G9" s="55">
        <f t="shared" si="0"/>
        <v>0</v>
      </c>
      <c r="H9" s="55">
        <f t="shared" si="1"/>
        <v>0</v>
      </c>
      <c r="I9" s="10" t="str">
        <f>IF(ISNA(VLOOKUP(B9,'[5]331'!$B$4:$B$15,1,0)),"","x")</f>
        <v/>
      </c>
    </row>
    <row r="10" spans="1:9" s="10" customFormat="1" ht="16.5" customHeight="1">
      <c r="A10" s="6" t="str">
        <f t="shared" si="2"/>
        <v/>
      </c>
      <c r="B10" s="7"/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 t="str">
        <f t="shared" si="2"/>
        <v/>
      </c>
      <c r="B11" s="44"/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IF(ISNA(VLOOKUP(B11,'[5]331'!$B$4:$B$15,1,0)),"","x")</f>
        <v/>
      </c>
    </row>
    <row r="12" spans="1:9" s="10" customFormat="1" ht="16.5" customHeight="1">
      <c r="A12" s="6" t="str">
        <f t="shared" si="2"/>
        <v/>
      </c>
      <c r="B12" s="44"/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2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si="2"/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86"/>
      <c r="F15" s="486"/>
      <c r="G15" s="487"/>
      <c r="H15" s="487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0</v>
      </c>
      <c r="F16" s="13">
        <f t="shared" si="7"/>
        <v>0</v>
      </c>
      <c r="G16" s="13">
        <f t="shared" si="7"/>
        <v>0</v>
      </c>
      <c r="H16" s="13">
        <f t="shared" si="7"/>
        <v>0</v>
      </c>
    </row>
    <row r="17" spans="5:8">
      <c r="E17" s="15">
        <f>CDPS!E35</f>
        <v>0</v>
      </c>
      <c r="F17" s="15">
        <f>CDPS!F35</f>
        <v>0</v>
      </c>
    </row>
    <row r="18" spans="5:8">
      <c r="E18" s="15">
        <f>E16-E17</f>
        <v>0</v>
      </c>
      <c r="F18" s="15">
        <f>F16-F17</f>
        <v>0</v>
      </c>
    </row>
    <row r="20" spans="5:8">
      <c r="E20" s="15"/>
      <c r="F20" s="975" t="s">
        <v>926</v>
      </c>
      <c r="G20" s="975"/>
      <c r="H20" s="975"/>
    </row>
    <row r="21" spans="5:8">
      <c r="F21" s="975" t="s">
        <v>109</v>
      </c>
      <c r="G21" s="975"/>
      <c r="H21" s="975"/>
    </row>
    <row r="22" spans="5:8">
      <c r="E22" s="182"/>
      <c r="F22" s="975" t="s">
        <v>136</v>
      </c>
      <c r="G22" s="975"/>
      <c r="H22" s="975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2" t="str">
        <f>TH!A1</f>
        <v>Đơn vị: CÔNG TY TNHH MỘT THÀNH VIÊN KHỞI NGUYÊN AN</v>
      </c>
      <c r="B1" s="16"/>
      <c r="C1" s="16"/>
      <c r="G1" s="2"/>
      <c r="H1" s="985" t="s">
        <v>46</v>
      </c>
      <c r="I1" s="985"/>
      <c r="J1" s="985"/>
    </row>
    <row r="2" spans="1:10" s="3" customFormat="1" ht="14.25" customHeight="1">
      <c r="A2" s="621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86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6"/>
      <c r="J2" s="986"/>
    </row>
    <row r="3" spans="1:10" s="3" customFormat="1" ht="14.25" customHeight="1">
      <c r="A3" s="4"/>
      <c r="B3" s="16"/>
      <c r="C3" s="16"/>
      <c r="G3" s="17"/>
      <c r="H3" s="986"/>
      <c r="I3" s="986"/>
      <c r="J3" s="986"/>
    </row>
    <row r="4" spans="1:10" s="5" customFormat="1" ht="28.5" customHeight="1">
      <c r="A4" s="987" t="s">
        <v>26</v>
      </c>
      <c r="B4" s="987"/>
      <c r="C4" s="987"/>
      <c r="D4" s="987"/>
      <c r="E4" s="987"/>
      <c r="F4" s="987"/>
      <c r="G4" s="987"/>
      <c r="H4" s="987"/>
      <c r="I4" s="987"/>
      <c r="J4" s="98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88" t="s">
        <v>411</v>
      </c>
      <c r="F7" s="988"/>
      <c r="G7" s="988"/>
      <c r="H7" s="98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89"/>
      <c r="D9" s="989"/>
      <c r="E9" s="989"/>
      <c r="F9" s="989"/>
      <c r="G9" s="989"/>
      <c r="H9" s="989"/>
      <c r="I9" s="989"/>
      <c r="J9" s="989"/>
    </row>
    <row r="10" spans="1:10" s="18" customFormat="1" ht="14.25" customHeight="1">
      <c r="A10" s="953" t="s">
        <v>20</v>
      </c>
      <c r="B10" s="990" t="s">
        <v>1</v>
      </c>
      <c r="C10" s="990"/>
      <c r="D10" s="953" t="s">
        <v>0</v>
      </c>
      <c r="E10" s="953" t="s">
        <v>14</v>
      </c>
      <c r="F10" s="953" t="s">
        <v>30</v>
      </c>
      <c r="G10" s="983" t="s">
        <v>21</v>
      </c>
      <c r="H10" s="984"/>
      <c r="I10" s="983" t="s">
        <v>31</v>
      </c>
      <c r="J10" s="984"/>
    </row>
    <row r="11" spans="1:10" s="18" customFormat="1" ht="24.75" customHeight="1">
      <c r="A11" s="953"/>
      <c r="B11" s="30" t="s">
        <v>15</v>
      </c>
      <c r="C11" s="30" t="s">
        <v>32</v>
      </c>
      <c r="D11" s="953"/>
      <c r="E11" s="953"/>
      <c r="F11" s="95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VLOOKUP($E$7,'331'!$B$6:$H$15,2,0)</f>
        <v>#N/A</v>
      </c>
      <c r="J13" s="47" t="e">
        <f>VLOOKUP($E$7,'331'!$B$6:$H$15,3,0)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41" t="e">
        <f ca="1">"Ngày 31 tháng  12  năm  "&amp;YEAR($A$14)</f>
        <v>#VALUE!</v>
      </c>
      <c r="F56" s="941"/>
      <c r="G56" s="941"/>
      <c r="H56" s="941"/>
      <c r="I56" s="941"/>
      <c r="J56" s="941"/>
    </row>
    <row r="57" spans="1:11" s="18" customFormat="1" ht="14.25" customHeight="1">
      <c r="C57" s="207" t="s">
        <v>11</v>
      </c>
      <c r="E57" s="941" t="s">
        <v>12</v>
      </c>
      <c r="F57" s="941"/>
      <c r="G57" s="941"/>
      <c r="H57" s="941"/>
      <c r="I57" s="941"/>
      <c r="J57" s="941"/>
    </row>
    <row r="58" spans="1:11" s="18" customFormat="1" ht="14.25" customHeight="1">
      <c r="C58" s="207" t="s">
        <v>13</v>
      </c>
      <c r="E58" s="941" t="s">
        <v>13</v>
      </c>
      <c r="F58" s="941"/>
      <c r="G58" s="941"/>
      <c r="H58" s="941"/>
      <c r="I58" s="941"/>
      <c r="J58" s="941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76" t="str">
        <f>TH!$A$1</f>
        <v>Đơn vị: CÔNG TY TNHH MỘT THÀNH VIÊN KHỞI NGUYÊN AN</v>
      </c>
      <c r="C2" s="261"/>
      <c r="F2" s="262"/>
      <c r="G2" s="262"/>
      <c r="H2" s="262"/>
      <c r="I2" s="262"/>
      <c r="J2" s="992" t="s">
        <v>185</v>
      </c>
      <c r="K2" s="992"/>
      <c r="L2" s="992"/>
      <c r="M2" s="992"/>
      <c r="N2" s="262"/>
    </row>
    <row r="3" spans="1:14">
      <c r="A3" s="877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91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91"/>
      <c r="L3" s="991"/>
      <c r="M3" s="991"/>
      <c r="N3" s="263"/>
    </row>
    <row r="4" spans="1:14">
      <c r="F4" s="263"/>
      <c r="G4" s="263"/>
      <c r="H4" s="263"/>
      <c r="I4" s="263"/>
      <c r="J4" s="991"/>
      <c r="K4" s="991"/>
      <c r="L4" s="991"/>
      <c r="M4" s="991"/>
      <c r="N4" s="263"/>
    </row>
    <row r="5" spans="1:14" s="264" customFormat="1" ht="23.25" customHeight="1">
      <c r="A5" s="1001" t="s">
        <v>186</v>
      </c>
      <c r="B5" s="1001"/>
      <c r="C5" s="1001"/>
      <c r="D5" s="1001"/>
      <c r="E5" s="1001"/>
      <c r="F5" s="1001"/>
      <c r="G5" s="1001"/>
      <c r="H5" s="1001"/>
      <c r="I5" s="1001"/>
      <c r="J5" s="1001"/>
      <c r="K5" s="1001"/>
      <c r="L5" s="1001"/>
      <c r="M5" s="1001"/>
      <c r="N5" s="1001"/>
    </row>
    <row r="6" spans="1:14">
      <c r="A6" s="992" t="s">
        <v>927</v>
      </c>
      <c r="B6" s="992" t="s">
        <v>187</v>
      </c>
      <c r="C6" s="992"/>
      <c r="D6" s="992"/>
      <c r="E6" s="992"/>
      <c r="F6" s="992"/>
      <c r="G6" s="992"/>
      <c r="H6" s="992"/>
      <c r="I6" s="992"/>
      <c r="J6" s="992"/>
      <c r="K6" s="992"/>
      <c r="L6" s="992"/>
      <c r="M6" s="992"/>
      <c r="N6" s="992"/>
    </row>
    <row r="7" spans="1:14"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</row>
    <row r="8" spans="1:14" ht="15.75" customHeight="1">
      <c r="A8" s="995" t="s">
        <v>20</v>
      </c>
      <c r="B8" s="1003" t="s">
        <v>1</v>
      </c>
      <c r="C8" s="1004"/>
      <c r="D8" s="995" t="s">
        <v>0</v>
      </c>
      <c r="E8" s="995" t="s">
        <v>14</v>
      </c>
      <c r="F8" s="994" t="s">
        <v>21</v>
      </c>
      <c r="G8" s="994"/>
      <c r="H8" s="994"/>
      <c r="I8" s="994"/>
      <c r="J8" s="994"/>
      <c r="K8" s="994"/>
      <c r="L8" s="994" t="s">
        <v>31</v>
      </c>
      <c r="M8" s="994"/>
      <c r="N8" s="994"/>
    </row>
    <row r="9" spans="1:14" ht="15.75" customHeight="1">
      <c r="A9" s="995"/>
      <c r="B9" s="1005"/>
      <c r="C9" s="1006"/>
      <c r="D9" s="995"/>
      <c r="E9" s="995"/>
      <c r="F9" s="994" t="s">
        <v>188</v>
      </c>
      <c r="G9" s="994"/>
      <c r="H9" s="994"/>
      <c r="I9" s="994" t="s">
        <v>189</v>
      </c>
      <c r="J9" s="994"/>
      <c r="K9" s="994"/>
      <c r="L9" s="995" t="s">
        <v>190</v>
      </c>
      <c r="M9" s="995" t="s">
        <v>191</v>
      </c>
      <c r="N9" s="995" t="s">
        <v>192</v>
      </c>
    </row>
    <row r="10" spans="1:14" ht="15.75" customHeight="1">
      <c r="A10" s="995"/>
      <c r="B10" s="997" t="s">
        <v>15</v>
      </c>
      <c r="C10" s="997" t="s">
        <v>32</v>
      </c>
      <c r="D10" s="995"/>
      <c r="E10" s="995"/>
      <c r="F10" s="999" t="s">
        <v>190</v>
      </c>
      <c r="G10" s="999" t="s">
        <v>191</v>
      </c>
      <c r="H10" s="999" t="s">
        <v>192</v>
      </c>
      <c r="I10" s="999" t="s">
        <v>190</v>
      </c>
      <c r="J10" s="999" t="s">
        <v>191</v>
      </c>
      <c r="K10" s="999" t="s">
        <v>192</v>
      </c>
      <c r="L10" s="996"/>
      <c r="M10" s="996"/>
      <c r="N10" s="996"/>
    </row>
    <row r="11" spans="1:14">
      <c r="A11" s="995"/>
      <c r="B11" s="998"/>
      <c r="C11" s="998"/>
      <c r="D11" s="995"/>
      <c r="E11" s="995"/>
      <c r="F11" s="1000"/>
      <c r="G11" s="1000"/>
      <c r="H11" s="1000"/>
      <c r="I11" s="1000"/>
      <c r="J11" s="1000"/>
      <c r="K11" s="1000"/>
      <c r="L11" s="996"/>
      <c r="M11" s="996"/>
      <c r="N11" s="996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81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80">
        <v>40634</v>
      </c>
      <c r="B14" s="739" t="s">
        <v>388</v>
      </c>
      <c r="C14" s="880">
        <v>40634</v>
      </c>
      <c r="D14" s="270" t="s">
        <v>588</v>
      </c>
      <c r="E14" s="739" t="s">
        <v>47</v>
      </c>
      <c r="F14" s="270"/>
      <c r="G14" s="270"/>
      <c r="H14" s="270"/>
      <c r="I14" s="346">
        <v>1700000000</v>
      </c>
      <c r="J14" s="270"/>
      <c r="K14" s="270"/>
      <c r="L14" s="742">
        <f>L13+I14-G14</f>
        <v>1700000000</v>
      </c>
      <c r="M14" s="270"/>
      <c r="N14" s="270"/>
    </row>
    <row r="15" spans="1:14">
      <c r="A15" s="880">
        <v>40634</v>
      </c>
      <c r="B15" s="739" t="s">
        <v>389</v>
      </c>
      <c r="C15" s="880">
        <v>40634</v>
      </c>
      <c r="D15" s="271" t="s">
        <v>589</v>
      </c>
      <c r="E15" s="740" t="s">
        <v>47</v>
      </c>
      <c r="F15" s="271"/>
      <c r="G15" s="271"/>
      <c r="H15" s="271"/>
      <c r="I15" s="361">
        <v>100000000</v>
      </c>
      <c r="J15" s="271"/>
      <c r="K15" s="271"/>
      <c r="L15" s="742">
        <f t="shared" ref="L15:L16" si="0">L14+I15-G15</f>
        <v>1800000000</v>
      </c>
      <c r="M15" s="271"/>
      <c r="N15" s="271"/>
    </row>
    <row r="16" spans="1:14">
      <c r="A16" s="880">
        <v>40634</v>
      </c>
      <c r="B16" s="739" t="s">
        <v>516</v>
      </c>
      <c r="C16" s="880">
        <v>40634</v>
      </c>
      <c r="D16" s="271" t="s">
        <v>590</v>
      </c>
      <c r="E16" s="740" t="s">
        <v>47</v>
      </c>
      <c r="F16" s="271"/>
      <c r="G16" s="271"/>
      <c r="H16" s="271"/>
      <c r="I16" s="361">
        <v>100000000</v>
      </c>
      <c r="J16" s="271"/>
      <c r="K16" s="271"/>
      <c r="L16" s="742">
        <f t="shared" si="0"/>
        <v>1900000000</v>
      </c>
      <c r="M16" s="271"/>
      <c r="N16" s="271"/>
    </row>
    <row r="17" spans="1:14">
      <c r="A17" s="739"/>
      <c r="B17" s="270"/>
      <c r="C17" s="739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39"/>
      <c r="B18" s="270"/>
      <c r="C18" s="739"/>
      <c r="D18" s="272" t="s">
        <v>133</v>
      </c>
      <c r="E18" s="496" t="s">
        <v>19</v>
      </c>
      <c r="F18" s="273"/>
      <c r="G18" s="273"/>
      <c r="H18" s="273"/>
      <c r="I18" s="741">
        <f>SUM(I13:I17)</f>
        <v>1900000000</v>
      </c>
      <c r="J18" s="273"/>
      <c r="K18" s="273"/>
      <c r="L18" s="743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97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193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93" t="str">
        <f>"Ngày 31 tháng  12  năm  "&amp;YEAR($A$14)</f>
        <v>Ngày 31 tháng  12  năm  2011</v>
      </c>
      <c r="F23" s="993"/>
      <c r="G23" s="993"/>
      <c r="H23" s="993"/>
      <c r="I23" s="993"/>
      <c r="J23" s="993"/>
      <c r="K23" s="993"/>
      <c r="L23" s="993"/>
      <c r="M23" s="993"/>
      <c r="N23" s="993"/>
    </row>
    <row r="24" spans="1:14">
      <c r="A24" s="993" t="s">
        <v>11</v>
      </c>
      <c r="B24" s="993"/>
      <c r="C24" s="993"/>
      <c r="D24" s="993"/>
      <c r="E24" s="993" t="s">
        <v>12</v>
      </c>
      <c r="F24" s="993"/>
      <c r="G24" s="993"/>
      <c r="H24" s="993"/>
      <c r="I24" s="993"/>
      <c r="J24" s="993"/>
      <c r="K24" s="993"/>
      <c r="L24" s="993"/>
      <c r="M24" s="993"/>
      <c r="N24" s="993"/>
    </row>
    <row r="25" spans="1:14">
      <c r="A25" s="993" t="s">
        <v>13</v>
      </c>
      <c r="B25" s="993"/>
      <c r="C25" s="993"/>
      <c r="D25" s="993"/>
      <c r="E25" s="993" t="s">
        <v>13</v>
      </c>
      <c r="F25" s="993"/>
      <c r="G25" s="993"/>
      <c r="H25" s="993"/>
      <c r="I25" s="993"/>
      <c r="J25" s="993"/>
      <c r="K25" s="993"/>
      <c r="L25" s="993"/>
      <c r="M25" s="993"/>
      <c r="N25" s="993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88"/>
  <sheetViews>
    <sheetView topLeftCell="A8" workbookViewId="0">
      <pane ySplit="4" topLeftCell="A12" activePane="bottomLeft" state="frozen"/>
      <selection activeCell="A8" sqref="A8"/>
      <selection pane="bottomLeft" activeCell="C31" sqref="C31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305" customWidth="1"/>
    <col min="6" max="6" width="7.5703125" style="305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76" t="str">
        <f>TH!$A$1</f>
        <v>Đơn vị: CÔNG TY TNHH MỘT THÀNH VIÊN KHỞI NGUYÊN AN</v>
      </c>
      <c r="C1" s="279"/>
      <c r="D1" s="279"/>
      <c r="E1" s="279"/>
      <c r="F1" s="280"/>
      <c r="G1" s="280"/>
      <c r="H1" s="985" t="s">
        <v>194</v>
      </c>
      <c r="I1" s="985"/>
      <c r="J1" s="985"/>
      <c r="K1" s="985"/>
      <c r="L1" s="985"/>
      <c r="M1" s="744"/>
      <c r="N1" s="745"/>
    </row>
    <row r="2" spans="1:14" s="259" customFormat="1" ht="14.25" customHeight="1">
      <c r="B2" s="877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86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86"/>
      <c r="J2" s="986"/>
      <c r="K2" s="986"/>
      <c r="L2" s="986"/>
      <c r="M2" s="750"/>
      <c r="N2" s="745"/>
    </row>
    <row r="3" spans="1:14" s="259" customFormat="1" ht="14.25" customHeight="1">
      <c r="B3" s="281"/>
      <c r="C3" s="281"/>
      <c r="D3" s="281"/>
      <c r="E3" s="281"/>
      <c r="F3" s="281"/>
      <c r="G3" s="281"/>
      <c r="H3" s="986"/>
      <c r="I3" s="986"/>
      <c r="J3" s="986"/>
      <c r="K3" s="986"/>
      <c r="L3" s="986"/>
      <c r="M3" s="751"/>
      <c r="N3" s="745"/>
    </row>
    <row r="4" spans="1:14" s="282" customFormat="1" ht="27.75" customHeight="1">
      <c r="B4" s="1008" t="s">
        <v>195</v>
      </c>
      <c r="C4" s="1008"/>
      <c r="D4" s="1008"/>
      <c r="E4" s="1008"/>
      <c r="F4" s="1008"/>
      <c r="G4" s="1008"/>
      <c r="H4" s="1008"/>
      <c r="I4" s="1008"/>
      <c r="J4" s="1008"/>
      <c r="K4" s="1008"/>
      <c r="L4" s="1008"/>
      <c r="N4" s="746"/>
    </row>
    <row r="5" spans="1:14" s="282" customFormat="1" ht="15" customHeight="1">
      <c r="B5" s="1007" t="s">
        <v>196</v>
      </c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N5" s="746"/>
    </row>
    <row r="6" spans="1:14" s="282" customFormat="1" ht="12.75" hidden="1" customHeight="1">
      <c r="B6" s="1007" t="s">
        <v>197</v>
      </c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N6" s="746"/>
    </row>
    <row r="7" spans="1:14" s="283" customFormat="1" ht="24" hidden="1" customHeight="1">
      <c r="C7" s="1015" t="s">
        <v>198</v>
      </c>
      <c r="D7" s="1015"/>
      <c r="E7" s="1015"/>
      <c r="F7" s="1015"/>
      <c r="G7" s="1015"/>
      <c r="H7" s="1015"/>
      <c r="I7" s="1015"/>
      <c r="J7" s="1015"/>
      <c r="K7" s="1015"/>
      <c r="L7" s="1015"/>
      <c r="N7" s="747"/>
    </row>
    <row r="8" spans="1:14" ht="20.25" customHeight="1">
      <c r="B8" s="1009" t="s">
        <v>35</v>
      </c>
      <c r="C8" s="1010" t="s">
        <v>199</v>
      </c>
      <c r="D8" s="1011" t="s">
        <v>200</v>
      </c>
      <c r="E8" s="1013" t="s">
        <v>139</v>
      </c>
      <c r="F8" s="1013"/>
      <c r="G8" s="1013"/>
      <c r="H8" s="1013"/>
      <c r="I8" s="1013"/>
      <c r="J8" s="1013"/>
      <c r="K8" s="1013"/>
      <c r="L8" s="1013"/>
    </row>
    <row r="9" spans="1:14" ht="20.25" customHeight="1">
      <c r="B9" s="1009"/>
      <c r="C9" s="1010"/>
      <c r="D9" s="1012"/>
      <c r="E9" s="1013" t="s">
        <v>201</v>
      </c>
      <c r="F9" s="1013"/>
      <c r="G9" s="1014" t="s">
        <v>202</v>
      </c>
      <c r="H9" s="1014"/>
      <c r="I9" s="1014" t="s">
        <v>203</v>
      </c>
      <c r="J9" s="1014"/>
      <c r="K9" s="1014" t="s">
        <v>204</v>
      </c>
      <c r="L9" s="1014"/>
    </row>
    <row r="10" spans="1:14" ht="20.25" hidden="1" customHeight="1">
      <c r="B10" s="1009"/>
      <c r="C10" s="1010"/>
      <c r="D10" s="285"/>
      <c r="E10" s="286" t="s">
        <v>205</v>
      </c>
      <c r="F10" s="286" t="s">
        <v>206</v>
      </c>
      <c r="G10" s="286" t="s">
        <v>205</v>
      </c>
      <c r="H10" s="286" t="s">
        <v>206</v>
      </c>
      <c r="I10" s="286" t="s">
        <v>205</v>
      </c>
      <c r="J10" s="286" t="s">
        <v>206</v>
      </c>
      <c r="K10" s="286" t="s">
        <v>205</v>
      </c>
      <c r="L10" s="286" t="s">
        <v>206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48"/>
    </row>
    <row r="12" spans="1:14" ht="18" customHeight="1">
      <c r="A12" s="289" t="str">
        <f>IF(B12&lt;&gt;"","VL","")</f>
        <v>VL</v>
      </c>
      <c r="B12" s="290">
        <f>IF(C12&lt;&gt;"",ROW()-11,"")</f>
        <v>1</v>
      </c>
      <c r="C12" s="188" t="s">
        <v>358</v>
      </c>
      <c r="D12" s="292" t="s">
        <v>357</v>
      </c>
      <c r="E12" s="25"/>
      <c r="F12" s="25"/>
      <c r="G12" s="25">
        <f t="array" ref="G12">SUM(IF("1522"&amp;C12=KHN&amp;MH,SL))</f>
        <v>0</v>
      </c>
      <c r="H12" s="25">
        <f t="array" ref="H12">SUM(IF("1522"&amp;C12=KHN&amp;MH,TH))</f>
        <v>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0</v>
      </c>
      <c r="L12" s="25">
        <f t="shared" si="0"/>
        <v>0</v>
      </c>
      <c r="M12" s="289"/>
    </row>
    <row r="13" spans="1:14" ht="18" customHeight="1">
      <c r="A13" s="289" t="str">
        <f>IF(B13&lt;&gt;"","VL","")</f>
        <v>VL</v>
      </c>
      <c r="B13" s="290">
        <f>IF(C13&lt;&gt;"",ROW()-11,"")</f>
        <v>2</v>
      </c>
      <c r="C13" s="188" t="s">
        <v>944</v>
      </c>
      <c r="D13" s="292" t="s">
        <v>357</v>
      </c>
      <c r="E13" s="8"/>
      <c r="F13" s="8"/>
      <c r="G13" s="25">
        <f t="array" ref="G13">SUM(IF("1522"&amp;C13=KHN&amp;MH,SL))</f>
        <v>0</v>
      </c>
      <c r="H13" s="25">
        <f t="array" ref="H13">SUM(IF("1522"&amp;C13=KHN&amp;MH,TH))</f>
        <v>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0</v>
      </c>
      <c r="L13" s="8">
        <f t="shared" si="0"/>
        <v>0</v>
      </c>
      <c r="M13" s="289"/>
    </row>
    <row r="14" spans="1:14" ht="18" customHeight="1">
      <c r="A14" s="289" t="str">
        <f>IF(B14&lt;&gt;"","VL","")</f>
        <v>VL</v>
      </c>
      <c r="B14" s="290">
        <f>IF(C14&lt;&gt;"",ROW()-11,"")</f>
        <v>3</v>
      </c>
      <c r="C14" s="188" t="s">
        <v>392</v>
      </c>
      <c r="D14" s="292" t="s">
        <v>357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89"/>
    </row>
    <row r="15" spans="1:14" ht="18.75" customHeight="1">
      <c r="A15" s="289" t="str">
        <f>IF(B15&lt;&gt;"","VL","")</f>
        <v/>
      </c>
      <c r="B15" s="290" t="str">
        <f>IF(C15&lt;&gt;"",ROW()-11,"")</f>
        <v/>
      </c>
      <c r="C15" s="294"/>
      <c r="D15" s="295"/>
      <c r="E15" s="296"/>
      <c r="F15" s="296"/>
      <c r="G15" s="25"/>
      <c r="H15" s="296"/>
      <c r="I15" s="296"/>
      <c r="J15" s="296"/>
      <c r="K15" s="296"/>
      <c r="L15" s="296"/>
      <c r="M15" s="289"/>
    </row>
    <row r="16" spans="1:14" ht="18.75" customHeight="1">
      <c r="A16" s="289" t="str">
        <f>IF(B16&lt;&gt;"","VL","")</f>
        <v/>
      </c>
      <c r="B16" s="288"/>
      <c r="C16" s="297" t="s">
        <v>356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0</v>
      </c>
      <c r="H16" s="13">
        <f t="shared" si="1"/>
        <v>0</v>
      </c>
      <c r="I16" s="13">
        <f t="shared" si="1"/>
        <v>0</v>
      </c>
      <c r="J16" s="13">
        <f t="shared" si="1"/>
        <v>0</v>
      </c>
      <c r="K16" s="13">
        <f t="shared" si="1"/>
        <v>0</v>
      </c>
      <c r="L16" s="13">
        <f t="shared" si="1"/>
        <v>0</v>
      </c>
      <c r="M16" s="289"/>
    </row>
    <row r="17" spans="1:13" ht="18.75" customHeight="1">
      <c r="A17" s="289"/>
      <c r="B17" s="483"/>
      <c r="C17" s="484"/>
      <c r="D17" s="485"/>
      <c r="E17" s="485">
        <f>F16-F17</f>
        <v>0</v>
      </c>
      <c r="F17" s="485">
        <f>CDPS!C21</f>
        <v>0</v>
      </c>
      <c r="G17" s="485">
        <f>H16-H17</f>
        <v>0</v>
      </c>
      <c r="H17" s="485">
        <f>CDPS!E21</f>
        <v>0</v>
      </c>
      <c r="I17" s="485">
        <f>J16-J17</f>
        <v>0</v>
      </c>
      <c r="J17" s="485">
        <f>CDPS!F21</f>
        <v>0</v>
      </c>
      <c r="K17" s="485">
        <f>L16-L17</f>
        <v>0</v>
      </c>
      <c r="L17" s="485">
        <f>CDPS!G21</f>
        <v>0</v>
      </c>
      <c r="M17" s="289"/>
    </row>
    <row r="18" spans="1:13" ht="18.75" customHeight="1">
      <c r="A18" s="289" t="str">
        <f t="shared" ref="A18" si="2">IF(B18&lt;&gt;"","NL","")</f>
        <v>NL</v>
      </c>
      <c r="B18" s="482">
        <f>IF(C18&lt;&gt;"",ROW()-(ROW()-1),"")</f>
        <v>1</v>
      </c>
      <c r="C18" s="291" t="s">
        <v>943</v>
      </c>
      <c r="D18" s="292" t="s">
        <v>357</v>
      </c>
      <c r="E18" s="25"/>
      <c r="F18" s="25"/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3">E18+G18-I18</f>
        <v>0</v>
      </c>
      <c r="L18" s="25">
        <f t="shared" ref="L18" si="4">F18+H18-J18</f>
        <v>0</v>
      </c>
      <c r="M18" s="289"/>
    </row>
    <row r="19" spans="1:13" ht="18.75" customHeight="1">
      <c r="A19" s="289" t="str">
        <f t="shared" ref="A19" si="5">IF(B19&lt;&gt;"","NL","")</f>
        <v/>
      </c>
      <c r="B19" s="803" t="str">
        <f>IF(C19&lt;&gt;"",ROW()-11,"")</f>
        <v/>
      </c>
      <c r="C19" s="291"/>
      <c r="D19" s="292"/>
      <c r="E19" s="25"/>
      <c r="F19" s="25"/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6">E19+G19-I19</f>
        <v>0</v>
      </c>
      <c r="L19" s="25">
        <f t="shared" ref="L19" si="7">F19+H19-J19</f>
        <v>0</v>
      </c>
      <c r="M19" s="289"/>
    </row>
    <row r="20" spans="1:13" ht="19.5" customHeight="1">
      <c r="A20" s="289" t="str">
        <f t="shared" ref="A20:A21" si="8">IF(B20&lt;&gt;"","NL","")</f>
        <v/>
      </c>
      <c r="B20" s="290" t="str">
        <f>IF(C20&lt;&gt;"",#REF!+1,"")</f>
        <v/>
      </c>
      <c r="C20" s="298"/>
      <c r="D20" s="299"/>
      <c r="E20" s="300"/>
      <c r="F20" s="300"/>
      <c r="G20" s="300"/>
      <c r="H20" s="300"/>
      <c r="I20" s="300"/>
      <c r="J20" s="300"/>
      <c r="K20" s="8"/>
      <c r="L20" s="8"/>
      <c r="M20" s="289"/>
    </row>
    <row r="21" spans="1:13" ht="19.5" customHeight="1">
      <c r="A21" s="289" t="str">
        <f t="shared" si="8"/>
        <v/>
      </c>
      <c r="B21" s="288"/>
      <c r="C21" s="297" t="s">
        <v>361</v>
      </c>
      <c r="D21" s="288"/>
      <c r="E21" s="13">
        <f t="shared" ref="E21:L21" si="9">SUM(E18:E20)</f>
        <v>0</v>
      </c>
      <c r="F21" s="13">
        <f t="shared" si="9"/>
        <v>0</v>
      </c>
      <c r="G21" s="13">
        <f t="shared" si="9"/>
        <v>0</v>
      </c>
      <c r="H21" s="13">
        <f t="shared" si="9"/>
        <v>0</v>
      </c>
      <c r="I21" s="13">
        <f t="shared" si="9"/>
        <v>0</v>
      </c>
      <c r="J21" s="13">
        <f t="shared" si="9"/>
        <v>0</v>
      </c>
      <c r="K21" s="13">
        <f t="shared" si="9"/>
        <v>0</v>
      </c>
      <c r="L21" s="13">
        <f t="shared" si="9"/>
        <v>0</v>
      </c>
      <c r="M21" s="289"/>
    </row>
    <row r="22" spans="1:13" ht="19.5" customHeight="1">
      <c r="A22" s="289"/>
      <c r="B22" s="483"/>
      <c r="C22" s="484"/>
      <c r="D22" s="483"/>
      <c r="E22" s="485">
        <f>F21-F22</f>
        <v>0</v>
      </c>
      <c r="F22" s="485">
        <f>CDPS!C20</f>
        <v>0</v>
      </c>
      <c r="G22" s="485">
        <f>H21-H22</f>
        <v>0</v>
      </c>
      <c r="H22" s="485">
        <f>CDPS!E20</f>
        <v>0</v>
      </c>
      <c r="I22" s="485">
        <f>J21-J22</f>
        <v>0</v>
      </c>
      <c r="J22" s="485">
        <f>CDPS!F20</f>
        <v>0</v>
      </c>
      <c r="K22" s="485">
        <f>L21-L22</f>
        <v>0</v>
      </c>
      <c r="L22" s="485">
        <f>CDPS!G20</f>
        <v>0</v>
      </c>
      <c r="M22" s="289"/>
    </row>
    <row r="23" spans="1:13" ht="19.5" customHeight="1">
      <c r="A23" s="289" t="str">
        <f t="shared" ref="A23:A53" si="10">IF(B23&lt;&gt;"","TP","")</f>
        <v>TP</v>
      </c>
      <c r="B23" s="302">
        <f t="shared" ref="B23:B53" si="11">IF(C23&lt;&gt;"",B22+1,"")</f>
        <v>1</v>
      </c>
      <c r="C23" s="293" t="s">
        <v>697</v>
      </c>
      <c r="D23" s="301" t="s">
        <v>691</v>
      </c>
      <c r="E23" s="25"/>
      <c r="F23" s="25"/>
      <c r="G23" s="25">
        <f t="array" ref="G23">SUM(IF("155"&amp;C23=KHN&amp;MH,SL))</f>
        <v>0</v>
      </c>
      <c r="H23" s="25">
        <f t="array" ref="H23">SUM(IF("155"&amp;C23=KHN&amp;MH,TH))</f>
        <v>0</v>
      </c>
      <c r="I23" s="25">
        <f t="array" ref="I23">SUM(IF("155"&amp;C23=KHC&amp;MH,SL))</f>
        <v>0</v>
      </c>
      <c r="J23" s="25">
        <f t="array" ref="J23">SUM(IF("155"&amp;C23=KHC&amp;MH,TH))</f>
        <v>0</v>
      </c>
      <c r="K23" s="25">
        <f t="shared" ref="K23:K86" si="12">E23+G23-I23</f>
        <v>0</v>
      </c>
      <c r="L23" s="25">
        <f t="shared" ref="L23:L86" si="13">F23+H23-J23</f>
        <v>0</v>
      </c>
      <c r="M23" s="289"/>
    </row>
    <row r="24" spans="1:13" ht="19.5" customHeight="1">
      <c r="A24" s="289" t="str">
        <f t="shared" si="10"/>
        <v>TP</v>
      </c>
      <c r="B24" s="302">
        <f t="shared" si="11"/>
        <v>2</v>
      </c>
      <c r="C24" s="293" t="s">
        <v>696</v>
      </c>
      <c r="D24" s="301" t="s">
        <v>691</v>
      </c>
      <c r="E24" s="8"/>
      <c r="F24" s="8"/>
      <c r="G24" s="25">
        <f t="array" ref="G24">SUM(IF("155"&amp;C24=KHN&amp;MH,SL))</f>
        <v>0</v>
      </c>
      <c r="H24" s="25">
        <f t="array" ref="H24">SUM(IF("155"&amp;C24=KHN&amp;MH,TH))</f>
        <v>0</v>
      </c>
      <c r="I24" s="25">
        <f t="array" ref="I24">SUM(IF("155"&amp;C24=KHC&amp;MH,SL))</f>
        <v>0</v>
      </c>
      <c r="J24" s="25">
        <f t="array" ref="J24">SUM(IF("155"&amp;C24=KHC&amp;MH,TH))</f>
        <v>0</v>
      </c>
      <c r="K24" s="8">
        <f t="shared" si="12"/>
        <v>0</v>
      </c>
      <c r="L24" s="8">
        <f t="shared" si="13"/>
        <v>0</v>
      </c>
      <c r="M24" s="289"/>
    </row>
    <row r="25" spans="1:13" ht="18" customHeight="1">
      <c r="A25" s="289" t="str">
        <f t="shared" si="10"/>
        <v>TP</v>
      </c>
      <c r="B25" s="302">
        <f t="shared" si="11"/>
        <v>3</v>
      </c>
      <c r="C25" s="293" t="s">
        <v>693</v>
      </c>
      <c r="D25" s="301" t="s">
        <v>692</v>
      </c>
      <c r="E25" s="8"/>
      <c r="F25" s="8"/>
      <c r="G25" s="25">
        <f t="array" ref="G25">SUM(IF("155"&amp;C25=KHN&amp;MH,SL))</f>
        <v>0</v>
      </c>
      <c r="H25" s="25">
        <f t="array" ref="H25">SUM(IF("155"&amp;C25=KHN&amp;MH,TH))</f>
        <v>0</v>
      </c>
      <c r="I25" s="25">
        <f t="array" ref="I25">SUM(IF("155"&amp;C25=KHC&amp;MH,SL))</f>
        <v>0</v>
      </c>
      <c r="J25" s="25">
        <f t="array" ref="J25">SUM(IF("155"&amp;C25=KHC&amp;MH,TH))</f>
        <v>0</v>
      </c>
      <c r="K25" s="8">
        <f t="shared" si="12"/>
        <v>0</v>
      </c>
      <c r="L25" s="8">
        <f t="shared" si="13"/>
        <v>0</v>
      </c>
      <c r="M25" s="289"/>
    </row>
    <row r="26" spans="1:13" ht="18" customHeight="1">
      <c r="A26" s="289" t="str">
        <f t="shared" si="10"/>
        <v>TP</v>
      </c>
      <c r="B26" s="302">
        <f t="shared" si="11"/>
        <v>4</v>
      </c>
      <c r="C26" s="293" t="s">
        <v>694</v>
      </c>
      <c r="D26" s="301" t="s">
        <v>692</v>
      </c>
      <c r="E26" s="8"/>
      <c r="F26" s="8"/>
      <c r="G26" s="25">
        <f t="array" ref="G26">SUM(IF("155"&amp;C26=KHN&amp;MH,SL))</f>
        <v>0</v>
      </c>
      <c r="H26" s="25">
        <f t="array" ref="H26">SUM(IF("155"&amp;C26=KHN&amp;MH,TH))</f>
        <v>0</v>
      </c>
      <c r="I26" s="25">
        <f t="array" ref="I26">SUM(IF("155"&amp;C26=KHC&amp;MH,SL))</f>
        <v>0</v>
      </c>
      <c r="J26" s="25">
        <f t="array" ref="J26">SUM(IF("155"&amp;C26=KHC&amp;MH,TH))</f>
        <v>0</v>
      </c>
      <c r="K26" s="8">
        <f t="shared" si="12"/>
        <v>0</v>
      </c>
      <c r="L26" s="8">
        <f t="shared" si="13"/>
        <v>0</v>
      </c>
      <c r="M26" s="289"/>
    </row>
    <row r="27" spans="1:13" ht="18.75" customHeight="1">
      <c r="A27" s="289" t="str">
        <f t="shared" si="10"/>
        <v>TP</v>
      </c>
      <c r="B27" s="302">
        <f t="shared" si="11"/>
        <v>5</v>
      </c>
      <c r="C27" s="293" t="s">
        <v>695</v>
      </c>
      <c r="D27" s="301" t="s">
        <v>917</v>
      </c>
      <c r="E27" s="8"/>
      <c r="F27" s="8"/>
      <c r="G27" s="25">
        <f t="array" ref="G27">SUM(IF("155"&amp;C27=KHN&amp;MH,SL))</f>
        <v>0</v>
      </c>
      <c r="H27" s="25">
        <f t="array" ref="H27">SUM(IF("155"&amp;C27=KHN&amp;MH,TH))</f>
        <v>0</v>
      </c>
      <c r="I27" s="25">
        <f t="array" ref="I27">SUM(IF("155"&amp;C27=KHC&amp;MH,SL))</f>
        <v>0</v>
      </c>
      <c r="J27" s="25">
        <f t="array" ref="J27">SUM(IF("155"&amp;C27=KHC&amp;MH,TH))</f>
        <v>0</v>
      </c>
      <c r="K27" s="8">
        <f t="shared" si="12"/>
        <v>0</v>
      </c>
      <c r="L27" s="8">
        <f t="shared" si="13"/>
        <v>0</v>
      </c>
      <c r="M27" s="289"/>
    </row>
    <row r="28" spans="1:13" ht="18.75" customHeight="1">
      <c r="A28" s="289" t="str">
        <f t="shared" si="10"/>
        <v>TP</v>
      </c>
      <c r="B28" s="302">
        <f t="shared" si="11"/>
        <v>6</v>
      </c>
      <c r="C28" s="293" t="s">
        <v>543</v>
      </c>
      <c r="D28" s="301" t="s">
        <v>691</v>
      </c>
      <c r="E28" s="8"/>
      <c r="F28" s="8"/>
      <c r="G28" s="25">
        <f t="array" ref="G28">SUM(IF("155"&amp;C28=KHN&amp;MH,SL))</f>
        <v>0</v>
      </c>
      <c r="H28" s="25">
        <f t="array" ref="H28">SUM(IF("155"&amp;C28=KHN&amp;MH,TH))</f>
        <v>0</v>
      </c>
      <c r="I28" s="25">
        <f t="array" ref="I28">SUM(IF("155"&amp;C28=KHC&amp;MH,SL))</f>
        <v>0</v>
      </c>
      <c r="J28" s="25">
        <f t="array" ref="J28">SUM(IF("155"&amp;C28=KHC&amp;MH,TH))</f>
        <v>0</v>
      </c>
      <c r="K28" s="8">
        <f t="shared" si="12"/>
        <v>0</v>
      </c>
      <c r="L28" s="8">
        <f t="shared" si="13"/>
        <v>0</v>
      </c>
      <c r="M28" s="289"/>
    </row>
    <row r="29" spans="1:13" ht="18.75" customHeight="1">
      <c r="A29" s="289" t="str">
        <f t="shared" si="10"/>
        <v>TP</v>
      </c>
      <c r="B29" s="302">
        <f t="shared" si="11"/>
        <v>7</v>
      </c>
      <c r="C29" s="293" t="s">
        <v>645</v>
      </c>
      <c r="D29" s="301" t="s">
        <v>691</v>
      </c>
      <c r="E29" s="8"/>
      <c r="F29" s="8"/>
      <c r="G29" s="25">
        <f t="array" ref="G29">SUM(IF("155"&amp;C29=KHN&amp;MH,SL))</f>
        <v>0</v>
      </c>
      <c r="H29" s="25">
        <f t="array" ref="H29">SUM(IF("155"&amp;C29=KHN&amp;MH,TH))</f>
        <v>0</v>
      </c>
      <c r="I29" s="25">
        <f t="array" ref="I29">SUM(IF("155"&amp;C29=KHC&amp;MH,SL))</f>
        <v>0</v>
      </c>
      <c r="J29" s="25">
        <f t="array" ref="J29">SUM(IF("155"&amp;C29=KHC&amp;MH,TH))</f>
        <v>0</v>
      </c>
      <c r="K29" s="8">
        <f t="shared" si="12"/>
        <v>0</v>
      </c>
      <c r="L29" s="8">
        <f t="shared" si="13"/>
        <v>0</v>
      </c>
      <c r="M29" s="289"/>
    </row>
    <row r="30" spans="1:13" ht="18.75" customHeight="1">
      <c r="A30" s="289" t="str">
        <f t="shared" si="10"/>
        <v>TP</v>
      </c>
      <c r="B30" s="302">
        <f t="shared" si="11"/>
        <v>8</v>
      </c>
      <c r="C30" s="293" t="s">
        <v>644</v>
      </c>
      <c r="D30" s="301" t="s">
        <v>691</v>
      </c>
      <c r="E30" s="8"/>
      <c r="F30" s="8"/>
      <c r="G30" s="25">
        <f t="array" ref="G30">SUM(IF("155"&amp;C30=KHN&amp;MH,SL))</f>
        <v>0</v>
      </c>
      <c r="H30" s="25">
        <f t="array" ref="H30">SUM(IF("155"&amp;C30=KHN&amp;MH,TH))</f>
        <v>0</v>
      </c>
      <c r="I30" s="25">
        <f t="array" ref="I30">SUM(IF("155"&amp;C30=KHC&amp;MH,SL))</f>
        <v>0</v>
      </c>
      <c r="J30" s="25">
        <f t="array" ref="J30">SUM(IF("155"&amp;C30=KHC&amp;MH,TH))</f>
        <v>0</v>
      </c>
      <c r="K30" s="8">
        <f t="shared" si="12"/>
        <v>0</v>
      </c>
      <c r="L30" s="8">
        <f t="shared" si="13"/>
        <v>0</v>
      </c>
      <c r="M30" s="289"/>
    </row>
    <row r="31" spans="1:13" ht="18.75" customHeight="1">
      <c r="A31" s="289" t="str">
        <f t="shared" si="10"/>
        <v>TP</v>
      </c>
      <c r="B31" s="302">
        <f t="shared" si="11"/>
        <v>9</v>
      </c>
      <c r="C31" s="293" t="s">
        <v>783</v>
      </c>
      <c r="D31" s="301" t="s">
        <v>691</v>
      </c>
      <c r="E31" s="8"/>
      <c r="F31" s="8"/>
      <c r="G31" s="25">
        <f t="array" ref="G31">SUM(IF("155"&amp;C31=KHN&amp;MH,SL))</f>
        <v>0</v>
      </c>
      <c r="H31" s="25">
        <f t="array" ref="H31">SUM(IF("155"&amp;C31=KHN&amp;MH,TH))</f>
        <v>0</v>
      </c>
      <c r="I31" s="25">
        <f t="array" ref="I31">SUM(IF("155"&amp;C31=KHC&amp;MH,SL))</f>
        <v>0</v>
      </c>
      <c r="J31" s="25">
        <f t="array" ref="J31">SUM(IF("155"&amp;C31=KHC&amp;MH,TH))</f>
        <v>0</v>
      </c>
      <c r="K31" s="8">
        <f t="shared" si="12"/>
        <v>0</v>
      </c>
      <c r="L31" s="8">
        <f t="shared" si="13"/>
        <v>0</v>
      </c>
      <c r="M31" s="289"/>
    </row>
    <row r="32" spans="1:13" ht="18.75" customHeight="1">
      <c r="A32" s="289" t="str">
        <f t="shared" si="10"/>
        <v>TP</v>
      </c>
      <c r="B32" s="302">
        <f t="shared" si="11"/>
        <v>10</v>
      </c>
      <c r="C32" s="293" t="s">
        <v>782</v>
      </c>
      <c r="D32" s="301" t="s">
        <v>691</v>
      </c>
      <c r="E32" s="8"/>
      <c r="F32" s="8"/>
      <c r="G32" s="25">
        <f t="array" ref="G32">SUM(IF("155"&amp;C32=KHN&amp;MH,SL))</f>
        <v>0</v>
      </c>
      <c r="H32" s="25">
        <f t="array" ref="H32">SUM(IF("155"&amp;C32=KHN&amp;MH,TH))</f>
        <v>0</v>
      </c>
      <c r="I32" s="25">
        <f t="array" ref="I32">SUM(IF("155"&amp;C32=KHC&amp;MH,SL))</f>
        <v>0</v>
      </c>
      <c r="J32" s="25">
        <f t="array" ref="J32">SUM(IF("155"&amp;C32=KHC&amp;MH,TH))</f>
        <v>0</v>
      </c>
      <c r="K32" s="8">
        <f t="shared" si="12"/>
        <v>0</v>
      </c>
      <c r="L32" s="8">
        <f t="shared" si="13"/>
        <v>0</v>
      </c>
      <c r="M32" s="289"/>
    </row>
    <row r="33" spans="1:13" ht="18.75" customHeight="1">
      <c r="A33" s="289" t="str">
        <f t="shared" si="10"/>
        <v>TP</v>
      </c>
      <c r="B33" s="302">
        <f t="shared" si="11"/>
        <v>11</v>
      </c>
      <c r="C33" s="191" t="s">
        <v>789</v>
      </c>
      <c r="D33" s="301" t="s">
        <v>691</v>
      </c>
      <c r="E33" s="8"/>
      <c r="F33" s="8"/>
      <c r="G33" s="25">
        <f t="array" ref="G33">SUM(IF("155"&amp;C33=KHN&amp;MH,SL))</f>
        <v>0</v>
      </c>
      <c r="H33" s="25">
        <f t="array" ref="H33">SUM(IF("155"&amp;C33=KHN&amp;MH,TH))</f>
        <v>0</v>
      </c>
      <c r="I33" s="25">
        <f t="array" ref="I33">SUM(IF("155"&amp;C33=KHC&amp;MH,SL))</f>
        <v>0</v>
      </c>
      <c r="J33" s="25">
        <f t="array" ref="J33">SUM(IF("155"&amp;C33=KHC&amp;MH,TH))</f>
        <v>0</v>
      </c>
      <c r="K33" s="8">
        <f t="shared" si="12"/>
        <v>0</v>
      </c>
      <c r="L33" s="8">
        <f t="shared" si="13"/>
        <v>0</v>
      </c>
      <c r="M33" s="289"/>
    </row>
    <row r="34" spans="1:13" ht="18.75" customHeight="1">
      <c r="A34" s="289" t="str">
        <f t="shared" si="10"/>
        <v>TP</v>
      </c>
      <c r="B34" s="302">
        <f t="shared" si="11"/>
        <v>12</v>
      </c>
      <c r="C34" s="293" t="s">
        <v>651</v>
      </c>
      <c r="D34" s="301" t="s">
        <v>691</v>
      </c>
      <c r="E34" s="8"/>
      <c r="F34" s="8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8">
        <f t="shared" si="12"/>
        <v>0</v>
      </c>
      <c r="L34" s="8">
        <f t="shared" si="13"/>
        <v>0</v>
      </c>
      <c r="M34" s="289"/>
    </row>
    <row r="35" spans="1:13" ht="18.75" customHeight="1">
      <c r="A35" s="289" t="str">
        <f t="shared" si="10"/>
        <v>TP</v>
      </c>
      <c r="B35" s="302">
        <f t="shared" si="11"/>
        <v>13</v>
      </c>
      <c r="C35" s="293" t="s">
        <v>652</v>
      </c>
      <c r="D35" s="301" t="s">
        <v>691</v>
      </c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2"/>
        <v>0</v>
      </c>
      <c r="L35" s="8">
        <f t="shared" si="13"/>
        <v>0</v>
      </c>
      <c r="M35" s="289"/>
    </row>
    <row r="36" spans="1:13" ht="18.75" customHeight="1">
      <c r="A36" s="289" t="str">
        <f t="shared" si="10"/>
        <v>TP</v>
      </c>
      <c r="B36" s="302">
        <f t="shared" si="11"/>
        <v>14</v>
      </c>
      <c r="C36" s="293" t="s">
        <v>653</v>
      </c>
      <c r="D36" s="301" t="s">
        <v>691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2"/>
        <v>0</v>
      </c>
      <c r="L36" s="8">
        <f t="shared" si="13"/>
        <v>0</v>
      </c>
      <c r="M36" s="289"/>
    </row>
    <row r="37" spans="1:13" ht="18.75" customHeight="1">
      <c r="A37" s="289" t="str">
        <f t="shared" si="10"/>
        <v>TP</v>
      </c>
      <c r="B37" s="302">
        <f t="shared" si="11"/>
        <v>15</v>
      </c>
      <c r="C37" s="293" t="s">
        <v>655</v>
      </c>
      <c r="D37" s="301" t="s">
        <v>691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2"/>
        <v>0</v>
      </c>
      <c r="L37" s="8">
        <f t="shared" si="13"/>
        <v>0</v>
      </c>
      <c r="M37" s="289"/>
    </row>
    <row r="38" spans="1:13" ht="18.75" customHeight="1">
      <c r="A38" s="289" t="str">
        <f t="shared" si="10"/>
        <v>TP</v>
      </c>
      <c r="B38" s="302">
        <f t="shared" si="11"/>
        <v>16</v>
      </c>
      <c r="C38" s="293" t="s">
        <v>654</v>
      </c>
      <c r="D38" s="301" t="s">
        <v>691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2"/>
        <v>0</v>
      </c>
      <c r="L38" s="8">
        <f t="shared" si="13"/>
        <v>0</v>
      </c>
      <c r="M38" s="289"/>
    </row>
    <row r="39" spans="1:13" ht="18.75" customHeight="1">
      <c r="A39" s="289" t="str">
        <f t="shared" si="10"/>
        <v>TP</v>
      </c>
      <c r="B39" s="302">
        <f t="shared" si="11"/>
        <v>17</v>
      </c>
      <c r="C39" s="293" t="s">
        <v>650</v>
      </c>
      <c r="D39" s="301" t="s">
        <v>691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2"/>
        <v>0</v>
      </c>
      <c r="L39" s="8">
        <f t="shared" si="13"/>
        <v>0</v>
      </c>
      <c r="M39" s="289"/>
    </row>
    <row r="40" spans="1:13" ht="18.75" customHeight="1">
      <c r="A40" s="289" t="str">
        <f t="shared" si="10"/>
        <v>TP</v>
      </c>
      <c r="B40" s="302">
        <f t="shared" si="11"/>
        <v>18</v>
      </c>
      <c r="C40" s="293" t="s">
        <v>734</v>
      </c>
      <c r="D40" s="301" t="s">
        <v>380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2"/>
        <v>0</v>
      </c>
      <c r="L40" s="8">
        <f t="shared" si="13"/>
        <v>0</v>
      </c>
      <c r="M40" s="289"/>
    </row>
    <row r="41" spans="1:13" ht="18.75" customHeight="1">
      <c r="A41" s="289" t="str">
        <f t="shared" si="10"/>
        <v>TP</v>
      </c>
      <c r="B41" s="302">
        <f t="shared" si="11"/>
        <v>19</v>
      </c>
      <c r="C41" s="40" t="s">
        <v>866</v>
      </c>
      <c r="D41" s="301" t="s">
        <v>917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2"/>
        <v>0</v>
      </c>
      <c r="L41" s="8">
        <f t="shared" si="13"/>
        <v>0</v>
      </c>
      <c r="M41" s="289"/>
    </row>
    <row r="42" spans="1:13" ht="18.75" customHeight="1">
      <c r="A42" s="289" t="str">
        <f t="shared" si="10"/>
        <v>TP</v>
      </c>
      <c r="B42" s="302">
        <f t="shared" si="11"/>
        <v>20</v>
      </c>
      <c r="C42" s="293" t="s">
        <v>623</v>
      </c>
      <c r="D42" s="301" t="s">
        <v>380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2"/>
        <v>0</v>
      </c>
      <c r="L42" s="8">
        <f t="shared" si="13"/>
        <v>0</v>
      </c>
      <c r="M42" s="289"/>
    </row>
    <row r="43" spans="1:13" ht="18.75" customHeight="1">
      <c r="A43" s="289" t="str">
        <f t="shared" si="10"/>
        <v>TP</v>
      </c>
      <c r="B43" s="302">
        <f t="shared" si="11"/>
        <v>21</v>
      </c>
      <c r="C43" s="293" t="s">
        <v>675</v>
      </c>
      <c r="D43" s="301" t="s">
        <v>917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2"/>
        <v>0</v>
      </c>
      <c r="L43" s="8">
        <f t="shared" si="13"/>
        <v>0</v>
      </c>
      <c r="M43" s="289"/>
    </row>
    <row r="44" spans="1:13" ht="18.75" customHeight="1">
      <c r="A44" s="289" t="str">
        <f t="shared" si="10"/>
        <v>TP</v>
      </c>
      <c r="B44" s="302">
        <f t="shared" si="11"/>
        <v>22</v>
      </c>
      <c r="C44" s="40" t="s">
        <v>891</v>
      </c>
      <c r="D44" s="301" t="s">
        <v>917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2"/>
        <v>0</v>
      </c>
      <c r="L44" s="8">
        <f t="shared" si="13"/>
        <v>0</v>
      </c>
      <c r="M44" s="289"/>
    </row>
    <row r="45" spans="1:13" ht="18.75" customHeight="1">
      <c r="A45" s="289" t="str">
        <f t="shared" si="10"/>
        <v>TP</v>
      </c>
      <c r="B45" s="302">
        <f t="shared" si="11"/>
        <v>23</v>
      </c>
      <c r="C45" s="293" t="s">
        <v>723</v>
      </c>
      <c r="D45" s="301" t="s">
        <v>917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2"/>
        <v>0</v>
      </c>
      <c r="L45" s="8">
        <f t="shared" si="13"/>
        <v>0</v>
      </c>
      <c r="M45" s="289"/>
    </row>
    <row r="46" spans="1:13" ht="18.75" customHeight="1">
      <c r="A46" s="289" t="str">
        <f t="shared" si="10"/>
        <v>TP</v>
      </c>
      <c r="B46" s="302">
        <f t="shared" si="11"/>
        <v>24</v>
      </c>
      <c r="C46" s="40" t="s">
        <v>826</v>
      </c>
      <c r="D46" s="301" t="s">
        <v>917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2"/>
        <v>0</v>
      </c>
      <c r="L46" s="8">
        <f t="shared" si="13"/>
        <v>0</v>
      </c>
      <c r="M46" s="289"/>
    </row>
    <row r="47" spans="1:13" ht="18.75" customHeight="1">
      <c r="A47" s="289" t="str">
        <f t="shared" si="10"/>
        <v>TP</v>
      </c>
      <c r="B47" s="302">
        <f t="shared" si="11"/>
        <v>25</v>
      </c>
      <c r="C47" s="293" t="s">
        <v>669</v>
      </c>
      <c r="D47" s="301" t="s">
        <v>917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2"/>
        <v>0</v>
      </c>
      <c r="L47" s="8">
        <f t="shared" si="13"/>
        <v>0</v>
      </c>
      <c r="M47" s="289"/>
    </row>
    <row r="48" spans="1:13" ht="18.75" customHeight="1">
      <c r="A48" s="289" t="str">
        <f t="shared" si="10"/>
        <v>TP</v>
      </c>
      <c r="B48" s="302">
        <f t="shared" si="11"/>
        <v>26</v>
      </c>
      <c r="C48" s="293" t="s">
        <v>676</v>
      </c>
      <c r="D48" s="301" t="s">
        <v>917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2"/>
        <v>0</v>
      </c>
      <c r="L48" s="8">
        <f t="shared" si="13"/>
        <v>0</v>
      </c>
      <c r="M48" s="289"/>
    </row>
    <row r="49" spans="1:13" ht="18.75" customHeight="1">
      <c r="A49" s="289" t="str">
        <f t="shared" si="10"/>
        <v>TP</v>
      </c>
      <c r="B49" s="302">
        <f t="shared" si="11"/>
        <v>27</v>
      </c>
      <c r="C49" s="40" t="s">
        <v>834</v>
      </c>
      <c r="D49" s="301" t="s">
        <v>917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2"/>
        <v>0</v>
      </c>
      <c r="L49" s="8">
        <f t="shared" si="13"/>
        <v>0</v>
      </c>
      <c r="M49" s="289"/>
    </row>
    <row r="50" spans="1:13" ht="18.75" customHeight="1">
      <c r="A50" s="289" t="str">
        <f t="shared" si="10"/>
        <v>TP</v>
      </c>
      <c r="B50" s="302">
        <f t="shared" si="11"/>
        <v>28</v>
      </c>
      <c r="C50" s="293" t="s">
        <v>706</v>
      </c>
      <c r="D50" s="301" t="s">
        <v>917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2"/>
        <v>0</v>
      </c>
      <c r="L50" s="8">
        <f t="shared" si="13"/>
        <v>0</v>
      </c>
      <c r="M50" s="289"/>
    </row>
    <row r="51" spans="1:13" ht="18.75" customHeight="1">
      <c r="A51" s="289" t="str">
        <f t="shared" si="10"/>
        <v>TP</v>
      </c>
      <c r="B51" s="302">
        <f t="shared" si="11"/>
        <v>29</v>
      </c>
      <c r="C51" s="40" t="s">
        <v>871</v>
      </c>
      <c r="D51" s="301" t="s">
        <v>917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2"/>
        <v>0</v>
      </c>
      <c r="L51" s="8">
        <f t="shared" si="13"/>
        <v>0</v>
      </c>
      <c r="M51" s="289"/>
    </row>
    <row r="52" spans="1:13" ht="18.75" customHeight="1">
      <c r="A52" s="289" t="str">
        <f t="shared" si="10"/>
        <v>TP</v>
      </c>
      <c r="B52" s="302">
        <f t="shared" si="11"/>
        <v>30</v>
      </c>
      <c r="C52" s="293" t="s">
        <v>707</v>
      </c>
      <c r="D52" s="301" t="s">
        <v>917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2"/>
        <v>0</v>
      </c>
      <c r="L52" s="8">
        <f t="shared" si="13"/>
        <v>0</v>
      </c>
      <c r="M52" s="289"/>
    </row>
    <row r="53" spans="1:13" ht="18.75" customHeight="1">
      <c r="A53" s="289" t="str">
        <f t="shared" si="10"/>
        <v>TP</v>
      </c>
      <c r="B53" s="302">
        <f t="shared" si="11"/>
        <v>31</v>
      </c>
      <c r="C53" s="293" t="s">
        <v>741</v>
      </c>
      <c r="D53" s="301" t="s">
        <v>917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2"/>
        <v>0</v>
      </c>
      <c r="L53" s="8">
        <f t="shared" si="13"/>
        <v>0</v>
      </c>
      <c r="M53" s="289"/>
    </row>
    <row r="54" spans="1:13" ht="18.75" customHeight="1">
      <c r="A54" s="289" t="str">
        <f t="shared" ref="A54:A59" si="14">IF(B54&lt;&gt;"","TP","")</f>
        <v>TP</v>
      </c>
      <c r="B54" s="302">
        <f t="shared" ref="B54:B59" si="15">IF(C54&lt;&gt;"",B53+1,"")</f>
        <v>32</v>
      </c>
      <c r="C54" s="40" t="s">
        <v>835</v>
      </c>
      <c r="D54" s="301" t="s">
        <v>917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2"/>
        <v>0</v>
      </c>
      <c r="L54" s="8">
        <f t="shared" si="13"/>
        <v>0</v>
      </c>
      <c r="M54" s="289"/>
    </row>
    <row r="55" spans="1:13" ht="18.75" customHeight="1">
      <c r="A55" s="289" t="str">
        <f t="shared" si="14"/>
        <v>TP</v>
      </c>
      <c r="B55" s="302">
        <f t="shared" si="15"/>
        <v>33</v>
      </c>
      <c r="C55" s="293" t="s">
        <v>544</v>
      </c>
      <c r="D55" s="301" t="s">
        <v>917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2"/>
        <v>0</v>
      </c>
      <c r="L55" s="8">
        <f t="shared" si="13"/>
        <v>0</v>
      </c>
      <c r="M55" s="289"/>
    </row>
    <row r="56" spans="1:13" ht="18.75" customHeight="1">
      <c r="A56" s="289" t="str">
        <f t="shared" si="14"/>
        <v>TP</v>
      </c>
      <c r="B56" s="302">
        <f t="shared" si="15"/>
        <v>34</v>
      </c>
      <c r="C56" s="293" t="s">
        <v>670</v>
      </c>
      <c r="D56" s="301" t="s">
        <v>917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2"/>
        <v>0</v>
      </c>
      <c r="L56" s="8">
        <f t="shared" si="13"/>
        <v>0</v>
      </c>
      <c r="M56" s="289"/>
    </row>
    <row r="57" spans="1:13" ht="18.75" customHeight="1">
      <c r="A57" s="289" t="str">
        <f t="shared" si="14"/>
        <v>TP</v>
      </c>
      <c r="B57" s="302">
        <f t="shared" si="15"/>
        <v>35</v>
      </c>
      <c r="C57" s="40" t="s">
        <v>838</v>
      </c>
      <c r="D57" s="301" t="s">
        <v>917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2"/>
        <v>0</v>
      </c>
      <c r="L57" s="8">
        <f t="shared" si="13"/>
        <v>0</v>
      </c>
      <c r="M57" s="289"/>
    </row>
    <row r="58" spans="1:13" ht="18.75" customHeight="1">
      <c r="A58" s="289" t="str">
        <f t="shared" si="14"/>
        <v>TP</v>
      </c>
      <c r="B58" s="302">
        <f t="shared" si="15"/>
        <v>36</v>
      </c>
      <c r="C58" s="40" t="s">
        <v>843</v>
      </c>
      <c r="D58" s="301" t="s">
        <v>917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2"/>
        <v>0</v>
      </c>
      <c r="L58" s="8">
        <f t="shared" si="13"/>
        <v>0</v>
      </c>
      <c r="M58" s="289"/>
    </row>
    <row r="59" spans="1:13" ht="18.75" customHeight="1">
      <c r="A59" s="289" t="str">
        <f t="shared" si="14"/>
        <v>TP</v>
      </c>
      <c r="B59" s="302">
        <f t="shared" si="15"/>
        <v>37</v>
      </c>
      <c r="C59" s="293" t="s">
        <v>532</v>
      </c>
      <c r="D59" s="301" t="s">
        <v>917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2"/>
        <v>0</v>
      </c>
      <c r="L59" s="8">
        <f t="shared" si="13"/>
        <v>0</v>
      </c>
      <c r="M59" s="289"/>
    </row>
    <row r="60" spans="1:13" ht="18.75" customHeight="1">
      <c r="A60" s="289" t="str">
        <f t="shared" ref="A60:A68" si="16">IF(B60&lt;&gt;"","TP","")</f>
        <v>TP</v>
      </c>
      <c r="B60" s="302">
        <f t="shared" ref="B60:B68" si="17">IF(C60&lt;&gt;"",B59+1,"")</f>
        <v>38</v>
      </c>
      <c r="C60" s="40" t="s">
        <v>857</v>
      </c>
      <c r="D60" s="301" t="s">
        <v>917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2"/>
        <v>0</v>
      </c>
      <c r="L60" s="8">
        <f t="shared" si="13"/>
        <v>0</v>
      </c>
      <c r="M60" s="289"/>
    </row>
    <row r="61" spans="1:13" ht="18.75" customHeight="1">
      <c r="A61" s="289" t="str">
        <f t="shared" si="16"/>
        <v>TP</v>
      </c>
      <c r="B61" s="302">
        <f t="shared" si="17"/>
        <v>39</v>
      </c>
      <c r="C61" s="40" t="s">
        <v>858</v>
      </c>
      <c r="D61" s="301" t="s">
        <v>917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2"/>
        <v>0</v>
      </c>
      <c r="L61" s="8">
        <f t="shared" si="13"/>
        <v>0</v>
      </c>
      <c r="M61" s="289"/>
    </row>
    <row r="62" spans="1:13" ht="18.75" customHeight="1">
      <c r="A62" s="289" t="str">
        <f t="shared" si="16"/>
        <v>TP</v>
      </c>
      <c r="B62" s="302">
        <f t="shared" si="17"/>
        <v>40</v>
      </c>
      <c r="C62" s="293" t="s">
        <v>704</v>
      </c>
      <c r="D62" s="301" t="s">
        <v>917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2"/>
        <v>0</v>
      </c>
      <c r="L62" s="8">
        <f t="shared" si="13"/>
        <v>0</v>
      </c>
      <c r="M62" s="289"/>
    </row>
    <row r="63" spans="1:13" ht="18.75" customHeight="1">
      <c r="A63" s="289" t="str">
        <f t="shared" si="16"/>
        <v>TP</v>
      </c>
      <c r="B63" s="302">
        <f t="shared" si="17"/>
        <v>41</v>
      </c>
      <c r="C63" s="293" t="s">
        <v>703</v>
      </c>
      <c r="D63" s="301" t="s">
        <v>917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2"/>
        <v>0</v>
      </c>
      <c r="L63" s="8">
        <f t="shared" si="13"/>
        <v>0</v>
      </c>
      <c r="M63" s="289"/>
    </row>
    <row r="64" spans="1:13" ht="18.75" customHeight="1">
      <c r="A64" s="289" t="str">
        <f t="shared" si="16"/>
        <v>TP</v>
      </c>
      <c r="B64" s="302">
        <f t="shared" si="17"/>
        <v>42</v>
      </c>
      <c r="C64" s="40" t="s">
        <v>892</v>
      </c>
      <c r="D64" s="301" t="s">
        <v>917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2"/>
        <v>0</v>
      </c>
      <c r="L64" s="8">
        <f t="shared" si="13"/>
        <v>0</v>
      </c>
      <c r="M64" s="289"/>
    </row>
    <row r="65" spans="1:13" ht="18.75" customHeight="1">
      <c r="A65" s="289" t="str">
        <f t="shared" si="16"/>
        <v>TP</v>
      </c>
      <c r="B65" s="302">
        <f t="shared" si="17"/>
        <v>43</v>
      </c>
      <c r="C65" s="40" t="s">
        <v>860</v>
      </c>
      <c r="D65" s="301" t="s">
        <v>917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2"/>
        <v>0</v>
      </c>
      <c r="L65" s="8">
        <f t="shared" si="13"/>
        <v>0</v>
      </c>
      <c r="M65" s="289"/>
    </row>
    <row r="66" spans="1:13" ht="18.75" customHeight="1">
      <c r="A66" s="289" t="str">
        <f t="shared" si="16"/>
        <v>TP</v>
      </c>
      <c r="B66" s="302">
        <f t="shared" si="17"/>
        <v>44</v>
      </c>
      <c r="C66" s="293" t="s">
        <v>678</v>
      </c>
      <c r="D66" s="301" t="s">
        <v>917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2"/>
        <v>0</v>
      </c>
      <c r="L66" s="8">
        <f t="shared" si="13"/>
        <v>0</v>
      </c>
      <c r="M66" s="289"/>
    </row>
    <row r="67" spans="1:13" ht="18.75" customHeight="1">
      <c r="A67" s="289" t="str">
        <f t="shared" si="16"/>
        <v>TP</v>
      </c>
      <c r="B67" s="302">
        <f t="shared" si="17"/>
        <v>45</v>
      </c>
      <c r="C67" s="293" t="s">
        <v>739</v>
      </c>
      <c r="D67" s="301" t="s">
        <v>917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2"/>
        <v>0</v>
      </c>
      <c r="L67" s="8">
        <f t="shared" si="13"/>
        <v>0</v>
      </c>
      <c r="M67" s="289"/>
    </row>
    <row r="68" spans="1:13" ht="18.75" customHeight="1">
      <c r="A68" s="289" t="str">
        <f t="shared" si="16"/>
        <v>TP</v>
      </c>
      <c r="B68" s="302">
        <f t="shared" si="17"/>
        <v>46</v>
      </c>
      <c r="C68" s="293" t="s">
        <v>657</v>
      </c>
      <c r="D68" s="301" t="s">
        <v>917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2"/>
        <v>0</v>
      </c>
      <c r="L68" s="8">
        <f t="shared" si="13"/>
        <v>0</v>
      </c>
      <c r="M68" s="289"/>
    </row>
    <row r="69" spans="1:13" ht="18.75" customHeight="1">
      <c r="A69" s="289" t="str">
        <f t="shared" ref="A69:A78" si="18">IF(B69&lt;&gt;"","TP","")</f>
        <v>TP</v>
      </c>
      <c r="B69" s="302">
        <f t="shared" ref="B69:B73" si="19">IF(C69&lt;&gt;"",B68+1,"")</f>
        <v>47</v>
      </c>
      <c r="C69" s="293" t="s">
        <v>677</v>
      </c>
      <c r="D69" s="301" t="s">
        <v>917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2"/>
        <v>0</v>
      </c>
      <c r="L69" s="8">
        <f t="shared" si="13"/>
        <v>0</v>
      </c>
      <c r="M69" s="289"/>
    </row>
    <row r="70" spans="1:13" ht="18" customHeight="1">
      <c r="A70" s="289" t="str">
        <f t="shared" si="18"/>
        <v>TP</v>
      </c>
      <c r="B70" s="302">
        <f t="shared" si="19"/>
        <v>48</v>
      </c>
      <c r="C70" s="40" t="s">
        <v>827</v>
      </c>
      <c r="D70" s="301" t="s">
        <v>917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2"/>
        <v>0</v>
      </c>
      <c r="L70" s="8">
        <f t="shared" si="13"/>
        <v>0</v>
      </c>
      <c r="M70" s="289"/>
    </row>
    <row r="71" spans="1:13" ht="18" customHeight="1">
      <c r="A71" s="289" t="str">
        <f t="shared" si="18"/>
        <v>TP</v>
      </c>
      <c r="B71" s="302">
        <f t="shared" si="19"/>
        <v>49</v>
      </c>
      <c r="C71" s="40" t="s">
        <v>842</v>
      </c>
      <c r="D71" s="301" t="s">
        <v>917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2"/>
        <v>0</v>
      </c>
      <c r="L71" s="8">
        <f t="shared" si="13"/>
        <v>0</v>
      </c>
      <c r="M71" s="289"/>
    </row>
    <row r="72" spans="1:13" ht="18.75" customHeight="1">
      <c r="A72" s="289" t="str">
        <f t="shared" si="18"/>
        <v>TP</v>
      </c>
      <c r="B72" s="302">
        <f t="shared" si="19"/>
        <v>50</v>
      </c>
      <c r="C72" s="293" t="s">
        <v>658</v>
      </c>
      <c r="D72" s="301" t="s">
        <v>917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2"/>
        <v>0</v>
      </c>
      <c r="L72" s="8">
        <f t="shared" si="13"/>
        <v>0</v>
      </c>
      <c r="M72" s="289"/>
    </row>
    <row r="73" spans="1:13" ht="18.75" customHeight="1">
      <c r="A73" s="289" t="str">
        <f t="shared" si="18"/>
        <v>TP</v>
      </c>
      <c r="B73" s="302">
        <f t="shared" si="19"/>
        <v>51</v>
      </c>
      <c r="C73" s="191" t="s">
        <v>813</v>
      </c>
      <c r="D73" s="301" t="s">
        <v>917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2"/>
        <v>0</v>
      </c>
      <c r="L73" s="8">
        <f t="shared" si="13"/>
        <v>0</v>
      </c>
      <c r="M73" s="289"/>
    </row>
    <row r="74" spans="1:13" ht="18.75" customHeight="1">
      <c r="A74" s="289" t="str">
        <f t="shared" si="18"/>
        <v>TP</v>
      </c>
      <c r="B74" s="302">
        <f t="shared" ref="B74:B78" si="20">IF(C74&lt;&gt;"",B73+1,"")</f>
        <v>52</v>
      </c>
      <c r="C74" s="191" t="s">
        <v>806</v>
      </c>
      <c r="D74" s="301" t="s">
        <v>917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2"/>
        <v>0</v>
      </c>
      <c r="L74" s="8">
        <f t="shared" si="13"/>
        <v>0</v>
      </c>
      <c r="M74" s="289"/>
    </row>
    <row r="75" spans="1:13" ht="18.75" customHeight="1">
      <c r="A75" s="289" t="str">
        <f t="shared" si="18"/>
        <v>TP</v>
      </c>
      <c r="B75" s="302">
        <f t="shared" si="20"/>
        <v>53</v>
      </c>
      <c r="C75" s="191" t="s">
        <v>805</v>
      </c>
      <c r="D75" s="301" t="s">
        <v>917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2"/>
        <v>0</v>
      </c>
      <c r="L75" s="8">
        <f t="shared" si="13"/>
        <v>0</v>
      </c>
      <c r="M75" s="289"/>
    </row>
    <row r="76" spans="1:13" ht="18.75" customHeight="1">
      <c r="A76" s="289" t="str">
        <f t="shared" si="18"/>
        <v>TP</v>
      </c>
      <c r="B76" s="302">
        <f t="shared" si="20"/>
        <v>54</v>
      </c>
      <c r="C76" s="40" t="s">
        <v>859</v>
      </c>
      <c r="D76" s="301" t="s">
        <v>917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2"/>
        <v>0</v>
      </c>
      <c r="L76" s="8">
        <f t="shared" si="13"/>
        <v>0</v>
      </c>
      <c r="M76" s="289"/>
    </row>
    <row r="77" spans="1:13" ht="18.75" customHeight="1">
      <c r="A77" s="289" t="str">
        <f t="shared" si="18"/>
        <v>TP</v>
      </c>
      <c r="B77" s="302">
        <f t="shared" si="20"/>
        <v>55</v>
      </c>
      <c r="C77" s="293" t="s">
        <v>545</v>
      </c>
      <c r="D77" s="301" t="s">
        <v>917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2"/>
        <v>0</v>
      </c>
      <c r="L77" s="8">
        <f t="shared" si="13"/>
        <v>0</v>
      </c>
      <c r="M77" s="289"/>
    </row>
    <row r="78" spans="1:13" ht="18.75" customHeight="1">
      <c r="A78" s="289" t="str">
        <f t="shared" si="18"/>
        <v>TP</v>
      </c>
      <c r="B78" s="302">
        <f t="shared" si="20"/>
        <v>56</v>
      </c>
      <c r="C78" s="40" t="s">
        <v>903</v>
      </c>
      <c r="D78" s="301" t="s">
        <v>917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2"/>
        <v>0</v>
      </c>
      <c r="L78" s="8">
        <f t="shared" si="13"/>
        <v>0</v>
      </c>
      <c r="M78" s="289"/>
    </row>
    <row r="79" spans="1:13" ht="18.75" customHeight="1">
      <c r="A79" s="289" t="str">
        <f>IF(B79&lt;&gt;"","TP","")</f>
        <v>TP</v>
      </c>
      <c r="B79" s="302">
        <f>IF(C79&lt;&gt;"",B78+1,"")</f>
        <v>57</v>
      </c>
      <c r="C79" s="293" t="s">
        <v>535</v>
      </c>
      <c r="D79" s="301" t="s">
        <v>917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2"/>
        <v>0</v>
      </c>
      <c r="L79" s="8">
        <f t="shared" si="13"/>
        <v>0</v>
      </c>
      <c r="M79" s="289"/>
    </row>
    <row r="80" spans="1:13" ht="18.75" customHeight="1">
      <c r="A80" s="289" t="str">
        <f>IF(B80&lt;&gt;"","TP","")</f>
        <v>TP</v>
      </c>
      <c r="B80" s="302">
        <f>IF(C80&lt;&gt;"",B79+1,"")</f>
        <v>58</v>
      </c>
      <c r="C80" s="293" t="s">
        <v>712</v>
      </c>
      <c r="D80" s="301" t="s">
        <v>917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2"/>
        <v>0</v>
      </c>
      <c r="L80" s="8">
        <f t="shared" si="13"/>
        <v>0</v>
      </c>
      <c r="M80" s="289"/>
    </row>
    <row r="81" spans="1:13" ht="18.75" customHeight="1">
      <c r="A81" s="289" t="str">
        <f>IF(B81&lt;&gt;"","TP","")</f>
        <v>TP</v>
      </c>
      <c r="B81" s="302">
        <f>IF(C81&lt;&gt;"",B80+1,"")</f>
        <v>59</v>
      </c>
      <c r="C81" s="40" t="s">
        <v>904</v>
      </c>
      <c r="D81" s="301" t="s">
        <v>917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2"/>
        <v>0</v>
      </c>
      <c r="L81" s="8">
        <f t="shared" si="13"/>
        <v>0</v>
      </c>
      <c r="M81" s="289"/>
    </row>
    <row r="82" spans="1:13" ht="18.75" customHeight="1">
      <c r="A82" s="289" t="str">
        <f>IF(B82&lt;&gt;"","TP","")</f>
        <v>TP</v>
      </c>
      <c r="B82" s="302">
        <f>IF(C82&lt;&gt;"",B81+1,"")</f>
        <v>60</v>
      </c>
      <c r="C82" s="293" t="s">
        <v>740</v>
      </c>
      <c r="D82" s="301" t="s">
        <v>917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2"/>
        <v>0</v>
      </c>
      <c r="L82" s="8">
        <f t="shared" si="13"/>
        <v>0</v>
      </c>
      <c r="M82" s="289"/>
    </row>
    <row r="83" spans="1:13" ht="18.75" customHeight="1">
      <c r="A83" s="289" t="str">
        <f>IF(B83&lt;&gt;"","TP","")</f>
        <v>TP</v>
      </c>
      <c r="B83" s="302">
        <f>IF(C83&lt;&gt;"",B82+1,"")</f>
        <v>61</v>
      </c>
      <c r="C83" s="293" t="s">
        <v>743</v>
      </c>
      <c r="D83" s="301" t="s">
        <v>917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2"/>
        <v>0</v>
      </c>
      <c r="L83" s="8">
        <f t="shared" si="13"/>
        <v>0</v>
      </c>
      <c r="M83" s="289"/>
    </row>
    <row r="84" spans="1:13" ht="18.75" customHeight="1">
      <c r="A84" s="289" t="str">
        <f t="shared" ref="A84:A89" si="21">IF(B84&lt;&gt;"","TP","")</f>
        <v>TP</v>
      </c>
      <c r="B84" s="302">
        <f t="shared" ref="B84:B89" si="22">IF(C84&lt;&gt;"",B83+1,"")</f>
        <v>62</v>
      </c>
      <c r="C84" s="293" t="s">
        <v>745</v>
      </c>
      <c r="D84" s="301" t="s">
        <v>917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2"/>
        <v>0</v>
      </c>
      <c r="L84" s="8">
        <f t="shared" si="13"/>
        <v>0</v>
      </c>
      <c r="M84" s="289"/>
    </row>
    <row r="85" spans="1:13" ht="18.75" customHeight="1">
      <c r="A85" s="289" t="str">
        <f t="shared" si="21"/>
        <v>TP</v>
      </c>
      <c r="B85" s="302">
        <f t="shared" si="22"/>
        <v>63</v>
      </c>
      <c r="C85" s="40" t="s">
        <v>821</v>
      </c>
      <c r="D85" s="301" t="s">
        <v>917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2"/>
        <v>0</v>
      </c>
      <c r="L85" s="8">
        <f t="shared" si="13"/>
        <v>0</v>
      </c>
      <c r="M85" s="289"/>
    </row>
    <row r="86" spans="1:13" ht="18.75" customHeight="1">
      <c r="A86" s="289" t="str">
        <f t="shared" si="21"/>
        <v>TP</v>
      </c>
      <c r="B86" s="302">
        <f t="shared" si="22"/>
        <v>64</v>
      </c>
      <c r="C86" s="191" t="s">
        <v>808</v>
      </c>
      <c r="D86" s="301" t="s">
        <v>917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2"/>
        <v>0</v>
      </c>
      <c r="L86" s="8">
        <f t="shared" si="13"/>
        <v>0</v>
      </c>
      <c r="M86" s="289"/>
    </row>
    <row r="87" spans="1:13" ht="18.75" customHeight="1">
      <c r="A87" s="289" t="str">
        <f t="shared" si="21"/>
        <v>TP</v>
      </c>
      <c r="B87" s="302">
        <f t="shared" si="22"/>
        <v>65</v>
      </c>
      <c r="C87" s="40" t="s">
        <v>840</v>
      </c>
      <c r="D87" s="301" t="s">
        <v>917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ref="K87:K150" si="23">E87+G87-I87</f>
        <v>0</v>
      </c>
      <c r="L87" s="8">
        <f t="shared" ref="L87:L150" si="24">F87+H87-J87</f>
        <v>0</v>
      </c>
      <c r="M87" s="289"/>
    </row>
    <row r="88" spans="1:13" ht="19.5" customHeight="1">
      <c r="A88" s="289" t="str">
        <f t="shared" si="21"/>
        <v>TP</v>
      </c>
      <c r="B88" s="302">
        <f t="shared" si="22"/>
        <v>66</v>
      </c>
      <c r="C88" s="293" t="s">
        <v>531</v>
      </c>
      <c r="D88" s="301" t="s">
        <v>917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23"/>
        <v>0</v>
      </c>
      <c r="L88" s="8">
        <f t="shared" si="24"/>
        <v>0</v>
      </c>
      <c r="M88" s="289"/>
    </row>
    <row r="89" spans="1:13" ht="19.5" customHeight="1">
      <c r="A89" s="289" t="str">
        <f t="shared" si="21"/>
        <v>TP</v>
      </c>
      <c r="B89" s="302">
        <f t="shared" si="22"/>
        <v>67</v>
      </c>
      <c r="C89" s="40" t="s">
        <v>872</v>
      </c>
      <c r="D89" s="301" t="s">
        <v>917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23"/>
        <v>0</v>
      </c>
      <c r="L89" s="8">
        <f t="shared" si="24"/>
        <v>0</v>
      </c>
      <c r="M89" s="289"/>
    </row>
    <row r="90" spans="1:13" ht="19.5" customHeight="1">
      <c r="A90" s="289" t="str">
        <f t="shared" ref="A90:A98" si="25">IF(B90&lt;&gt;"","TP","")</f>
        <v>TP</v>
      </c>
      <c r="B90" s="302">
        <f t="shared" ref="B90:B98" si="26">IF(C90&lt;&gt;"",B89+1,"")</f>
        <v>68</v>
      </c>
      <c r="C90" s="40" t="s">
        <v>912</v>
      </c>
      <c r="D90" s="301" t="s">
        <v>917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23"/>
        <v>0</v>
      </c>
      <c r="L90" s="8">
        <f t="shared" si="24"/>
        <v>0</v>
      </c>
      <c r="M90" s="289"/>
    </row>
    <row r="91" spans="1:13" ht="19.5" customHeight="1">
      <c r="A91" s="289" t="str">
        <f t="shared" si="25"/>
        <v>TP</v>
      </c>
      <c r="B91" s="302">
        <f t="shared" si="26"/>
        <v>69</v>
      </c>
      <c r="C91" s="40" t="s">
        <v>861</v>
      </c>
      <c r="D91" s="301" t="s">
        <v>917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23"/>
        <v>0</v>
      </c>
      <c r="L91" s="8">
        <f t="shared" si="24"/>
        <v>0</v>
      </c>
      <c r="M91" s="289"/>
    </row>
    <row r="92" spans="1:13" ht="19.5" customHeight="1">
      <c r="A92" s="289" t="str">
        <f t="shared" si="25"/>
        <v>TP</v>
      </c>
      <c r="B92" s="302">
        <f t="shared" si="26"/>
        <v>70</v>
      </c>
      <c r="C92" s="40" t="s">
        <v>862</v>
      </c>
      <c r="D92" s="301" t="s">
        <v>917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23"/>
        <v>0</v>
      </c>
      <c r="L92" s="8">
        <f t="shared" si="24"/>
        <v>0</v>
      </c>
      <c r="M92" s="289"/>
    </row>
    <row r="93" spans="1:13" ht="19.5" customHeight="1">
      <c r="A93" s="289" t="str">
        <f t="shared" si="25"/>
        <v>TP</v>
      </c>
      <c r="B93" s="302">
        <f t="shared" si="26"/>
        <v>71</v>
      </c>
      <c r="C93" s="40" t="s">
        <v>915</v>
      </c>
      <c r="D93" s="301" t="s">
        <v>917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23"/>
        <v>0</v>
      </c>
      <c r="L93" s="8">
        <f t="shared" si="24"/>
        <v>0</v>
      </c>
      <c r="M93" s="289"/>
    </row>
    <row r="94" spans="1:13" ht="19.5" customHeight="1">
      <c r="A94" s="289" t="str">
        <f t="shared" si="25"/>
        <v>TP</v>
      </c>
      <c r="B94" s="302">
        <f t="shared" si="26"/>
        <v>72</v>
      </c>
      <c r="C94" s="40" t="s">
        <v>908</v>
      </c>
      <c r="D94" s="301" t="s">
        <v>917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23"/>
        <v>0</v>
      </c>
      <c r="L94" s="8">
        <f t="shared" si="24"/>
        <v>0</v>
      </c>
      <c r="M94" s="289"/>
    </row>
    <row r="95" spans="1:13" ht="19.5" customHeight="1">
      <c r="A95" s="289" t="str">
        <f t="shared" si="25"/>
        <v>TP</v>
      </c>
      <c r="B95" s="302">
        <f t="shared" si="26"/>
        <v>73</v>
      </c>
      <c r="C95" s="293" t="s">
        <v>541</v>
      </c>
      <c r="D95" s="301" t="s">
        <v>917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23"/>
        <v>0</v>
      </c>
      <c r="L95" s="8">
        <f t="shared" si="24"/>
        <v>0</v>
      </c>
      <c r="M95" s="289"/>
    </row>
    <row r="96" spans="1:13" ht="19.5" customHeight="1">
      <c r="A96" s="289" t="str">
        <f t="shared" si="25"/>
        <v>TP</v>
      </c>
      <c r="B96" s="302">
        <f t="shared" si="26"/>
        <v>74</v>
      </c>
      <c r="C96" s="293" t="s">
        <v>668</v>
      </c>
      <c r="D96" s="301" t="s">
        <v>917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23"/>
        <v>0</v>
      </c>
      <c r="L96" s="8">
        <f t="shared" si="24"/>
        <v>0</v>
      </c>
      <c r="M96" s="289"/>
    </row>
    <row r="97" spans="1:13" ht="19.5" customHeight="1">
      <c r="A97" s="289" t="str">
        <f t="shared" si="25"/>
        <v>TP</v>
      </c>
      <c r="B97" s="302">
        <f t="shared" si="26"/>
        <v>75</v>
      </c>
      <c r="C97" s="293" t="s">
        <v>659</v>
      </c>
      <c r="D97" s="301" t="s">
        <v>917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23"/>
        <v>0</v>
      </c>
      <c r="L97" s="8">
        <f t="shared" si="24"/>
        <v>0</v>
      </c>
      <c r="M97" s="289"/>
    </row>
    <row r="98" spans="1:13" ht="19.5" customHeight="1">
      <c r="A98" s="289" t="str">
        <f t="shared" si="25"/>
        <v>TP</v>
      </c>
      <c r="B98" s="302">
        <f t="shared" si="26"/>
        <v>76</v>
      </c>
      <c r="C98" s="40" t="s">
        <v>910</v>
      </c>
      <c r="D98" s="301" t="s">
        <v>917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23"/>
        <v>0</v>
      </c>
      <c r="L98" s="8">
        <f t="shared" si="24"/>
        <v>0</v>
      </c>
      <c r="M98" s="289"/>
    </row>
    <row r="99" spans="1:13" ht="19.5" customHeight="1">
      <c r="A99" s="289" t="str">
        <f t="shared" ref="A99:A110" si="27">IF(B99&lt;&gt;"","TP","")</f>
        <v>TP</v>
      </c>
      <c r="B99" s="302">
        <f t="shared" ref="B99:B110" si="28">IF(C99&lt;&gt;"",B98+1,"")</f>
        <v>77</v>
      </c>
      <c r="C99" s="293" t="s">
        <v>542</v>
      </c>
      <c r="D99" s="301" t="s">
        <v>917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3"/>
        <v>0</v>
      </c>
      <c r="L99" s="8">
        <f t="shared" si="24"/>
        <v>0</v>
      </c>
      <c r="M99" s="289"/>
    </row>
    <row r="100" spans="1:13" ht="19.5" customHeight="1">
      <c r="A100" s="289" t="str">
        <f t="shared" si="27"/>
        <v>TP</v>
      </c>
      <c r="B100" s="302">
        <f t="shared" si="28"/>
        <v>78</v>
      </c>
      <c r="C100" s="40" t="s">
        <v>902</v>
      </c>
      <c r="D100" s="301" t="s">
        <v>917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3"/>
        <v>0</v>
      </c>
      <c r="L100" s="8">
        <f t="shared" si="24"/>
        <v>0</v>
      </c>
      <c r="M100" s="289"/>
    </row>
    <row r="101" spans="1:13" ht="19.5" customHeight="1">
      <c r="A101" s="289" t="str">
        <f t="shared" si="27"/>
        <v>TP</v>
      </c>
      <c r="B101" s="302">
        <f t="shared" si="28"/>
        <v>79</v>
      </c>
      <c r="C101" s="293" t="s">
        <v>720</v>
      </c>
      <c r="D101" s="301" t="s">
        <v>917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3"/>
        <v>0</v>
      </c>
      <c r="L101" s="8">
        <f t="shared" si="24"/>
        <v>0</v>
      </c>
      <c r="M101" s="289"/>
    </row>
    <row r="102" spans="1:13" ht="19.5" customHeight="1">
      <c r="A102" s="289" t="str">
        <f t="shared" si="27"/>
        <v>TP</v>
      </c>
      <c r="B102" s="302">
        <f t="shared" si="28"/>
        <v>80</v>
      </c>
      <c r="C102" s="293" t="s">
        <v>536</v>
      </c>
      <c r="D102" s="301" t="s">
        <v>917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3"/>
        <v>0</v>
      </c>
      <c r="L102" s="8">
        <f t="shared" si="24"/>
        <v>0</v>
      </c>
      <c r="M102" s="289"/>
    </row>
    <row r="103" spans="1:13" ht="19.5" customHeight="1">
      <c r="A103" s="289" t="str">
        <f t="shared" si="27"/>
        <v>TP</v>
      </c>
      <c r="B103" s="302">
        <f t="shared" si="28"/>
        <v>81</v>
      </c>
      <c r="C103" s="293" t="s">
        <v>718</v>
      </c>
      <c r="D103" s="301" t="s">
        <v>917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3"/>
        <v>0</v>
      </c>
      <c r="L103" s="8">
        <f t="shared" si="24"/>
        <v>0</v>
      </c>
      <c r="M103" s="289"/>
    </row>
    <row r="104" spans="1:13" ht="19.5" customHeight="1">
      <c r="A104" s="289" t="str">
        <f t="shared" si="27"/>
        <v>TP</v>
      </c>
      <c r="B104" s="302">
        <f t="shared" si="28"/>
        <v>82</v>
      </c>
      <c r="C104" s="40" t="s">
        <v>906</v>
      </c>
      <c r="D104" s="301" t="s">
        <v>917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3"/>
        <v>0</v>
      </c>
      <c r="L104" s="8">
        <f t="shared" si="24"/>
        <v>0</v>
      </c>
      <c r="M104" s="289"/>
    </row>
    <row r="105" spans="1:13" ht="19.5" customHeight="1">
      <c r="A105" s="289" t="str">
        <f t="shared" si="27"/>
        <v>TP</v>
      </c>
      <c r="B105" s="302">
        <f t="shared" si="28"/>
        <v>83</v>
      </c>
      <c r="C105" s="40" t="s">
        <v>822</v>
      </c>
      <c r="D105" s="301" t="s">
        <v>917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3"/>
        <v>0</v>
      </c>
      <c r="L105" s="8">
        <f t="shared" si="24"/>
        <v>0</v>
      </c>
      <c r="M105" s="289"/>
    </row>
    <row r="106" spans="1:13" ht="19.5" customHeight="1">
      <c r="A106" s="289" t="str">
        <f t="shared" si="27"/>
        <v>TP</v>
      </c>
      <c r="B106" s="302">
        <f t="shared" si="28"/>
        <v>84</v>
      </c>
      <c r="C106" s="293" t="s">
        <v>672</v>
      </c>
      <c r="D106" s="301" t="s">
        <v>917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3"/>
        <v>0</v>
      </c>
      <c r="L106" s="8">
        <f t="shared" si="24"/>
        <v>0</v>
      </c>
      <c r="M106" s="289"/>
    </row>
    <row r="107" spans="1:13" ht="19.5" customHeight="1">
      <c r="A107" s="289" t="str">
        <f t="shared" si="27"/>
        <v>TP</v>
      </c>
      <c r="B107" s="302">
        <f t="shared" si="28"/>
        <v>85</v>
      </c>
      <c r="C107" s="293" t="s">
        <v>673</v>
      </c>
      <c r="D107" s="301" t="s">
        <v>917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3"/>
        <v>0</v>
      </c>
      <c r="L107" s="8">
        <f t="shared" si="24"/>
        <v>0</v>
      </c>
      <c r="M107" s="289"/>
    </row>
    <row r="108" spans="1:13" ht="19.5" customHeight="1">
      <c r="A108" s="289" t="str">
        <f t="shared" si="27"/>
        <v>TP</v>
      </c>
      <c r="B108" s="302">
        <f t="shared" si="28"/>
        <v>86</v>
      </c>
      <c r="C108" s="293" t="s">
        <v>533</v>
      </c>
      <c r="D108" s="301" t="s">
        <v>917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3"/>
        <v>0</v>
      </c>
      <c r="L108" s="8">
        <f t="shared" si="24"/>
        <v>0</v>
      </c>
      <c r="M108" s="289"/>
    </row>
    <row r="109" spans="1:13" ht="19.5" customHeight="1">
      <c r="A109" s="289" t="str">
        <f t="shared" si="27"/>
        <v>TP</v>
      </c>
      <c r="B109" s="302">
        <f t="shared" si="28"/>
        <v>87</v>
      </c>
      <c r="C109" s="40" t="s">
        <v>873</v>
      </c>
      <c r="D109" s="301" t="s">
        <v>917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3"/>
        <v>0</v>
      </c>
      <c r="L109" s="8">
        <f t="shared" si="24"/>
        <v>0</v>
      </c>
      <c r="M109" s="289"/>
    </row>
    <row r="110" spans="1:13" ht="19.5" customHeight="1">
      <c r="A110" s="289" t="str">
        <f t="shared" si="27"/>
        <v>TP</v>
      </c>
      <c r="B110" s="302">
        <f t="shared" si="28"/>
        <v>88</v>
      </c>
      <c r="C110" s="191" t="s">
        <v>814</v>
      </c>
      <c r="D110" s="301" t="s">
        <v>917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3"/>
        <v>0</v>
      </c>
      <c r="L110" s="8">
        <f t="shared" si="24"/>
        <v>0</v>
      </c>
      <c r="M110" s="289"/>
    </row>
    <row r="111" spans="1:13" ht="19.5" customHeight="1">
      <c r="A111" s="289" t="str">
        <f t="shared" ref="A111:A127" si="29">IF(B111&lt;&gt;"","TP","")</f>
        <v>TP</v>
      </c>
      <c r="B111" s="302">
        <f t="shared" ref="B111:B127" si="30">IF(C111&lt;&gt;"",B110+1,"")</f>
        <v>89</v>
      </c>
      <c r="C111" s="40" t="s">
        <v>832</v>
      </c>
      <c r="D111" s="301" t="s">
        <v>917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3"/>
        <v>0</v>
      </c>
      <c r="L111" s="8">
        <f t="shared" si="24"/>
        <v>0</v>
      </c>
      <c r="M111" s="289"/>
    </row>
    <row r="112" spans="1:13" ht="19.5" customHeight="1">
      <c r="A112" s="289" t="str">
        <f t="shared" si="29"/>
        <v>TP</v>
      </c>
      <c r="B112" s="302">
        <f t="shared" si="30"/>
        <v>90</v>
      </c>
      <c r="C112" s="40" t="s">
        <v>830</v>
      </c>
      <c r="D112" s="301" t="s">
        <v>917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3"/>
        <v>0</v>
      </c>
      <c r="L112" s="8">
        <f t="shared" si="24"/>
        <v>0</v>
      </c>
      <c r="M112" s="289"/>
    </row>
    <row r="113" spans="1:13" ht="19.5" customHeight="1">
      <c r="A113" s="289" t="str">
        <f t="shared" si="29"/>
        <v>TP</v>
      </c>
      <c r="B113" s="302">
        <f t="shared" si="30"/>
        <v>91</v>
      </c>
      <c r="C113" s="40" t="s">
        <v>831</v>
      </c>
      <c r="D113" s="301" t="s">
        <v>917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3"/>
        <v>0</v>
      </c>
      <c r="L113" s="8">
        <f t="shared" si="24"/>
        <v>0</v>
      </c>
      <c r="M113" s="289"/>
    </row>
    <row r="114" spans="1:13" ht="19.5" customHeight="1">
      <c r="A114" s="289" t="str">
        <f t="shared" si="29"/>
        <v>TP</v>
      </c>
      <c r="B114" s="302">
        <f t="shared" si="30"/>
        <v>92</v>
      </c>
      <c r="C114" s="40" t="s">
        <v>825</v>
      </c>
      <c r="D114" s="301" t="s">
        <v>917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3"/>
        <v>0</v>
      </c>
      <c r="L114" s="8">
        <f t="shared" si="24"/>
        <v>0</v>
      </c>
      <c r="M114" s="289"/>
    </row>
    <row r="115" spans="1:13" ht="19.5" customHeight="1">
      <c r="A115" s="289" t="str">
        <f t="shared" si="29"/>
        <v>TP</v>
      </c>
      <c r="B115" s="302">
        <f t="shared" si="30"/>
        <v>93</v>
      </c>
      <c r="C115" s="40" t="s">
        <v>874</v>
      </c>
      <c r="D115" s="301" t="s">
        <v>917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3"/>
        <v>0</v>
      </c>
      <c r="L115" s="8">
        <f t="shared" si="24"/>
        <v>0</v>
      </c>
      <c r="M115" s="289"/>
    </row>
    <row r="116" spans="1:13" ht="19.5" customHeight="1">
      <c r="A116" s="289" t="str">
        <f t="shared" si="29"/>
        <v>TP</v>
      </c>
      <c r="B116" s="302">
        <f t="shared" si="30"/>
        <v>94</v>
      </c>
      <c r="C116" s="40" t="s">
        <v>875</v>
      </c>
      <c r="D116" s="301" t="s">
        <v>917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3"/>
        <v>0</v>
      </c>
      <c r="L116" s="8">
        <f t="shared" si="24"/>
        <v>0</v>
      </c>
      <c r="M116" s="289"/>
    </row>
    <row r="117" spans="1:13" ht="19.5" customHeight="1">
      <c r="A117" s="289" t="str">
        <f t="shared" si="29"/>
        <v>TP</v>
      </c>
      <c r="B117" s="302">
        <f t="shared" si="30"/>
        <v>95</v>
      </c>
      <c r="C117" s="40" t="s">
        <v>907</v>
      </c>
      <c r="D117" s="301" t="s">
        <v>917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3"/>
        <v>0</v>
      </c>
      <c r="L117" s="8">
        <f t="shared" si="24"/>
        <v>0</v>
      </c>
      <c r="M117" s="289"/>
    </row>
    <row r="118" spans="1:13" ht="19.5" customHeight="1">
      <c r="A118" s="289" t="str">
        <f t="shared" si="29"/>
        <v>TP</v>
      </c>
      <c r="B118" s="302">
        <f t="shared" si="30"/>
        <v>96</v>
      </c>
      <c r="C118" s="40" t="s">
        <v>876</v>
      </c>
      <c r="D118" s="301" t="s">
        <v>917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3"/>
        <v>0</v>
      </c>
      <c r="L118" s="8">
        <f t="shared" si="24"/>
        <v>0</v>
      </c>
      <c r="M118" s="289"/>
    </row>
    <row r="119" spans="1:13" ht="19.5" customHeight="1">
      <c r="A119" s="289" t="str">
        <f t="shared" si="29"/>
        <v>TP</v>
      </c>
      <c r="B119" s="302">
        <f t="shared" si="30"/>
        <v>97</v>
      </c>
      <c r="C119" s="293" t="s">
        <v>715</v>
      </c>
      <c r="D119" s="301" t="s">
        <v>917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3"/>
        <v>0</v>
      </c>
      <c r="L119" s="8">
        <f t="shared" si="24"/>
        <v>0</v>
      </c>
      <c r="M119" s="289"/>
    </row>
    <row r="120" spans="1:13" ht="19.5" customHeight="1">
      <c r="A120" s="289" t="str">
        <f t="shared" si="29"/>
        <v>TP</v>
      </c>
      <c r="B120" s="302">
        <f t="shared" si="30"/>
        <v>98</v>
      </c>
      <c r="C120" s="40" t="s">
        <v>900</v>
      </c>
      <c r="D120" s="301" t="s">
        <v>917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3"/>
        <v>0</v>
      </c>
      <c r="L120" s="8">
        <f t="shared" si="24"/>
        <v>0</v>
      </c>
      <c r="M120" s="289"/>
    </row>
    <row r="121" spans="1:13" ht="19.5" customHeight="1">
      <c r="A121" s="289" t="str">
        <f t="shared" si="29"/>
        <v>TP</v>
      </c>
      <c r="B121" s="302">
        <f t="shared" si="30"/>
        <v>99</v>
      </c>
      <c r="C121" s="293" t="s">
        <v>742</v>
      </c>
      <c r="D121" s="301" t="s">
        <v>917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3"/>
        <v>0</v>
      </c>
      <c r="L121" s="8">
        <f t="shared" si="24"/>
        <v>0</v>
      </c>
      <c r="M121" s="289"/>
    </row>
    <row r="122" spans="1:13" ht="19.5" customHeight="1">
      <c r="A122" s="289" t="str">
        <f t="shared" si="29"/>
        <v>TP</v>
      </c>
      <c r="B122" s="302">
        <f t="shared" si="30"/>
        <v>100</v>
      </c>
      <c r="C122" s="191" t="s">
        <v>802</v>
      </c>
      <c r="D122" s="301" t="s">
        <v>917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3"/>
        <v>0</v>
      </c>
      <c r="L122" s="8">
        <f t="shared" si="24"/>
        <v>0</v>
      </c>
      <c r="M122" s="289"/>
    </row>
    <row r="123" spans="1:13" ht="19.5" customHeight="1">
      <c r="A123" s="289" t="str">
        <f t="shared" si="29"/>
        <v>TP</v>
      </c>
      <c r="B123" s="302">
        <f t="shared" si="30"/>
        <v>101</v>
      </c>
      <c r="C123" s="191" t="s">
        <v>811</v>
      </c>
      <c r="D123" s="301" t="s">
        <v>917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3"/>
        <v>0</v>
      </c>
      <c r="L123" s="8">
        <f t="shared" si="24"/>
        <v>0</v>
      </c>
      <c r="M123" s="289"/>
    </row>
    <row r="124" spans="1:13" ht="19.5" customHeight="1">
      <c r="A124" s="289" t="str">
        <f t="shared" si="29"/>
        <v>TP</v>
      </c>
      <c r="B124" s="302">
        <f t="shared" si="30"/>
        <v>102</v>
      </c>
      <c r="C124" s="40" t="s">
        <v>839</v>
      </c>
      <c r="D124" s="301" t="s">
        <v>917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3"/>
        <v>0</v>
      </c>
      <c r="L124" s="8">
        <f t="shared" si="24"/>
        <v>0</v>
      </c>
      <c r="M124" s="289"/>
    </row>
    <row r="125" spans="1:13" ht="19.5" customHeight="1">
      <c r="A125" s="289" t="str">
        <f t="shared" si="29"/>
        <v>TP</v>
      </c>
      <c r="B125" s="302">
        <f t="shared" si="30"/>
        <v>103</v>
      </c>
      <c r="C125" s="293" t="s">
        <v>744</v>
      </c>
      <c r="D125" s="301" t="s">
        <v>917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3"/>
        <v>0</v>
      </c>
      <c r="L125" s="8">
        <f t="shared" si="24"/>
        <v>0</v>
      </c>
      <c r="M125" s="289"/>
    </row>
    <row r="126" spans="1:13" ht="19.5" customHeight="1">
      <c r="A126" s="289" t="str">
        <f t="shared" si="29"/>
        <v>TP</v>
      </c>
      <c r="B126" s="302">
        <f t="shared" si="30"/>
        <v>104</v>
      </c>
      <c r="C126" s="191" t="s">
        <v>803</v>
      </c>
      <c r="D126" s="301" t="s">
        <v>917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3"/>
        <v>0</v>
      </c>
      <c r="L126" s="8">
        <f t="shared" si="24"/>
        <v>0</v>
      </c>
      <c r="M126" s="289"/>
    </row>
    <row r="127" spans="1:13" ht="19.5" customHeight="1">
      <c r="A127" s="289" t="str">
        <f t="shared" si="29"/>
        <v>TP</v>
      </c>
      <c r="B127" s="302">
        <f t="shared" si="30"/>
        <v>105</v>
      </c>
      <c r="C127" s="40" t="s">
        <v>841</v>
      </c>
      <c r="D127" s="301" t="s">
        <v>917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3"/>
        <v>0</v>
      </c>
      <c r="L127" s="8">
        <f t="shared" si="24"/>
        <v>0</v>
      </c>
      <c r="M127" s="289"/>
    </row>
    <row r="128" spans="1:13" ht="19.5" customHeight="1">
      <c r="A128" s="289" t="str">
        <f t="shared" ref="A128:A143" si="31">IF(B128&lt;&gt;"","TP","")</f>
        <v>TP</v>
      </c>
      <c r="B128" s="302">
        <f t="shared" ref="B128:B129" si="32">IF(C128&lt;&gt;"",B127+1,"")</f>
        <v>106</v>
      </c>
      <c r="C128" s="191" t="s">
        <v>819</v>
      </c>
      <c r="D128" s="301" t="s">
        <v>917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3"/>
        <v>0</v>
      </c>
      <c r="L128" s="8">
        <f t="shared" si="24"/>
        <v>0</v>
      </c>
      <c r="M128" s="289"/>
    </row>
    <row r="129" spans="1:13" ht="19.5" customHeight="1">
      <c r="A129" s="289" t="str">
        <f t="shared" si="31"/>
        <v>TP</v>
      </c>
      <c r="B129" s="302">
        <f t="shared" si="32"/>
        <v>107</v>
      </c>
      <c r="C129" s="293" t="s">
        <v>534</v>
      </c>
      <c r="D129" s="301" t="s">
        <v>917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3"/>
        <v>0</v>
      </c>
      <c r="L129" s="8">
        <f t="shared" si="24"/>
        <v>0</v>
      </c>
      <c r="M129" s="289"/>
    </row>
    <row r="130" spans="1:13" ht="19.5" customHeight="1">
      <c r="A130" s="289" t="str">
        <f t="shared" si="31"/>
        <v>TP</v>
      </c>
      <c r="B130" s="302">
        <f t="shared" ref="B130:B132" si="33">IF(C130&lt;&gt;"",B129+1,"")</f>
        <v>108</v>
      </c>
      <c r="C130" s="40" t="s">
        <v>877</v>
      </c>
      <c r="D130" s="301" t="s">
        <v>917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3"/>
        <v>0</v>
      </c>
      <c r="L130" s="8">
        <f t="shared" si="24"/>
        <v>0</v>
      </c>
      <c r="M130" s="289"/>
    </row>
    <row r="131" spans="1:13" ht="19.5" customHeight="1">
      <c r="A131" s="289" t="str">
        <f t="shared" si="31"/>
        <v>TP</v>
      </c>
      <c r="B131" s="302">
        <f t="shared" si="33"/>
        <v>109</v>
      </c>
      <c r="C131" s="40" t="s">
        <v>899</v>
      </c>
      <c r="D131" s="301" t="s">
        <v>917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3"/>
        <v>0</v>
      </c>
      <c r="L131" s="8">
        <f t="shared" si="24"/>
        <v>0</v>
      </c>
      <c r="M131" s="289"/>
    </row>
    <row r="132" spans="1:13" ht="19.5" customHeight="1">
      <c r="A132" s="289" t="str">
        <f t="shared" si="31"/>
        <v>TP</v>
      </c>
      <c r="B132" s="302">
        <f t="shared" si="33"/>
        <v>110</v>
      </c>
      <c r="C132" s="293" t="s">
        <v>717</v>
      </c>
      <c r="D132" s="301" t="s">
        <v>917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3"/>
        <v>0</v>
      </c>
      <c r="L132" s="8">
        <f t="shared" si="24"/>
        <v>0</v>
      </c>
      <c r="M132" s="289"/>
    </row>
    <row r="133" spans="1:13" ht="19.5" customHeight="1">
      <c r="A133" s="289" t="str">
        <f t="shared" si="31"/>
        <v>TP</v>
      </c>
      <c r="B133" s="302">
        <f t="shared" ref="B133:B143" si="34">IF(C133&lt;&gt;"",B132+1,"")</f>
        <v>111</v>
      </c>
      <c r="C133" s="40" t="s">
        <v>878</v>
      </c>
      <c r="D133" s="301" t="s">
        <v>917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3"/>
        <v>0</v>
      </c>
      <c r="L133" s="8">
        <f t="shared" si="24"/>
        <v>0</v>
      </c>
      <c r="M133" s="289"/>
    </row>
    <row r="134" spans="1:13" ht="19.5" customHeight="1">
      <c r="A134" s="289" t="str">
        <f t="shared" si="31"/>
        <v>TP</v>
      </c>
      <c r="B134" s="302">
        <f t="shared" si="34"/>
        <v>112</v>
      </c>
      <c r="C134" s="293" t="s">
        <v>656</v>
      </c>
      <c r="D134" s="301" t="s">
        <v>917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3"/>
        <v>0</v>
      </c>
      <c r="L134" s="8">
        <f t="shared" si="24"/>
        <v>0</v>
      </c>
      <c r="M134" s="289"/>
    </row>
    <row r="135" spans="1:13" ht="19.5" customHeight="1">
      <c r="A135" s="289" t="str">
        <f t="shared" si="31"/>
        <v>TP</v>
      </c>
      <c r="B135" s="302">
        <f t="shared" si="34"/>
        <v>113</v>
      </c>
      <c r="C135" s="293" t="s">
        <v>647</v>
      </c>
      <c r="D135" s="301" t="s">
        <v>917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3"/>
        <v>0</v>
      </c>
      <c r="L135" s="8">
        <f t="shared" si="24"/>
        <v>0</v>
      </c>
      <c r="M135" s="289"/>
    </row>
    <row r="136" spans="1:13" ht="19.5" customHeight="1">
      <c r="A136" s="289" t="str">
        <f t="shared" si="31"/>
        <v>TP</v>
      </c>
      <c r="B136" s="302">
        <f t="shared" si="34"/>
        <v>114</v>
      </c>
      <c r="C136" s="40" t="s">
        <v>823</v>
      </c>
      <c r="D136" s="301" t="s">
        <v>917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3"/>
        <v>0</v>
      </c>
      <c r="L136" s="8">
        <f t="shared" si="24"/>
        <v>0</v>
      </c>
      <c r="M136" s="289"/>
    </row>
    <row r="137" spans="1:13" ht="19.5" customHeight="1">
      <c r="A137" s="289" t="str">
        <f t="shared" si="31"/>
        <v>TP</v>
      </c>
      <c r="B137" s="302">
        <f t="shared" si="34"/>
        <v>115</v>
      </c>
      <c r="C137" s="40" t="s">
        <v>879</v>
      </c>
      <c r="D137" s="301" t="s">
        <v>917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3"/>
        <v>0</v>
      </c>
      <c r="L137" s="8">
        <f t="shared" si="24"/>
        <v>0</v>
      </c>
      <c r="M137" s="289"/>
    </row>
    <row r="138" spans="1:13" ht="19.5" customHeight="1">
      <c r="A138" s="289" t="str">
        <f t="shared" si="31"/>
        <v>TP</v>
      </c>
      <c r="B138" s="302">
        <f t="shared" si="34"/>
        <v>116</v>
      </c>
      <c r="C138" s="191" t="s">
        <v>818</v>
      </c>
      <c r="D138" s="301" t="s">
        <v>917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3"/>
        <v>0</v>
      </c>
      <c r="L138" s="8">
        <f t="shared" si="24"/>
        <v>0</v>
      </c>
      <c r="M138" s="289"/>
    </row>
    <row r="139" spans="1:13" ht="19.5" customHeight="1">
      <c r="A139" s="289" t="str">
        <f t="shared" si="31"/>
        <v>TP</v>
      </c>
      <c r="B139" s="302">
        <f t="shared" si="34"/>
        <v>117</v>
      </c>
      <c r="C139" s="293" t="s">
        <v>528</v>
      </c>
      <c r="D139" s="301" t="s">
        <v>917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3"/>
        <v>0</v>
      </c>
      <c r="L139" s="8">
        <f t="shared" si="24"/>
        <v>0</v>
      </c>
      <c r="M139" s="289"/>
    </row>
    <row r="140" spans="1:13" ht="19.5" customHeight="1">
      <c r="A140" s="289" t="str">
        <f t="shared" si="31"/>
        <v>TP</v>
      </c>
      <c r="B140" s="302">
        <f t="shared" si="34"/>
        <v>118</v>
      </c>
      <c r="C140" s="293" t="s">
        <v>538</v>
      </c>
      <c r="D140" s="301" t="s">
        <v>917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3"/>
        <v>0</v>
      </c>
      <c r="L140" s="8">
        <f t="shared" si="24"/>
        <v>0</v>
      </c>
      <c r="M140" s="289"/>
    </row>
    <row r="141" spans="1:13" ht="19.5" customHeight="1">
      <c r="A141" s="289" t="str">
        <f t="shared" si="31"/>
        <v>TP</v>
      </c>
      <c r="B141" s="302">
        <f t="shared" si="34"/>
        <v>119</v>
      </c>
      <c r="C141" s="293" t="s">
        <v>679</v>
      </c>
      <c r="D141" s="301" t="s">
        <v>917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3"/>
        <v>0</v>
      </c>
      <c r="L141" s="8">
        <f t="shared" si="24"/>
        <v>0</v>
      </c>
      <c r="M141" s="289"/>
    </row>
    <row r="142" spans="1:13" ht="19.5" customHeight="1">
      <c r="A142" s="289" t="str">
        <f t="shared" si="31"/>
        <v>TP</v>
      </c>
      <c r="B142" s="302">
        <f t="shared" si="34"/>
        <v>120</v>
      </c>
      <c r="C142" s="293" t="s">
        <v>714</v>
      </c>
      <c r="D142" s="301" t="s">
        <v>917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3"/>
        <v>0</v>
      </c>
      <c r="L142" s="8">
        <f t="shared" si="24"/>
        <v>0</v>
      </c>
      <c r="M142" s="289"/>
    </row>
    <row r="143" spans="1:13" ht="19.5" customHeight="1">
      <c r="A143" s="289" t="str">
        <f t="shared" si="31"/>
        <v>TP</v>
      </c>
      <c r="B143" s="302">
        <f t="shared" si="34"/>
        <v>121</v>
      </c>
      <c r="C143" s="293" t="s">
        <v>685</v>
      </c>
      <c r="D143" s="301" t="s">
        <v>917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3"/>
        <v>0</v>
      </c>
      <c r="L143" s="8">
        <f t="shared" si="24"/>
        <v>0</v>
      </c>
      <c r="M143" s="289"/>
    </row>
    <row r="144" spans="1:13" ht="19.5" customHeight="1">
      <c r="A144" s="289" t="str">
        <f>IF(B144&lt;&gt;"","TP","")</f>
        <v>TP</v>
      </c>
      <c r="B144" s="302">
        <f>IF(C144&lt;&gt;"",B143+1,"")</f>
        <v>122</v>
      </c>
      <c r="C144" s="40" t="s">
        <v>880</v>
      </c>
      <c r="D144" s="301" t="s">
        <v>917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3"/>
        <v>0</v>
      </c>
      <c r="L144" s="8">
        <f t="shared" si="24"/>
        <v>0</v>
      </c>
      <c r="M144" s="289"/>
    </row>
    <row r="145" spans="1:13" ht="19.5" customHeight="1">
      <c r="A145" s="289" t="str">
        <f>IF(B145&lt;&gt;"","TP","")</f>
        <v>TP</v>
      </c>
      <c r="B145" s="302">
        <f>IF(C145&lt;&gt;"",B144+1,"")</f>
        <v>123</v>
      </c>
      <c r="C145" s="293" t="s">
        <v>529</v>
      </c>
      <c r="D145" s="301" t="s">
        <v>917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3"/>
        <v>0</v>
      </c>
      <c r="L145" s="8">
        <f t="shared" si="24"/>
        <v>0</v>
      </c>
      <c r="M145" s="289"/>
    </row>
    <row r="146" spans="1:13" ht="19.5" customHeight="1">
      <c r="A146" s="289" t="str">
        <f>IF(B146&lt;&gt;"","TP","")</f>
        <v>TP</v>
      </c>
      <c r="B146" s="302">
        <f>IF(C146&lt;&gt;"",B145+1,"")</f>
        <v>124</v>
      </c>
      <c r="C146" s="293" t="s">
        <v>700</v>
      </c>
      <c r="D146" s="301" t="s">
        <v>917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3"/>
        <v>0</v>
      </c>
      <c r="L146" s="8">
        <f t="shared" si="24"/>
        <v>0</v>
      </c>
      <c r="M146" s="289"/>
    </row>
    <row r="147" spans="1:13" ht="19.5" customHeight="1">
      <c r="A147" s="289" t="str">
        <f>IF(B147&lt;&gt;"","TP","")</f>
        <v>TP</v>
      </c>
      <c r="B147" s="302">
        <f>IF(C147&lt;&gt;"",B146+1,"")</f>
        <v>125</v>
      </c>
      <c r="C147" s="191" t="s">
        <v>815</v>
      </c>
      <c r="D147" s="301" t="s">
        <v>917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3"/>
        <v>0</v>
      </c>
      <c r="L147" s="8">
        <f t="shared" si="24"/>
        <v>0</v>
      </c>
      <c r="M147" s="289"/>
    </row>
    <row r="148" spans="1:13" ht="19.5" customHeight="1">
      <c r="A148" s="289" t="str">
        <f t="shared" ref="A148:A154" si="35">IF(B148&lt;&gt;"","TP","")</f>
        <v>TP</v>
      </c>
      <c r="B148" s="302">
        <f t="shared" ref="B148:B154" si="36">IF(C148&lt;&gt;"",B147+1,"")</f>
        <v>126</v>
      </c>
      <c r="C148" s="293" t="s">
        <v>702</v>
      </c>
      <c r="D148" s="301" t="s">
        <v>917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3"/>
        <v>0</v>
      </c>
      <c r="L148" s="8">
        <f t="shared" si="24"/>
        <v>0</v>
      </c>
      <c r="M148" s="289"/>
    </row>
    <row r="149" spans="1:13" ht="19.5" customHeight="1">
      <c r="A149" s="289" t="str">
        <f t="shared" si="35"/>
        <v>TP</v>
      </c>
      <c r="B149" s="302">
        <f t="shared" si="36"/>
        <v>127</v>
      </c>
      <c r="C149" s="40" t="s">
        <v>824</v>
      </c>
      <c r="D149" s="301" t="s">
        <v>917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3"/>
        <v>0</v>
      </c>
      <c r="L149" s="8">
        <f t="shared" si="24"/>
        <v>0</v>
      </c>
      <c r="M149" s="289"/>
    </row>
    <row r="150" spans="1:13" ht="19.5" customHeight="1">
      <c r="A150" s="289" t="str">
        <f t="shared" si="35"/>
        <v>TP</v>
      </c>
      <c r="B150" s="302">
        <f t="shared" si="36"/>
        <v>128</v>
      </c>
      <c r="C150" s="40" t="s">
        <v>828</v>
      </c>
      <c r="D150" s="301" t="s">
        <v>917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3"/>
        <v>0</v>
      </c>
      <c r="L150" s="8">
        <f t="shared" si="24"/>
        <v>0</v>
      </c>
      <c r="M150" s="289"/>
    </row>
    <row r="151" spans="1:13" ht="19.5" customHeight="1">
      <c r="A151" s="289" t="str">
        <f t="shared" si="35"/>
        <v>TP</v>
      </c>
      <c r="B151" s="302">
        <f t="shared" si="36"/>
        <v>129</v>
      </c>
      <c r="C151" s="293" t="s">
        <v>701</v>
      </c>
      <c r="D151" s="301" t="s">
        <v>917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ref="K151:K214" si="37">E151+G151-I151</f>
        <v>0</v>
      </c>
      <c r="L151" s="8">
        <f t="shared" ref="L151:L214" si="38">F151+H151-J151</f>
        <v>0</v>
      </c>
      <c r="M151" s="289"/>
    </row>
    <row r="152" spans="1:13" ht="19.5" customHeight="1">
      <c r="A152" s="289" t="str">
        <f t="shared" si="35"/>
        <v>TP</v>
      </c>
      <c r="B152" s="302">
        <f t="shared" si="36"/>
        <v>130</v>
      </c>
      <c r="C152" s="293" t="s">
        <v>667</v>
      </c>
      <c r="D152" s="301" t="s">
        <v>917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37"/>
        <v>0</v>
      </c>
      <c r="L152" s="8">
        <f t="shared" si="38"/>
        <v>0</v>
      </c>
      <c r="M152" s="289"/>
    </row>
    <row r="153" spans="1:13" ht="19.5" customHeight="1">
      <c r="A153" s="289" t="str">
        <f t="shared" si="35"/>
        <v>TP</v>
      </c>
      <c r="B153" s="302">
        <f t="shared" si="36"/>
        <v>131</v>
      </c>
      <c r="C153" s="293" t="s">
        <v>680</v>
      </c>
      <c r="D153" s="301" t="s">
        <v>917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37"/>
        <v>0</v>
      </c>
      <c r="L153" s="8">
        <f t="shared" si="38"/>
        <v>0</v>
      </c>
      <c r="M153" s="289"/>
    </row>
    <row r="154" spans="1:13" ht="19.5" customHeight="1">
      <c r="A154" s="289" t="str">
        <f t="shared" si="35"/>
        <v>TP</v>
      </c>
      <c r="B154" s="302">
        <f t="shared" si="36"/>
        <v>132</v>
      </c>
      <c r="C154" s="40" t="s">
        <v>836</v>
      </c>
      <c r="D154" s="301" t="s">
        <v>917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37"/>
        <v>0</v>
      </c>
      <c r="L154" s="8">
        <f t="shared" si="38"/>
        <v>0</v>
      </c>
      <c r="M154" s="289"/>
    </row>
    <row r="155" spans="1:13" ht="19.5" customHeight="1">
      <c r="A155" s="289" t="str">
        <f t="shared" ref="A155:A160" si="39">IF(B155&lt;&gt;"","TP","")</f>
        <v>TP</v>
      </c>
      <c r="B155" s="302">
        <f t="shared" ref="B155:B160" si="40">IF(C155&lt;&gt;"",B154+1,"")</f>
        <v>133</v>
      </c>
      <c r="C155" s="293" t="s">
        <v>722</v>
      </c>
      <c r="D155" s="301" t="s">
        <v>917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37"/>
        <v>0</v>
      </c>
      <c r="L155" s="8">
        <f t="shared" si="38"/>
        <v>0</v>
      </c>
      <c r="M155" s="289"/>
    </row>
    <row r="156" spans="1:13" ht="19.5" customHeight="1">
      <c r="A156" s="289" t="str">
        <f t="shared" si="39"/>
        <v>TP</v>
      </c>
      <c r="B156" s="302">
        <f t="shared" si="40"/>
        <v>134</v>
      </c>
      <c r="C156" s="293" t="s">
        <v>710</v>
      </c>
      <c r="D156" s="301" t="s">
        <v>917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37"/>
        <v>0</v>
      </c>
      <c r="L156" s="8">
        <f t="shared" si="38"/>
        <v>0</v>
      </c>
      <c r="M156" s="289"/>
    </row>
    <row r="157" spans="1:13" ht="19.5" customHeight="1">
      <c r="A157" s="289" t="str">
        <f t="shared" si="39"/>
        <v>TP</v>
      </c>
      <c r="B157" s="302">
        <f t="shared" si="40"/>
        <v>135</v>
      </c>
      <c r="C157" s="293" t="s">
        <v>713</v>
      </c>
      <c r="D157" s="301" t="s">
        <v>917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37"/>
        <v>0</v>
      </c>
      <c r="L157" s="8">
        <f t="shared" si="38"/>
        <v>0</v>
      </c>
      <c r="M157" s="289"/>
    </row>
    <row r="158" spans="1:13" ht="19.5" customHeight="1">
      <c r="A158" s="289" t="str">
        <f t="shared" si="39"/>
        <v>TP</v>
      </c>
      <c r="B158" s="302">
        <f t="shared" si="40"/>
        <v>136</v>
      </c>
      <c r="C158" s="191" t="s">
        <v>817</v>
      </c>
      <c r="D158" s="301" t="s">
        <v>917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37"/>
        <v>0</v>
      </c>
      <c r="L158" s="8">
        <f t="shared" si="38"/>
        <v>0</v>
      </c>
      <c r="M158" s="289"/>
    </row>
    <row r="159" spans="1:13" ht="19.5" customHeight="1">
      <c r="A159" s="289" t="str">
        <f t="shared" si="39"/>
        <v>TP</v>
      </c>
      <c r="B159" s="302">
        <f t="shared" si="40"/>
        <v>137</v>
      </c>
      <c r="C159" s="293" t="s">
        <v>665</v>
      </c>
      <c r="D159" s="301" t="s">
        <v>917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37"/>
        <v>0</v>
      </c>
      <c r="L159" s="8">
        <f t="shared" si="38"/>
        <v>0</v>
      </c>
      <c r="M159" s="289"/>
    </row>
    <row r="160" spans="1:13" ht="19.5" customHeight="1">
      <c r="A160" s="289" t="str">
        <f t="shared" si="39"/>
        <v>TP</v>
      </c>
      <c r="B160" s="302">
        <f t="shared" si="40"/>
        <v>138</v>
      </c>
      <c r="C160" s="293" t="s">
        <v>671</v>
      </c>
      <c r="D160" s="301" t="s">
        <v>917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37"/>
        <v>0</v>
      </c>
      <c r="L160" s="8">
        <f t="shared" si="38"/>
        <v>0</v>
      </c>
      <c r="M160" s="289"/>
    </row>
    <row r="161" spans="1:13" ht="19.5" customHeight="1">
      <c r="A161" s="289" t="str">
        <f t="shared" ref="A161:A167" si="41">IF(B161&lt;&gt;"","TP","")</f>
        <v>TP</v>
      </c>
      <c r="B161" s="302">
        <f t="shared" ref="B161:B167" si="42">IF(C161&lt;&gt;"",B160+1,"")</f>
        <v>139</v>
      </c>
      <c r="C161" s="191" t="s">
        <v>820</v>
      </c>
      <c r="D161" s="301" t="s">
        <v>917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37"/>
        <v>0</v>
      </c>
      <c r="L161" s="8">
        <f t="shared" si="38"/>
        <v>0</v>
      </c>
      <c r="M161" s="289"/>
    </row>
    <row r="162" spans="1:13" ht="19.5" customHeight="1">
      <c r="A162" s="289" t="str">
        <f t="shared" si="41"/>
        <v>TP</v>
      </c>
      <c r="B162" s="302">
        <f t="shared" si="42"/>
        <v>140</v>
      </c>
      <c r="C162" s="191" t="s">
        <v>807</v>
      </c>
      <c r="D162" s="301" t="s">
        <v>917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37"/>
        <v>0</v>
      </c>
      <c r="L162" s="8">
        <f t="shared" si="38"/>
        <v>0</v>
      </c>
      <c r="M162" s="289"/>
    </row>
    <row r="163" spans="1:13" ht="19.5" customHeight="1">
      <c r="A163" s="289" t="str">
        <f t="shared" si="41"/>
        <v>TP</v>
      </c>
      <c r="B163" s="302">
        <f t="shared" si="42"/>
        <v>141</v>
      </c>
      <c r="C163" s="40" t="s">
        <v>829</v>
      </c>
      <c r="D163" s="301" t="s">
        <v>917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7"/>
        <v>0</v>
      </c>
      <c r="L163" s="8">
        <f t="shared" si="38"/>
        <v>0</v>
      </c>
      <c r="M163" s="289"/>
    </row>
    <row r="164" spans="1:13" ht="19.5" customHeight="1">
      <c r="A164" s="289" t="str">
        <f t="shared" si="41"/>
        <v>TP</v>
      </c>
      <c r="B164" s="302">
        <f t="shared" si="42"/>
        <v>142</v>
      </c>
      <c r="C164" s="40" t="s">
        <v>909</v>
      </c>
      <c r="D164" s="301" t="s">
        <v>917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7"/>
        <v>0</v>
      </c>
      <c r="L164" s="8">
        <f t="shared" si="38"/>
        <v>0</v>
      </c>
      <c r="M164" s="289"/>
    </row>
    <row r="165" spans="1:13" ht="19.5" customHeight="1">
      <c r="A165" s="289" t="str">
        <f t="shared" si="41"/>
        <v>TP</v>
      </c>
      <c r="B165" s="302">
        <f t="shared" si="42"/>
        <v>143</v>
      </c>
      <c r="C165" s="293" t="s">
        <v>530</v>
      </c>
      <c r="D165" s="301" t="s">
        <v>917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7"/>
        <v>0</v>
      </c>
      <c r="L165" s="8">
        <f t="shared" si="38"/>
        <v>0</v>
      </c>
      <c r="M165" s="289"/>
    </row>
    <row r="166" spans="1:13" ht="19.5" customHeight="1">
      <c r="A166" s="289" t="str">
        <f t="shared" si="41"/>
        <v>TP</v>
      </c>
      <c r="B166" s="302">
        <f t="shared" si="42"/>
        <v>144</v>
      </c>
      <c r="C166" s="293" t="s">
        <v>681</v>
      </c>
      <c r="D166" s="301" t="s">
        <v>917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7"/>
        <v>0</v>
      </c>
      <c r="L166" s="8">
        <f t="shared" si="38"/>
        <v>0</v>
      </c>
      <c r="M166" s="289"/>
    </row>
    <row r="167" spans="1:13" ht="19.5" customHeight="1">
      <c r="A167" s="289" t="str">
        <f t="shared" si="41"/>
        <v>TP</v>
      </c>
      <c r="B167" s="302">
        <f t="shared" si="42"/>
        <v>145</v>
      </c>
      <c r="C167" s="40" t="s">
        <v>890</v>
      </c>
      <c r="D167" s="301" t="s">
        <v>917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7"/>
        <v>0</v>
      </c>
      <c r="L167" s="8">
        <f t="shared" si="38"/>
        <v>0</v>
      </c>
      <c r="M167" s="289"/>
    </row>
    <row r="168" spans="1:13" ht="19.5" customHeight="1">
      <c r="A168" s="289" t="str">
        <f>IF(B168&lt;&gt;"","TP","")</f>
        <v>TP</v>
      </c>
      <c r="B168" s="302">
        <f>IF(C168&lt;&gt;"",B167+1,"")</f>
        <v>146</v>
      </c>
      <c r="C168" s="40" t="s">
        <v>881</v>
      </c>
      <c r="D168" s="301" t="s">
        <v>917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7"/>
        <v>0</v>
      </c>
      <c r="L168" s="8">
        <f t="shared" si="38"/>
        <v>0</v>
      </c>
      <c r="M168" s="289"/>
    </row>
    <row r="169" spans="1:13" ht="19.5" customHeight="1">
      <c r="A169" s="289" t="str">
        <f t="shared" ref="A169:A179" si="43">IF(B169&lt;&gt;"","TP","")</f>
        <v>TP</v>
      </c>
      <c r="B169" s="302">
        <f t="shared" ref="B169:B171" si="44">IF(C169&lt;&gt;"",B168+1,"")</f>
        <v>147</v>
      </c>
      <c r="C169" s="40" t="s">
        <v>882</v>
      </c>
      <c r="D169" s="301" t="s">
        <v>917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7"/>
        <v>0</v>
      </c>
      <c r="L169" s="8">
        <f t="shared" si="38"/>
        <v>0</v>
      </c>
      <c r="M169" s="289"/>
    </row>
    <row r="170" spans="1:13" ht="19.5" customHeight="1">
      <c r="A170" s="289" t="str">
        <f t="shared" si="43"/>
        <v>TP</v>
      </c>
      <c r="B170" s="302">
        <f t="shared" si="44"/>
        <v>148</v>
      </c>
      <c r="C170" s="293" t="s">
        <v>648</v>
      </c>
      <c r="D170" s="301" t="s">
        <v>917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7"/>
        <v>0</v>
      </c>
      <c r="L170" s="8">
        <f t="shared" si="38"/>
        <v>0</v>
      </c>
      <c r="M170" s="289"/>
    </row>
    <row r="171" spans="1:13" ht="19.5" customHeight="1">
      <c r="A171" s="289" t="str">
        <f t="shared" si="43"/>
        <v>TP</v>
      </c>
      <c r="B171" s="302">
        <f t="shared" si="44"/>
        <v>149</v>
      </c>
      <c r="C171" s="293" t="s">
        <v>747</v>
      </c>
      <c r="D171" s="301" t="s">
        <v>917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7"/>
        <v>0</v>
      </c>
      <c r="L171" s="8">
        <f t="shared" si="38"/>
        <v>0</v>
      </c>
      <c r="M171" s="289"/>
    </row>
    <row r="172" spans="1:13" ht="19.5" customHeight="1">
      <c r="A172" s="289" t="str">
        <f t="shared" si="43"/>
        <v>TP</v>
      </c>
      <c r="B172" s="302">
        <f t="shared" ref="B172:B179" si="45">IF(C172&lt;&gt;"",B171+1,"")</f>
        <v>150</v>
      </c>
      <c r="C172" s="293" t="s">
        <v>746</v>
      </c>
      <c r="D172" s="301" t="s">
        <v>917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7"/>
        <v>0</v>
      </c>
      <c r="L172" s="8">
        <f t="shared" si="38"/>
        <v>0</v>
      </c>
      <c r="M172" s="289"/>
    </row>
    <row r="173" spans="1:13" ht="19.5" customHeight="1">
      <c r="A173" s="289" t="str">
        <f t="shared" si="43"/>
        <v>TP</v>
      </c>
      <c r="B173" s="302">
        <f t="shared" si="45"/>
        <v>151</v>
      </c>
      <c r="C173" s="191" t="s">
        <v>810</v>
      </c>
      <c r="D173" s="301" t="s">
        <v>917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7"/>
        <v>0</v>
      </c>
      <c r="L173" s="8">
        <f t="shared" si="38"/>
        <v>0</v>
      </c>
      <c r="M173" s="289"/>
    </row>
    <row r="174" spans="1:13" ht="19.5" customHeight="1">
      <c r="A174" s="289" t="str">
        <f t="shared" si="43"/>
        <v>TP</v>
      </c>
      <c r="B174" s="302">
        <f t="shared" si="45"/>
        <v>152</v>
      </c>
      <c r="C174" s="191" t="s">
        <v>812</v>
      </c>
      <c r="D174" s="301" t="s">
        <v>917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7"/>
        <v>0</v>
      </c>
      <c r="L174" s="8">
        <f t="shared" si="38"/>
        <v>0</v>
      </c>
      <c r="M174" s="289"/>
    </row>
    <row r="175" spans="1:13" ht="19.5" customHeight="1">
      <c r="A175" s="289" t="str">
        <f t="shared" si="43"/>
        <v>TP</v>
      </c>
      <c r="B175" s="302">
        <f t="shared" si="45"/>
        <v>153</v>
      </c>
      <c r="C175" s="40" t="s">
        <v>837</v>
      </c>
      <c r="D175" s="301" t="s">
        <v>917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7"/>
        <v>0</v>
      </c>
      <c r="L175" s="8">
        <f t="shared" si="38"/>
        <v>0</v>
      </c>
      <c r="M175" s="289"/>
    </row>
    <row r="176" spans="1:13" ht="19.5" customHeight="1">
      <c r="A176" s="289" t="str">
        <f t="shared" si="43"/>
        <v>TP</v>
      </c>
      <c r="B176" s="302">
        <f t="shared" si="45"/>
        <v>154</v>
      </c>
      <c r="C176" s="293" t="s">
        <v>721</v>
      </c>
      <c r="D176" s="301" t="s">
        <v>917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7"/>
        <v>0</v>
      </c>
      <c r="L176" s="8">
        <f t="shared" si="38"/>
        <v>0</v>
      </c>
      <c r="M176" s="289"/>
    </row>
    <row r="177" spans="1:13" ht="19.5" customHeight="1">
      <c r="A177" s="289" t="str">
        <f t="shared" si="43"/>
        <v>TP</v>
      </c>
      <c r="B177" s="302">
        <f t="shared" si="45"/>
        <v>155</v>
      </c>
      <c r="C177" s="293" t="s">
        <v>664</v>
      </c>
      <c r="D177" s="301" t="s">
        <v>917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7"/>
        <v>0</v>
      </c>
      <c r="L177" s="8">
        <f t="shared" si="38"/>
        <v>0</v>
      </c>
      <c r="M177" s="289"/>
    </row>
    <row r="178" spans="1:13" ht="19.5" customHeight="1">
      <c r="A178" s="289" t="str">
        <f t="shared" si="43"/>
        <v>TP</v>
      </c>
      <c r="B178" s="302">
        <f t="shared" si="45"/>
        <v>156</v>
      </c>
      <c r="C178" s="293" t="s">
        <v>540</v>
      </c>
      <c r="D178" s="301" t="s">
        <v>917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7"/>
        <v>0</v>
      </c>
      <c r="L178" s="8">
        <f t="shared" si="38"/>
        <v>0</v>
      </c>
      <c r="M178" s="289"/>
    </row>
    <row r="179" spans="1:13" ht="19.5" customHeight="1">
      <c r="A179" s="289" t="str">
        <f t="shared" si="43"/>
        <v>TP</v>
      </c>
      <c r="B179" s="302">
        <f t="shared" si="45"/>
        <v>157</v>
      </c>
      <c r="C179" s="293" t="s">
        <v>719</v>
      </c>
      <c r="D179" s="301" t="s">
        <v>917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7"/>
        <v>0</v>
      </c>
      <c r="L179" s="8">
        <f t="shared" si="38"/>
        <v>0</v>
      </c>
      <c r="M179" s="289"/>
    </row>
    <row r="180" spans="1:13" ht="19.5" customHeight="1">
      <c r="A180" s="289" t="str">
        <f t="shared" ref="A180:A187" si="46">IF(B180&lt;&gt;"","TP","")</f>
        <v>TP</v>
      </c>
      <c r="B180" s="302">
        <f t="shared" ref="B180:B187" si="47">IF(C180&lt;&gt;"",B179+1,"")</f>
        <v>158</v>
      </c>
      <c r="C180" s="293" t="s">
        <v>663</v>
      </c>
      <c r="D180" s="301" t="s">
        <v>917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7"/>
        <v>0</v>
      </c>
      <c r="L180" s="8">
        <f t="shared" si="38"/>
        <v>0</v>
      </c>
      <c r="M180" s="289"/>
    </row>
    <row r="181" spans="1:13" ht="19.5" customHeight="1">
      <c r="A181" s="289" t="str">
        <f t="shared" si="46"/>
        <v>TP</v>
      </c>
      <c r="B181" s="302">
        <f t="shared" si="47"/>
        <v>159</v>
      </c>
      <c r="C181" s="293" t="s">
        <v>641</v>
      </c>
      <c r="D181" s="301" t="s">
        <v>917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7"/>
        <v>0</v>
      </c>
      <c r="L181" s="8">
        <f t="shared" si="38"/>
        <v>0</v>
      </c>
      <c r="M181" s="289"/>
    </row>
    <row r="182" spans="1:13" ht="19.5" customHeight="1">
      <c r="A182" s="289" t="str">
        <f t="shared" si="46"/>
        <v>TP</v>
      </c>
      <c r="B182" s="302">
        <f t="shared" si="47"/>
        <v>160</v>
      </c>
      <c r="C182" s="293" t="s">
        <v>683</v>
      </c>
      <c r="D182" s="301" t="s">
        <v>917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7"/>
        <v>0</v>
      </c>
      <c r="L182" s="8">
        <f t="shared" si="38"/>
        <v>0</v>
      </c>
      <c r="M182" s="289"/>
    </row>
    <row r="183" spans="1:13" ht="19.5" customHeight="1">
      <c r="A183" s="289" t="str">
        <f t="shared" si="46"/>
        <v>TP</v>
      </c>
      <c r="B183" s="302">
        <f t="shared" si="47"/>
        <v>161</v>
      </c>
      <c r="C183" s="40" t="s">
        <v>883</v>
      </c>
      <c r="D183" s="301" t="s">
        <v>917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7"/>
        <v>0</v>
      </c>
      <c r="L183" s="8">
        <f t="shared" si="38"/>
        <v>0</v>
      </c>
      <c r="M183" s="289"/>
    </row>
    <row r="184" spans="1:13" ht="19.5" customHeight="1">
      <c r="A184" s="289" t="str">
        <f t="shared" si="46"/>
        <v>TP</v>
      </c>
      <c r="B184" s="302">
        <f t="shared" si="47"/>
        <v>162</v>
      </c>
      <c r="C184" s="293" t="s">
        <v>546</v>
      </c>
      <c r="D184" s="301" t="s">
        <v>917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7"/>
        <v>0</v>
      </c>
      <c r="L184" s="8">
        <f t="shared" si="38"/>
        <v>0</v>
      </c>
      <c r="M184" s="289"/>
    </row>
    <row r="185" spans="1:13" ht="19.5" customHeight="1">
      <c r="A185" s="289" t="str">
        <f t="shared" si="46"/>
        <v>TP</v>
      </c>
      <c r="B185" s="302">
        <f t="shared" si="47"/>
        <v>163</v>
      </c>
      <c r="C185" s="40" t="s">
        <v>901</v>
      </c>
      <c r="D185" s="301" t="s">
        <v>917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7"/>
        <v>0</v>
      </c>
      <c r="L185" s="8">
        <f t="shared" si="38"/>
        <v>0</v>
      </c>
      <c r="M185" s="289"/>
    </row>
    <row r="186" spans="1:13" ht="19.5" customHeight="1">
      <c r="A186" s="289" t="str">
        <f t="shared" si="46"/>
        <v>TP</v>
      </c>
      <c r="B186" s="302">
        <f t="shared" si="47"/>
        <v>164</v>
      </c>
      <c r="C186" s="191" t="s">
        <v>816</v>
      </c>
      <c r="D186" s="301" t="s">
        <v>917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7"/>
        <v>0</v>
      </c>
      <c r="L186" s="8">
        <f t="shared" si="38"/>
        <v>0</v>
      </c>
      <c r="M186" s="289"/>
    </row>
    <row r="187" spans="1:13" ht="19.5" customHeight="1">
      <c r="A187" s="289" t="str">
        <f t="shared" si="46"/>
        <v>TP</v>
      </c>
      <c r="B187" s="302">
        <f t="shared" si="47"/>
        <v>165</v>
      </c>
      <c r="C187" s="40" t="s">
        <v>833</v>
      </c>
      <c r="D187" s="301" t="s">
        <v>917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7"/>
        <v>0</v>
      </c>
      <c r="L187" s="8">
        <f t="shared" si="38"/>
        <v>0</v>
      </c>
      <c r="M187" s="289"/>
    </row>
    <row r="188" spans="1:13" ht="19.5" customHeight="1">
      <c r="A188" s="289" t="str">
        <f t="shared" ref="A188:A191" si="48">IF(B188&lt;&gt;"","TP","")</f>
        <v>TP</v>
      </c>
      <c r="B188" s="302">
        <f t="shared" ref="B188:B191" si="49">IF(C188&lt;&gt;"",B187+1,"")</f>
        <v>166</v>
      </c>
      <c r="C188" s="191" t="s">
        <v>809</v>
      </c>
      <c r="D188" s="301" t="s">
        <v>917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7"/>
        <v>0</v>
      </c>
      <c r="L188" s="8">
        <f t="shared" si="38"/>
        <v>0</v>
      </c>
      <c r="M188" s="289"/>
    </row>
    <row r="189" spans="1:13" ht="19.5" customHeight="1">
      <c r="A189" s="289" t="str">
        <f t="shared" si="48"/>
        <v>TP</v>
      </c>
      <c r="B189" s="302">
        <f t="shared" si="49"/>
        <v>167</v>
      </c>
      <c r="C189" s="40" t="s">
        <v>884</v>
      </c>
      <c r="D189" s="301" t="s">
        <v>917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7"/>
        <v>0</v>
      </c>
      <c r="L189" s="8">
        <f t="shared" si="38"/>
        <v>0</v>
      </c>
      <c r="M189" s="289"/>
    </row>
    <row r="190" spans="1:13" ht="19.5" customHeight="1">
      <c r="A190" s="289" t="str">
        <f t="shared" si="48"/>
        <v>TP</v>
      </c>
      <c r="B190" s="302">
        <f t="shared" si="49"/>
        <v>168</v>
      </c>
      <c r="C190" s="40" t="s">
        <v>885</v>
      </c>
      <c r="D190" s="301" t="s">
        <v>917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7"/>
        <v>0</v>
      </c>
      <c r="L190" s="8">
        <f t="shared" si="38"/>
        <v>0</v>
      </c>
      <c r="M190" s="289"/>
    </row>
    <row r="191" spans="1:13" ht="19.5" customHeight="1">
      <c r="A191" s="289" t="str">
        <f t="shared" si="48"/>
        <v>TP</v>
      </c>
      <c r="B191" s="302">
        <f t="shared" si="49"/>
        <v>169</v>
      </c>
      <c r="C191" s="293" t="s">
        <v>537</v>
      </c>
      <c r="D191" s="301" t="s">
        <v>917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7"/>
        <v>0</v>
      </c>
      <c r="L191" s="8">
        <f t="shared" si="38"/>
        <v>0</v>
      </c>
      <c r="M191" s="289"/>
    </row>
    <row r="192" spans="1:13" ht="19.5" customHeight="1">
      <c r="A192" s="289" t="str">
        <f t="shared" ref="A192:A223" si="50">IF(B192&lt;&gt;"","TP","")</f>
        <v>TP</v>
      </c>
      <c r="B192" s="302">
        <f t="shared" ref="B192:B223" si="51">IF(C192&lt;&gt;"",B191+1,"")</f>
        <v>170</v>
      </c>
      <c r="C192" s="293" t="s">
        <v>539</v>
      </c>
      <c r="D192" s="301" t="s">
        <v>917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7"/>
        <v>0</v>
      </c>
      <c r="L192" s="8">
        <f t="shared" si="38"/>
        <v>0</v>
      </c>
      <c r="M192" s="289"/>
    </row>
    <row r="193" spans="1:13" ht="19.5" customHeight="1">
      <c r="A193" s="289" t="str">
        <f t="shared" si="50"/>
        <v>TP</v>
      </c>
      <c r="B193" s="302">
        <f t="shared" si="51"/>
        <v>171</v>
      </c>
      <c r="C193" s="293" t="s">
        <v>686</v>
      </c>
      <c r="D193" s="301" t="s">
        <v>917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7"/>
        <v>0</v>
      </c>
      <c r="L193" s="8">
        <f t="shared" si="38"/>
        <v>0</v>
      </c>
      <c r="M193" s="289"/>
    </row>
    <row r="194" spans="1:13" ht="19.5" customHeight="1">
      <c r="A194" s="289" t="str">
        <f t="shared" si="50"/>
        <v>TP</v>
      </c>
      <c r="B194" s="302">
        <f t="shared" si="51"/>
        <v>172</v>
      </c>
      <c r="C194" s="293" t="s">
        <v>682</v>
      </c>
      <c r="D194" s="301" t="s">
        <v>917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7"/>
        <v>0</v>
      </c>
      <c r="L194" s="8">
        <f t="shared" si="38"/>
        <v>0</v>
      </c>
      <c r="M194" s="289"/>
    </row>
    <row r="195" spans="1:13" ht="19.5" customHeight="1">
      <c r="A195" s="289" t="str">
        <f t="shared" si="50"/>
        <v>TP</v>
      </c>
      <c r="B195" s="302">
        <f t="shared" si="51"/>
        <v>173</v>
      </c>
      <c r="C195" s="293" t="s">
        <v>684</v>
      </c>
      <c r="D195" s="301" t="s">
        <v>917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7"/>
        <v>0</v>
      </c>
      <c r="L195" s="8">
        <f t="shared" si="38"/>
        <v>0</v>
      </c>
      <c r="M195" s="289"/>
    </row>
    <row r="196" spans="1:13" ht="19.5" customHeight="1">
      <c r="A196" s="289" t="str">
        <f t="shared" si="50"/>
        <v>TP</v>
      </c>
      <c r="B196" s="302">
        <f t="shared" si="51"/>
        <v>174</v>
      </c>
      <c r="C196" s="293" t="s">
        <v>649</v>
      </c>
      <c r="D196" s="301" t="s">
        <v>917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7"/>
        <v>0</v>
      </c>
      <c r="L196" s="8">
        <f t="shared" si="38"/>
        <v>0</v>
      </c>
      <c r="M196" s="289"/>
    </row>
    <row r="197" spans="1:13" ht="19.5" customHeight="1">
      <c r="A197" s="289" t="str">
        <f t="shared" si="50"/>
        <v>TP</v>
      </c>
      <c r="B197" s="302">
        <f t="shared" si="51"/>
        <v>175</v>
      </c>
      <c r="C197" s="40" t="s">
        <v>886</v>
      </c>
      <c r="D197" s="301" t="s">
        <v>917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7"/>
        <v>0</v>
      </c>
      <c r="L197" s="8">
        <f t="shared" si="38"/>
        <v>0</v>
      </c>
      <c r="M197" s="289"/>
    </row>
    <row r="198" spans="1:13" ht="19.5" customHeight="1">
      <c r="A198" s="289" t="str">
        <f t="shared" si="50"/>
        <v>TP</v>
      </c>
      <c r="B198" s="302">
        <f t="shared" si="51"/>
        <v>176</v>
      </c>
      <c r="C198" s="40" t="s">
        <v>887</v>
      </c>
      <c r="D198" s="301" t="s">
        <v>917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7"/>
        <v>0</v>
      </c>
      <c r="L198" s="8">
        <f t="shared" si="38"/>
        <v>0</v>
      </c>
      <c r="M198" s="289"/>
    </row>
    <row r="199" spans="1:13" ht="19.5" customHeight="1">
      <c r="A199" s="289" t="str">
        <f t="shared" si="50"/>
        <v>TP</v>
      </c>
      <c r="B199" s="302">
        <f t="shared" si="51"/>
        <v>177</v>
      </c>
      <c r="C199" s="191" t="s">
        <v>804</v>
      </c>
      <c r="D199" s="301" t="s">
        <v>917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7"/>
        <v>0</v>
      </c>
      <c r="L199" s="8">
        <f t="shared" si="38"/>
        <v>0</v>
      </c>
      <c r="M199" s="289"/>
    </row>
    <row r="200" spans="1:13" ht="19.5" customHeight="1">
      <c r="A200" s="289" t="str">
        <f t="shared" si="50"/>
        <v>TP</v>
      </c>
      <c r="B200" s="302">
        <f t="shared" si="51"/>
        <v>178</v>
      </c>
      <c r="C200" s="40" t="s">
        <v>863</v>
      </c>
      <c r="D200" s="301" t="s">
        <v>917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7"/>
        <v>0</v>
      </c>
      <c r="L200" s="8">
        <f t="shared" si="38"/>
        <v>0</v>
      </c>
      <c r="M200" s="289"/>
    </row>
    <row r="201" spans="1:13" ht="19.5" customHeight="1">
      <c r="A201" s="289" t="str">
        <f t="shared" si="50"/>
        <v>TP</v>
      </c>
      <c r="B201" s="302">
        <f t="shared" si="51"/>
        <v>179</v>
      </c>
      <c r="C201" s="40" t="s">
        <v>865</v>
      </c>
      <c r="D201" s="301" t="s">
        <v>917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7"/>
        <v>0</v>
      </c>
      <c r="L201" s="8">
        <f t="shared" si="38"/>
        <v>0</v>
      </c>
      <c r="M201" s="289"/>
    </row>
    <row r="202" spans="1:13" ht="19.5" customHeight="1">
      <c r="A202" s="289" t="str">
        <f t="shared" si="50"/>
        <v>TP</v>
      </c>
      <c r="B202" s="302">
        <f t="shared" si="51"/>
        <v>180</v>
      </c>
      <c r="C202" s="40" t="s">
        <v>864</v>
      </c>
      <c r="D202" s="301" t="s">
        <v>917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7"/>
        <v>0</v>
      </c>
      <c r="L202" s="8">
        <f t="shared" si="38"/>
        <v>0</v>
      </c>
      <c r="M202" s="289"/>
    </row>
    <row r="203" spans="1:13" ht="19.5" customHeight="1">
      <c r="A203" s="289" t="str">
        <f t="shared" si="50"/>
        <v>TP</v>
      </c>
      <c r="B203" s="302">
        <f t="shared" si="51"/>
        <v>181</v>
      </c>
      <c r="C203" s="293" t="s">
        <v>733</v>
      </c>
      <c r="D203" s="301" t="s">
        <v>917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7"/>
        <v>0</v>
      </c>
      <c r="L203" s="8">
        <f t="shared" si="38"/>
        <v>0</v>
      </c>
      <c r="M203" s="289"/>
    </row>
    <row r="204" spans="1:13" ht="19.5" customHeight="1">
      <c r="A204" s="289" t="str">
        <f t="shared" si="50"/>
        <v>TP</v>
      </c>
      <c r="B204" s="302">
        <f t="shared" si="51"/>
        <v>182</v>
      </c>
      <c r="C204" s="293" t="s">
        <v>732</v>
      </c>
      <c r="D204" s="301" t="s">
        <v>917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7"/>
        <v>0</v>
      </c>
      <c r="L204" s="8">
        <f t="shared" si="38"/>
        <v>0</v>
      </c>
      <c r="M204" s="289"/>
    </row>
    <row r="205" spans="1:13" ht="19.5" customHeight="1">
      <c r="A205" s="289" t="str">
        <f t="shared" si="50"/>
        <v>TP</v>
      </c>
      <c r="B205" s="302">
        <f t="shared" si="51"/>
        <v>183</v>
      </c>
      <c r="C205" s="293" t="s">
        <v>766</v>
      </c>
      <c r="D205" s="301" t="s">
        <v>917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7"/>
        <v>0</v>
      </c>
      <c r="L205" s="8">
        <f t="shared" si="38"/>
        <v>0</v>
      </c>
      <c r="M205" s="289"/>
    </row>
    <row r="206" spans="1:13" ht="19.5" customHeight="1">
      <c r="A206" s="289" t="str">
        <f t="shared" si="50"/>
        <v>TP</v>
      </c>
      <c r="B206" s="302">
        <f t="shared" si="51"/>
        <v>184</v>
      </c>
      <c r="C206" s="293" t="s">
        <v>774</v>
      </c>
      <c r="D206" s="301" t="s">
        <v>917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7"/>
        <v>0</v>
      </c>
      <c r="L206" s="8">
        <f t="shared" si="38"/>
        <v>0</v>
      </c>
      <c r="M206" s="289"/>
    </row>
    <row r="207" spans="1:13" ht="19.5" customHeight="1">
      <c r="A207" s="289" t="str">
        <f t="shared" si="50"/>
        <v>TP</v>
      </c>
      <c r="B207" s="302">
        <f t="shared" si="51"/>
        <v>185</v>
      </c>
      <c r="C207" s="293" t="s">
        <v>771</v>
      </c>
      <c r="D207" s="301" t="s">
        <v>917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7"/>
        <v>0</v>
      </c>
      <c r="L207" s="8">
        <f t="shared" si="38"/>
        <v>0</v>
      </c>
      <c r="M207" s="289"/>
    </row>
    <row r="208" spans="1:13" ht="19.5" customHeight="1">
      <c r="A208" s="289" t="str">
        <f t="shared" si="50"/>
        <v>TP</v>
      </c>
      <c r="B208" s="302">
        <f t="shared" si="51"/>
        <v>186</v>
      </c>
      <c r="C208" s="293" t="s">
        <v>775</v>
      </c>
      <c r="D208" s="301" t="s">
        <v>917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7"/>
        <v>0</v>
      </c>
      <c r="L208" s="8">
        <f t="shared" si="38"/>
        <v>0</v>
      </c>
      <c r="M208" s="289"/>
    </row>
    <row r="209" spans="1:13" ht="19.5" customHeight="1">
      <c r="A209" s="289" t="str">
        <f t="shared" si="50"/>
        <v>TP</v>
      </c>
      <c r="B209" s="302">
        <f t="shared" si="51"/>
        <v>187</v>
      </c>
      <c r="C209" s="293" t="s">
        <v>767</v>
      </c>
      <c r="D209" s="301" t="s">
        <v>917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7"/>
        <v>0</v>
      </c>
      <c r="L209" s="8">
        <f t="shared" si="38"/>
        <v>0</v>
      </c>
      <c r="M209" s="289"/>
    </row>
    <row r="210" spans="1:13" ht="19.5" customHeight="1">
      <c r="A210" s="289" t="str">
        <f t="shared" si="50"/>
        <v>TP</v>
      </c>
      <c r="B210" s="302">
        <f t="shared" si="51"/>
        <v>188</v>
      </c>
      <c r="C210" s="293" t="s">
        <v>772</v>
      </c>
      <c r="D210" s="301" t="s">
        <v>917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7"/>
        <v>0</v>
      </c>
      <c r="L210" s="8">
        <f t="shared" si="38"/>
        <v>0</v>
      </c>
      <c r="M210" s="289"/>
    </row>
    <row r="211" spans="1:13" ht="19.5" customHeight="1">
      <c r="A211" s="289" t="str">
        <f t="shared" si="50"/>
        <v>TP</v>
      </c>
      <c r="B211" s="302">
        <f t="shared" si="51"/>
        <v>189</v>
      </c>
      <c r="C211" s="293" t="s">
        <v>768</v>
      </c>
      <c r="D211" s="301" t="s">
        <v>917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7"/>
        <v>0</v>
      </c>
      <c r="L211" s="8">
        <f t="shared" si="38"/>
        <v>0</v>
      </c>
      <c r="M211" s="289"/>
    </row>
    <row r="212" spans="1:13" ht="19.5" customHeight="1">
      <c r="A212" s="289" t="str">
        <f t="shared" si="50"/>
        <v>TP</v>
      </c>
      <c r="B212" s="302">
        <f t="shared" si="51"/>
        <v>190</v>
      </c>
      <c r="C212" s="293" t="s">
        <v>769</v>
      </c>
      <c r="D212" s="301" t="s">
        <v>917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7"/>
        <v>0</v>
      </c>
      <c r="L212" s="8">
        <f t="shared" si="38"/>
        <v>0</v>
      </c>
      <c r="M212" s="289"/>
    </row>
    <row r="213" spans="1:13" ht="19.5" customHeight="1">
      <c r="A213" s="289" t="str">
        <f t="shared" si="50"/>
        <v>TP</v>
      </c>
      <c r="B213" s="302">
        <f t="shared" si="51"/>
        <v>191</v>
      </c>
      <c r="C213" s="293" t="s">
        <v>661</v>
      </c>
      <c r="D213" s="301" t="s">
        <v>917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7"/>
        <v>0</v>
      </c>
      <c r="L213" s="8">
        <f t="shared" si="38"/>
        <v>0</v>
      </c>
      <c r="M213" s="289"/>
    </row>
    <row r="214" spans="1:13" ht="19.5" customHeight="1">
      <c r="A214" s="289" t="str">
        <f t="shared" si="50"/>
        <v>TP</v>
      </c>
      <c r="B214" s="302">
        <f t="shared" si="51"/>
        <v>192</v>
      </c>
      <c r="C214" s="293" t="s">
        <v>660</v>
      </c>
      <c r="D214" s="301" t="s">
        <v>917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7"/>
        <v>0</v>
      </c>
      <c r="L214" s="8">
        <f t="shared" si="38"/>
        <v>0</v>
      </c>
      <c r="M214" s="289"/>
    </row>
    <row r="215" spans="1:13" ht="19.5" customHeight="1">
      <c r="A215" s="289" t="str">
        <f t="shared" si="50"/>
        <v>TP</v>
      </c>
      <c r="B215" s="302">
        <f t="shared" si="51"/>
        <v>193</v>
      </c>
      <c r="C215" s="293" t="s">
        <v>770</v>
      </c>
      <c r="D215" s="301" t="s">
        <v>917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ref="K215:K278" si="52">E215+G215-I215</f>
        <v>0</v>
      </c>
      <c r="L215" s="8">
        <f t="shared" ref="L215:L278" si="53">F215+H215-J215</f>
        <v>0</v>
      </c>
      <c r="M215" s="289"/>
    </row>
    <row r="216" spans="1:13" ht="18" customHeight="1">
      <c r="A216" s="289" t="str">
        <f t="shared" si="50"/>
        <v>TP</v>
      </c>
      <c r="B216" s="302">
        <f t="shared" si="51"/>
        <v>194</v>
      </c>
      <c r="C216" s="293" t="s">
        <v>776</v>
      </c>
      <c r="D216" s="301" t="s">
        <v>917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52"/>
        <v>0</v>
      </c>
      <c r="L216" s="8">
        <f t="shared" si="53"/>
        <v>0</v>
      </c>
      <c r="M216" s="289"/>
    </row>
    <row r="217" spans="1:13" ht="18" customHeight="1">
      <c r="A217" s="289" t="str">
        <f t="shared" si="50"/>
        <v>TP</v>
      </c>
      <c r="B217" s="302">
        <f t="shared" si="51"/>
        <v>195</v>
      </c>
      <c r="C217" s="293" t="s">
        <v>773</v>
      </c>
      <c r="D217" s="301" t="s">
        <v>917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52"/>
        <v>0</v>
      </c>
      <c r="L217" s="8">
        <f t="shared" si="53"/>
        <v>0</v>
      </c>
      <c r="M217" s="289"/>
    </row>
    <row r="218" spans="1:13" ht="18.75" customHeight="1">
      <c r="A218" s="289" t="str">
        <f t="shared" si="50"/>
        <v>TP</v>
      </c>
      <c r="B218" s="302">
        <f t="shared" si="51"/>
        <v>196</v>
      </c>
      <c r="C218" s="293" t="s">
        <v>777</v>
      </c>
      <c r="D218" s="301" t="s">
        <v>917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52"/>
        <v>0</v>
      </c>
      <c r="L218" s="8">
        <f t="shared" si="53"/>
        <v>0</v>
      </c>
      <c r="M218" s="289"/>
    </row>
    <row r="219" spans="1:13" ht="18.75" customHeight="1">
      <c r="A219" s="289" t="str">
        <f t="shared" si="50"/>
        <v>TP</v>
      </c>
      <c r="B219" s="302">
        <f t="shared" si="51"/>
        <v>197</v>
      </c>
      <c r="C219" s="293" t="s">
        <v>605</v>
      </c>
      <c r="D219" s="301" t="s">
        <v>917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52"/>
        <v>0</v>
      </c>
      <c r="L219" s="8">
        <f t="shared" si="53"/>
        <v>0</v>
      </c>
      <c r="M219" s="289"/>
    </row>
    <row r="220" spans="1:13" ht="18.75" customHeight="1">
      <c r="A220" s="289" t="str">
        <f t="shared" si="50"/>
        <v>TP</v>
      </c>
      <c r="B220" s="302">
        <f t="shared" si="51"/>
        <v>198</v>
      </c>
      <c r="C220" s="293" t="s">
        <v>610</v>
      </c>
      <c r="D220" s="301" t="s">
        <v>917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52"/>
        <v>0</v>
      </c>
      <c r="L220" s="8">
        <f t="shared" si="53"/>
        <v>0</v>
      </c>
      <c r="M220" s="289"/>
    </row>
    <row r="221" spans="1:13" ht="18.75" customHeight="1">
      <c r="A221" s="289" t="str">
        <f t="shared" si="50"/>
        <v>TP</v>
      </c>
      <c r="B221" s="302">
        <f t="shared" si="51"/>
        <v>199</v>
      </c>
      <c r="C221" s="293" t="s">
        <v>612</v>
      </c>
      <c r="D221" s="301" t="s">
        <v>917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52"/>
        <v>0</v>
      </c>
      <c r="L221" s="8">
        <f t="shared" si="53"/>
        <v>0</v>
      </c>
      <c r="M221" s="289"/>
    </row>
    <row r="222" spans="1:13" ht="18.75" customHeight="1">
      <c r="A222" s="289" t="str">
        <f t="shared" si="50"/>
        <v>TP</v>
      </c>
      <c r="B222" s="302">
        <f t="shared" si="51"/>
        <v>200</v>
      </c>
      <c r="C222" s="293" t="s">
        <v>749</v>
      </c>
      <c r="D222" s="301" t="s">
        <v>917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52"/>
        <v>0</v>
      </c>
      <c r="L222" s="8">
        <f t="shared" si="53"/>
        <v>0</v>
      </c>
      <c r="M222" s="289"/>
    </row>
    <row r="223" spans="1:13" ht="18.75" customHeight="1">
      <c r="A223" s="289" t="str">
        <f t="shared" si="50"/>
        <v>TP</v>
      </c>
      <c r="B223" s="302">
        <f t="shared" si="51"/>
        <v>201</v>
      </c>
      <c r="C223" s="293" t="s">
        <v>613</v>
      </c>
      <c r="D223" s="301" t="s">
        <v>917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52"/>
        <v>0</v>
      </c>
      <c r="L223" s="8">
        <f t="shared" si="53"/>
        <v>0</v>
      </c>
      <c r="M223" s="289"/>
    </row>
    <row r="224" spans="1:13" ht="18.75" customHeight="1">
      <c r="A224" s="289" t="str">
        <f t="shared" ref="A224:A255" si="54">IF(B224&lt;&gt;"","TP","")</f>
        <v>TP</v>
      </c>
      <c r="B224" s="302">
        <f t="shared" ref="B224:B255" si="55">IF(C224&lt;&gt;"",B223+1,"")</f>
        <v>202</v>
      </c>
      <c r="C224" s="293" t="s">
        <v>608</v>
      </c>
      <c r="D224" s="301" t="s">
        <v>917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52"/>
        <v>0</v>
      </c>
      <c r="L224" s="8">
        <f t="shared" si="53"/>
        <v>0</v>
      </c>
      <c r="M224" s="289"/>
    </row>
    <row r="225" spans="1:13" ht="18.75" customHeight="1">
      <c r="A225" s="289" t="str">
        <f t="shared" si="54"/>
        <v>TP</v>
      </c>
      <c r="B225" s="302">
        <f t="shared" si="55"/>
        <v>203</v>
      </c>
      <c r="C225" s="293" t="s">
        <v>609</v>
      </c>
      <c r="D225" s="301" t="s">
        <v>917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52"/>
        <v>0</v>
      </c>
      <c r="L225" s="8">
        <f t="shared" si="53"/>
        <v>0</v>
      </c>
      <c r="M225" s="289"/>
    </row>
    <row r="226" spans="1:13" ht="18.75" customHeight="1">
      <c r="A226" s="289" t="str">
        <f t="shared" si="54"/>
        <v>TP</v>
      </c>
      <c r="B226" s="302">
        <f t="shared" si="55"/>
        <v>204</v>
      </c>
      <c r="C226" s="293" t="s">
        <v>750</v>
      </c>
      <c r="D226" s="301" t="s">
        <v>917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52"/>
        <v>0</v>
      </c>
      <c r="L226" s="8">
        <f t="shared" si="53"/>
        <v>0</v>
      </c>
      <c r="M226" s="289"/>
    </row>
    <row r="227" spans="1:13" ht="18.75" customHeight="1">
      <c r="A227" s="289" t="str">
        <f t="shared" si="54"/>
        <v>TP</v>
      </c>
      <c r="B227" s="302">
        <f t="shared" si="55"/>
        <v>205</v>
      </c>
      <c r="C227" s="293" t="s">
        <v>607</v>
      </c>
      <c r="D227" s="301" t="s">
        <v>917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52"/>
        <v>0</v>
      </c>
      <c r="L227" s="8">
        <f t="shared" si="53"/>
        <v>0</v>
      </c>
      <c r="M227" s="289"/>
    </row>
    <row r="228" spans="1:13" ht="18.75" customHeight="1">
      <c r="A228" s="289" t="str">
        <f t="shared" si="54"/>
        <v>TP</v>
      </c>
      <c r="B228" s="302">
        <f t="shared" si="55"/>
        <v>206</v>
      </c>
      <c r="C228" s="293" t="s">
        <v>604</v>
      </c>
      <c r="D228" s="301" t="s">
        <v>917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52"/>
        <v>0</v>
      </c>
      <c r="L228" s="8">
        <f t="shared" si="53"/>
        <v>0</v>
      </c>
      <c r="M228" s="289"/>
    </row>
    <row r="229" spans="1:13" ht="18.75" customHeight="1">
      <c r="A229" s="289" t="str">
        <f t="shared" si="54"/>
        <v>TP</v>
      </c>
      <c r="B229" s="302">
        <f t="shared" si="55"/>
        <v>207</v>
      </c>
      <c r="C229" s="293" t="s">
        <v>752</v>
      </c>
      <c r="D229" s="301" t="s">
        <v>917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52"/>
        <v>0</v>
      </c>
      <c r="L229" s="8">
        <f t="shared" si="53"/>
        <v>0</v>
      </c>
      <c r="M229" s="289"/>
    </row>
    <row r="230" spans="1:13" ht="18.75" customHeight="1">
      <c r="A230" s="289" t="str">
        <f t="shared" si="54"/>
        <v>TP</v>
      </c>
      <c r="B230" s="302">
        <f t="shared" si="55"/>
        <v>208</v>
      </c>
      <c r="C230" s="293" t="s">
        <v>606</v>
      </c>
      <c r="D230" s="301" t="s">
        <v>917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52"/>
        <v>0</v>
      </c>
      <c r="L230" s="8">
        <f t="shared" si="53"/>
        <v>0</v>
      </c>
      <c r="M230" s="289"/>
    </row>
    <row r="231" spans="1:13" ht="18.75" customHeight="1">
      <c r="A231" s="289" t="str">
        <f t="shared" si="54"/>
        <v>TP</v>
      </c>
      <c r="B231" s="302">
        <f t="shared" si="55"/>
        <v>209</v>
      </c>
      <c r="C231" s="293" t="s">
        <v>757</v>
      </c>
      <c r="D231" s="301" t="s">
        <v>917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52"/>
        <v>0</v>
      </c>
      <c r="L231" s="8">
        <f t="shared" si="53"/>
        <v>0</v>
      </c>
      <c r="M231" s="289"/>
    </row>
    <row r="232" spans="1:13" ht="18.75" customHeight="1">
      <c r="A232" s="289" t="str">
        <f t="shared" si="54"/>
        <v>TP</v>
      </c>
      <c r="B232" s="302">
        <f t="shared" si="55"/>
        <v>210</v>
      </c>
      <c r="C232" s="293" t="s">
        <v>618</v>
      </c>
      <c r="D232" s="301" t="s">
        <v>917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52"/>
        <v>0</v>
      </c>
      <c r="L232" s="8">
        <f t="shared" si="53"/>
        <v>0</v>
      </c>
      <c r="M232" s="289"/>
    </row>
    <row r="233" spans="1:13" ht="18.75" customHeight="1">
      <c r="A233" s="289" t="str">
        <f t="shared" si="54"/>
        <v>TP</v>
      </c>
      <c r="B233" s="302">
        <f t="shared" si="55"/>
        <v>211</v>
      </c>
      <c r="C233" s="293" t="s">
        <v>758</v>
      </c>
      <c r="D233" s="301" t="s">
        <v>917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52"/>
        <v>0</v>
      </c>
      <c r="L233" s="8">
        <f t="shared" si="53"/>
        <v>0</v>
      </c>
      <c r="M233" s="289"/>
    </row>
    <row r="234" spans="1:13" ht="18.75" customHeight="1">
      <c r="A234" s="289" t="str">
        <f t="shared" si="54"/>
        <v>TP</v>
      </c>
      <c r="B234" s="302">
        <f t="shared" si="55"/>
        <v>212</v>
      </c>
      <c r="C234" s="293" t="s">
        <v>761</v>
      </c>
      <c r="D234" s="301" t="s">
        <v>917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52"/>
        <v>0</v>
      </c>
      <c r="L234" s="8">
        <f t="shared" si="53"/>
        <v>0</v>
      </c>
      <c r="M234" s="289"/>
    </row>
    <row r="235" spans="1:13" ht="18.75" customHeight="1">
      <c r="A235" s="289" t="str">
        <f t="shared" si="54"/>
        <v>TP</v>
      </c>
      <c r="B235" s="302">
        <f t="shared" si="55"/>
        <v>213</v>
      </c>
      <c r="C235" s="293" t="s">
        <v>611</v>
      </c>
      <c r="D235" s="301" t="s">
        <v>917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52"/>
        <v>0</v>
      </c>
      <c r="L235" s="8">
        <f t="shared" si="53"/>
        <v>0</v>
      </c>
      <c r="M235" s="289"/>
    </row>
    <row r="236" spans="1:13" ht="18.75" customHeight="1">
      <c r="A236" s="289" t="str">
        <f t="shared" si="54"/>
        <v>TP</v>
      </c>
      <c r="B236" s="302">
        <f t="shared" si="55"/>
        <v>214</v>
      </c>
      <c r="C236" s="293" t="s">
        <v>751</v>
      </c>
      <c r="D236" s="301" t="s">
        <v>917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52"/>
        <v>0</v>
      </c>
      <c r="L236" s="8">
        <f t="shared" si="53"/>
        <v>0</v>
      </c>
      <c r="M236" s="289"/>
    </row>
    <row r="237" spans="1:13" ht="18.75" customHeight="1">
      <c r="A237" s="289" t="str">
        <f t="shared" si="54"/>
        <v>TP</v>
      </c>
      <c r="B237" s="302">
        <f t="shared" si="55"/>
        <v>215</v>
      </c>
      <c r="C237" s="293" t="s">
        <v>619</v>
      </c>
      <c r="D237" s="301" t="s">
        <v>917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52"/>
        <v>0</v>
      </c>
      <c r="L237" s="8">
        <f t="shared" si="53"/>
        <v>0</v>
      </c>
      <c r="M237" s="289"/>
    </row>
    <row r="238" spans="1:13" ht="18.75" customHeight="1">
      <c r="A238" s="289" t="str">
        <f t="shared" si="54"/>
        <v>TP</v>
      </c>
      <c r="B238" s="302">
        <f t="shared" si="55"/>
        <v>216</v>
      </c>
      <c r="C238" s="293" t="s">
        <v>753</v>
      </c>
      <c r="D238" s="301" t="s">
        <v>917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52"/>
        <v>0</v>
      </c>
      <c r="L238" s="8">
        <f t="shared" si="53"/>
        <v>0</v>
      </c>
      <c r="M238" s="289"/>
    </row>
    <row r="239" spans="1:13" ht="18.75" customHeight="1">
      <c r="A239" s="289" t="str">
        <f t="shared" si="54"/>
        <v>TP</v>
      </c>
      <c r="B239" s="302">
        <f t="shared" si="55"/>
        <v>217</v>
      </c>
      <c r="C239" s="293" t="s">
        <v>760</v>
      </c>
      <c r="D239" s="301" t="s">
        <v>917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52"/>
        <v>0</v>
      </c>
      <c r="L239" s="8">
        <f t="shared" si="53"/>
        <v>0</v>
      </c>
      <c r="M239" s="289"/>
    </row>
    <row r="240" spans="1:13" ht="18.75" customHeight="1">
      <c r="A240" s="289" t="str">
        <f t="shared" si="54"/>
        <v>TP</v>
      </c>
      <c r="B240" s="302">
        <f t="shared" si="55"/>
        <v>218</v>
      </c>
      <c r="C240" s="293" t="s">
        <v>762</v>
      </c>
      <c r="D240" s="301" t="s">
        <v>917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52"/>
        <v>0</v>
      </c>
      <c r="L240" s="8">
        <f t="shared" si="53"/>
        <v>0</v>
      </c>
      <c r="M240" s="289"/>
    </row>
    <row r="241" spans="1:13" ht="18.75" customHeight="1">
      <c r="A241" s="289" t="str">
        <f t="shared" si="54"/>
        <v>TP</v>
      </c>
      <c r="B241" s="302">
        <f t="shared" si="55"/>
        <v>219</v>
      </c>
      <c r="C241" s="293" t="s">
        <v>621</v>
      </c>
      <c r="D241" s="301" t="s">
        <v>917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52"/>
        <v>0</v>
      </c>
      <c r="L241" s="8">
        <f t="shared" si="53"/>
        <v>0</v>
      </c>
      <c r="M241" s="289"/>
    </row>
    <row r="242" spans="1:13" ht="18.75" customHeight="1">
      <c r="A242" s="289" t="str">
        <f t="shared" si="54"/>
        <v>TP</v>
      </c>
      <c r="B242" s="302">
        <f t="shared" si="55"/>
        <v>220</v>
      </c>
      <c r="C242" s="293" t="s">
        <v>617</v>
      </c>
      <c r="D242" s="301" t="s">
        <v>917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52"/>
        <v>0</v>
      </c>
      <c r="L242" s="8">
        <f t="shared" si="53"/>
        <v>0</v>
      </c>
      <c r="M242" s="289"/>
    </row>
    <row r="243" spans="1:13" ht="18.75" customHeight="1">
      <c r="A243" s="289" t="str">
        <f t="shared" si="54"/>
        <v>TP</v>
      </c>
      <c r="B243" s="302">
        <f t="shared" si="55"/>
        <v>221</v>
      </c>
      <c r="C243" s="293" t="s">
        <v>755</v>
      </c>
      <c r="D243" s="301" t="s">
        <v>917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52"/>
        <v>0</v>
      </c>
      <c r="L243" s="8">
        <f t="shared" si="53"/>
        <v>0</v>
      </c>
      <c r="M243" s="289"/>
    </row>
    <row r="244" spans="1:13" ht="18.75" customHeight="1">
      <c r="A244" s="289" t="str">
        <f t="shared" si="54"/>
        <v>TP</v>
      </c>
      <c r="B244" s="302">
        <f t="shared" si="55"/>
        <v>222</v>
      </c>
      <c r="C244" s="293" t="s">
        <v>754</v>
      </c>
      <c r="D244" s="301" t="s">
        <v>917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52"/>
        <v>0</v>
      </c>
      <c r="L244" s="8">
        <f t="shared" si="53"/>
        <v>0</v>
      </c>
      <c r="M244" s="289"/>
    </row>
    <row r="245" spans="1:13" ht="18.75" customHeight="1">
      <c r="A245" s="289" t="str">
        <f t="shared" si="54"/>
        <v>TP</v>
      </c>
      <c r="B245" s="302">
        <f t="shared" si="55"/>
        <v>223</v>
      </c>
      <c r="C245" s="293" t="s">
        <v>622</v>
      </c>
      <c r="D245" s="301" t="s">
        <v>917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52"/>
        <v>0</v>
      </c>
      <c r="L245" s="8">
        <f t="shared" si="53"/>
        <v>0</v>
      </c>
      <c r="M245" s="289"/>
    </row>
    <row r="246" spans="1:13" ht="18.75" customHeight="1">
      <c r="A246" s="289" t="str">
        <f t="shared" si="54"/>
        <v>TP</v>
      </c>
      <c r="B246" s="302">
        <f t="shared" si="55"/>
        <v>224</v>
      </c>
      <c r="C246" s="293" t="s">
        <v>616</v>
      </c>
      <c r="D246" s="301" t="s">
        <v>917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52"/>
        <v>0</v>
      </c>
      <c r="L246" s="8">
        <f t="shared" si="53"/>
        <v>0</v>
      </c>
      <c r="M246" s="289"/>
    </row>
    <row r="247" spans="1:13" ht="18.75" customHeight="1">
      <c r="A247" s="289" t="str">
        <f t="shared" si="54"/>
        <v>TP</v>
      </c>
      <c r="B247" s="302">
        <f t="shared" si="55"/>
        <v>225</v>
      </c>
      <c r="C247" s="293" t="s">
        <v>756</v>
      </c>
      <c r="D247" s="301" t="s">
        <v>917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52"/>
        <v>0</v>
      </c>
      <c r="L247" s="8">
        <f t="shared" si="53"/>
        <v>0</v>
      </c>
      <c r="M247" s="289"/>
    </row>
    <row r="248" spans="1:13" ht="18.75" customHeight="1">
      <c r="A248" s="289" t="str">
        <f t="shared" si="54"/>
        <v>TP</v>
      </c>
      <c r="B248" s="302">
        <f t="shared" si="55"/>
        <v>226</v>
      </c>
      <c r="C248" s="293" t="s">
        <v>620</v>
      </c>
      <c r="D248" s="301" t="s">
        <v>917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52"/>
        <v>0</v>
      </c>
      <c r="L248" s="8">
        <f t="shared" si="53"/>
        <v>0</v>
      </c>
      <c r="M248" s="289"/>
    </row>
    <row r="249" spans="1:13" ht="18.75" customHeight="1">
      <c r="A249" s="289" t="str">
        <f t="shared" si="54"/>
        <v>TP</v>
      </c>
      <c r="B249" s="302">
        <f t="shared" si="55"/>
        <v>227</v>
      </c>
      <c r="C249" s="293" t="s">
        <v>748</v>
      </c>
      <c r="D249" s="301" t="s">
        <v>917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52"/>
        <v>0</v>
      </c>
      <c r="L249" s="8">
        <f t="shared" si="53"/>
        <v>0</v>
      </c>
      <c r="M249" s="289"/>
    </row>
    <row r="250" spans="1:13" ht="18.75" customHeight="1">
      <c r="A250" s="289" t="str">
        <f t="shared" si="54"/>
        <v>TP</v>
      </c>
      <c r="B250" s="302">
        <f t="shared" si="55"/>
        <v>228</v>
      </c>
      <c r="C250" s="293" t="s">
        <v>615</v>
      </c>
      <c r="D250" s="301" t="s">
        <v>917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52"/>
        <v>0</v>
      </c>
      <c r="L250" s="8">
        <f t="shared" si="53"/>
        <v>0</v>
      </c>
      <c r="M250" s="289"/>
    </row>
    <row r="251" spans="1:13" ht="18.75" customHeight="1">
      <c r="A251" s="289" t="str">
        <f t="shared" si="54"/>
        <v>TP</v>
      </c>
      <c r="B251" s="302">
        <f t="shared" si="55"/>
        <v>229</v>
      </c>
      <c r="C251" s="293" t="s">
        <v>726</v>
      </c>
      <c r="D251" s="301" t="s">
        <v>917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52"/>
        <v>0</v>
      </c>
      <c r="L251" s="8">
        <f t="shared" si="53"/>
        <v>0</v>
      </c>
      <c r="M251" s="289"/>
    </row>
    <row r="252" spans="1:13" ht="18.75" customHeight="1">
      <c r="A252" s="289" t="str">
        <f t="shared" si="54"/>
        <v>TP</v>
      </c>
      <c r="B252" s="302">
        <f t="shared" si="55"/>
        <v>230</v>
      </c>
      <c r="C252" s="293" t="s">
        <v>688</v>
      </c>
      <c r="D252" s="301" t="s">
        <v>917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52"/>
        <v>0</v>
      </c>
      <c r="L252" s="8">
        <f t="shared" si="53"/>
        <v>0</v>
      </c>
      <c r="M252" s="289"/>
    </row>
    <row r="253" spans="1:13" ht="18.75" customHeight="1">
      <c r="A253" s="289" t="str">
        <f t="shared" si="54"/>
        <v>TP</v>
      </c>
      <c r="B253" s="302">
        <f t="shared" si="55"/>
        <v>231</v>
      </c>
      <c r="C253" s="293" t="s">
        <v>595</v>
      </c>
      <c r="D253" s="301" t="s">
        <v>917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52"/>
        <v>0</v>
      </c>
      <c r="L253" s="8">
        <f t="shared" si="53"/>
        <v>0</v>
      </c>
      <c r="M253" s="289"/>
    </row>
    <row r="254" spans="1:13" ht="18.75" customHeight="1">
      <c r="A254" s="289" t="str">
        <f t="shared" si="54"/>
        <v>TP</v>
      </c>
      <c r="B254" s="302">
        <f t="shared" si="55"/>
        <v>232</v>
      </c>
      <c r="C254" s="293" t="s">
        <v>689</v>
      </c>
      <c r="D254" s="301" t="s">
        <v>917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52"/>
        <v>0</v>
      </c>
      <c r="L254" s="8">
        <f t="shared" si="53"/>
        <v>0</v>
      </c>
      <c r="M254" s="289"/>
    </row>
    <row r="255" spans="1:13" ht="18.75" customHeight="1">
      <c r="A255" s="289" t="str">
        <f t="shared" si="54"/>
        <v>TP</v>
      </c>
      <c r="B255" s="302">
        <f t="shared" si="55"/>
        <v>233</v>
      </c>
      <c r="C255" s="293" t="s">
        <v>594</v>
      </c>
      <c r="D255" s="301" t="s">
        <v>917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52"/>
        <v>0</v>
      </c>
      <c r="L255" s="8">
        <f t="shared" si="53"/>
        <v>0</v>
      </c>
      <c r="M255" s="289"/>
    </row>
    <row r="256" spans="1:13" ht="18.75" customHeight="1">
      <c r="A256" s="289" t="str">
        <f t="shared" ref="A256:A287" si="56">IF(B256&lt;&gt;"","TP","")</f>
        <v>TP</v>
      </c>
      <c r="B256" s="302">
        <f t="shared" ref="B256:B287" si="57">IF(C256&lt;&gt;"",B255+1,"")</f>
        <v>234</v>
      </c>
      <c r="C256" s="293" t="s">
        <v>591</v>
      </c>
      <c r="D256" s="301" t="s">
        <v>917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52"/>
        <v>0</v>
      </c>
      <c r="L256" s="8">
        <f t="shared" si="53"/>
        <v>0</v>
      </c>
      <c r="M256" s="289"/>
    </row>
    <row r="257" spans="1:13" ht="18.75" customHeight="1">
      <c r="A257" s="289" t="str">
        <f t="shared" si="56"/>
        <v>TP</v>
      </c>
      <c r="B257" s="302">
        <f t="shared" si="57"/>
        <v>235</v>
      </c>
      <c r="C257" s="293" t="s">
        <v>592</v>
      </c>
      <c r="D257" s="301" t="s">
        <v>917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52"/>
        <v>0</v>
      </c>
      <c r="L257" s="8">
        <f t="shared" si="53"/>
        <v>0</v>
      </c>
      <c r="M257" s="289"/>
    </row>
    <row r="258" spans="1:13" ht="18.75" customHeight="1">
      <c r="A258" s="289" t="str">
        <f t="shared" si="56"/>
        <v>TP</v>
      </c>
      <c r="B258" s="302">
        <f t="shared" si="57"/>
        <v>236</v>
      </c>
      <c r="C258" s="293" t="s">
        <v>597</v>
      </c>
      <c r="D258" s="301" t="s">
        <v>917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52"/>
        <v>0</v>
      </c>
      <c r="L258" s="8">
        <f t="shared" si="53"/>
        <v>0</v>
      </c>
      <c r="M258" s="289"/>
    </row>
    <row r="259" spans="1:13" ht="18.75" customHeight="1">
      <c r="A259" s="289" t="str">
        <f t="shared" si="56"/>
        <v>TP</v>
      </c>
      <c r="B259" s="302">
        <f t="shared" si="57"/>
        <v>237</v>
      </c>
      <c r="C259" s="293" t="s">
        <v>596</v>
      </c>
      <c r="D259" s="301" t="s">
        <v>917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52"/>
        <v>0</v>
      </c>
      <c r="L259" s="8">
        <f t="shared" si="53"/>
        <v>0</v>
      </c>
      <c r="M259" s="289"/>
    </row>
    <row r="260" spans="1:13" ht="18.75" customHeight="1">
      <c r="A260" s="289" t="str">
        <f t="shared" si="56"/>
        <v>TP</v>
      </c>
      <c r="B260" s="302">
        <f t="shared" si="57"/>
        <v>238</v>
      </c>
      <c r="C260" s="293" t="s">
        <v>598</v>
      </c>
      <c r="D260" s="301" t="s">
        <v>917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52"/>
        <v>0</v>
      </c>
      <c r="L260" s="8">
        <f t="shared" si="53"/>
        <v>0</v>
      </c>
      <c r="M260" s="289"/>
    </row>
    <row r="261" spans="1:13" ht="18.75" customHeight="1">
      <c r="A261" s="289" t="str">
        <f t="shared" si="56"/>
        <v>TP</v>
      </c>
      <c r="B261" s="302">
        <f t="shared" si="57"/>
        <v>239</v>
      </c>
      <c r="C261" s="293" t="s">
        <v>614</v>
      </c>
      <c r="D261" s="301" t="s">
        <v>917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52"/>
        <v>0</v>
      </c>
      <c r="L261" s="8">
        <f t="shared" si="53"/>
        <v>0</v>
      </c>
      <c r="M261" s="289"/>
    </row>
    <row r="262" spans="1:13" ht="18.75" customHeight="1">
      <c r="A262" s="289" t="str">
        <f t="shared" si="56"/>
        <v>TP</v>
      </c>
      <c r="B262" s="302">
        <f t="shared" si="57"/>
        <v>240</v>
      </c>
      <c r="C262" s="293" t="s">
        <v>690</v>
      </c>
      <c r="D262" s="301" t="s">
        <v>917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52"/>
        <v>0</v>
      </c>
      <c r="L262" s="8">
        <f t="shared" si="53"/>
        <v>0</v>
      </c>
      <c r="M262" s="289"/>
    </row>
    <row r="263" spans="1:13" ht="18.75" customHeight="1">
      <c r="A263" s="289" t="str">
        <f t="shared" si="56"/>
        <v>TP</v>
      </c>
      <c r="B263" s="302">
        <f t="shared" si="57"/>
        <v>241</v>
      </c>
      <c r="C263" s="293" t="s">
        <v>593</v>
      </c>
      <c r="D263" s="301" t="s">
        <v>917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52"/>
        <v>0</v>
      </c>
      <c r="L263" s="8">
        <f t="shared" si="53"/>
        <v>0</v>
      </c>
      <c r="M263" s="289"/>
    </row>
    <row r="264" spans="1:13" ht="18.75" customHeight="1">
      <c r="A264" s="289" t="str">
        <f t="shared" si="56"/>
        <v>TP</v>
      </c>
      <c r="B264" s="302">
        <f t="shared" si="57"/>
        <v>242</v>
      </c>
      <c r="C264" s="293" t="s">
        <v>724</v>
      </c>
      <c r="D264" s="301" t="s">
        <v>917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52"/>
        <v>0</v>
      </c>
      <c r="L264" s="8">
        <f t="shared" si="53"/>
        <v>0</v>
      </c>
      <c r="M264" s="289"/>
    </row>
    <row r="265" spans="1:13" ht="18.75" customHeight="1">
      <c r="A265" s="289" t="str">
        <f t="shared" si="56"/>
        <v>TP</v>
      </c>
      <c r="B265" s="302">
        <f t="shared" si="57"/>
        <v>243</v>
      </c>
      <c r="C265" s="293" t="s">
        <v>599</v>
      </c>
      <c r="D265" s="301" t="s">
        <v>917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52"/>
        <v>0</v>
      </c>
      <c r="L265" s="8">
        <f t="shared" si="53"/>
        <v>0</v>
      </c>
      <c r="M265" s="289"/>
    </row>
    <row r="266" spans="1:13" ht="18.75" customHeight="1">
      <c r="A266" s="289" t="str">
        <f t="shared" si="56"/>
        <v>TP</v>
      </c>
      <c r="B266" s="302">
        <f t="shared" si="57"/>
        <v>244</v>
      </c>
      <c r="C266" s="293" t="s">
        <v>687</v>
      </c>
      <c r="D266" s="301" t="s">
        <v>917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52"/>
        <v>0</v>
      </c>
      <c r="L266" s="8">
        <f t="shared" si="53"/>
        <v>0</v>
      </c>
      <c r="M266" s="289"/>
    </row>
    <row r="267" spans="1:13" ht="18.75" customHeight="1">
      <c r="A267" s="289" t="str">
        <f t="shared" si="56"/>
        <v>TP</v>
      </c>
      <c r="B267" s="302">
        <f t="shared" si="57"/>
        <v>245</v>
      </c>
      <c r="C267" s="293" t="s">
        <v>600</v>
      </c>
      <c r="D267" s="301" t="s">
        <v>917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52"/>
        <v>0</v>
      </c>
      <c r="L267" s="8">
        <f t="shared" si="53"/>
        <v>0</v>
      </c>
      <c r="M267" s="289"/>
    </row>
    <row r="268" spans="1:13" ht="18.75" customHeight="1">
      <c r="A268" s="289" t="str">
        <f t="shared" si="56"/>
        <v>TP</v>
      </c>
      <c r="B268" s="302">
        <f t="shared" si="57"/>
        <v>246</v>
      </c>
      <c r="C268" s="293" t="s">
        <v>603</v>
      </c>
      <c r="D268" s="301" t="s">
        <v>917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52"/>
        <v>0</v>
      </c>
      <c r="L268" s="8">
        <f t="shared" si="53"/>
        <v>0</v>
      </c>
      <c r="M268" s="289"/>
    </row>
    <row r="269" spans="1:13" ht="18.75" customHeight="1">
      <c r="A269" s="289" t="str">
        <f t="shared" si="56"/>
        <v>TP</v>
      </c>
      <c r="B269" s="302">
        <f t="shared" si="57"/>
        <v>247</v>
      </c>
      <c r="C269" s="293" t="s">
        <v>602</v>
      </c>
      <c r="D269" s="301" t="s">
        <v>917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52"/>
        <v>0</v>
      </c>
      <c r="L269" s="8">
        <f t="shared" si="53"/>
        <v>0</v>
      </c>
      <c r="M269" s="289"/>
    </row>
    <row r="270" spans="1:13" ht="18.75" customHeight="1">
      <c r="A270" s="289" t="str">
        <f t="shared" si="56"/>
        <v>TP</v>
      </c>
      <c r="B270" s="302">
        <f t="shared" si="57"/>
        <v>248</v>
      </c>
      <c r="C270" s="188" t="s">
        <v>601</v>
      </c>
      <c r="D270" s="301" t="s">
        <v>917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52"/>
        <v>0</v>
      </c>
      <c r="L270" s="8">
        <f t="shared" si="53"/>
        <v>0</v>
      </c>
      <c r="M270" s="289"/>
    </row>
    <row r="271" spans="1:13" ht="18.75" customHeight="1">
      <c r="A271" s="289" t="str">
        <f t="shared" si="56"/>
        <v>TP</v>
      </c>
      <c r="B271" s="302">
        <f t="shared" si="57"/>
        <v>249</v>
      </c>
      <c r="C271" s="293" t="s">
        <v>725</v>
      </c>
      <c r="D271" s="301" t="s">
        <v>917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52"/>
        <v>0</v>
      </c>
      <c r="L271" s="8">
        <f t="shared" si="53"/>
        <v>0</v>
      </c>
      <c r="M271" s="289"/>
    </row>
    <row r="272" spans="1:13" ht="18.75" customHeight="1">
      <c r="A272" s="289" t="str">
        <f t="shared" si="56"/>
        <v>TP</v>
      </c>
      <c r="B272" s="302">
        <f t="shared" si="57"/>
        <v>250</v>
      </c>
      <c r="C272" s="293" t="s">
        <v>727</v>
      </c>
      <c r="D272" s="301" t="s">
        <v>917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52"/>
        <v>0</v>
      </c>
      <c r="L272" s="8">
        <f t="shared" si="53"/>
        <v>0</v>
      </c>
      <c r="M272" s="289"/>
    </row>
    <row r="273" spans="1:13" ht="18.75" customHeight="1">
      <c r="A273" s="289" t="str">
        <f t="shared" si="56"/>
        <v>TP</v>
      </c>
      <c r="B273" s="302">
        <f t="shared" si="57"/>
        <v>251</v>
      </c>
      <c r="C273" s="451" t="s">
        <v>870</v>
      </c>
      <c r="D273" s="301" t="s">
        <v>917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52"/>
        <v>0</v>
      </c>
      <c r="L273" s="8">
        <f t="shared" si="53"/>
        <v>0</v>
      </c>
      <c r="M273" s="289"/>
    </row>
    <row r="274" spans="1:13" ht="18.75" customHeight="1">
      <c r="A274" s="289" t="str">
        <f t="shared" si="56"/>
        <v>TP</v>
      </c>
      <c r="B274" s="302">
        <f t="shared" si="57"/>
        <v>252</v>
      </c>
      <c r="C274" s="40" t="s">
        <v>788</v>
      </c>
      <c r="D274" s="301" t="s">
        <v>917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52"/>
        <v>0</v>
      </c>
      <c r="L274" s="8">
        <f t="shared" si="53"/>
        <v>0</v>
      </c>
      <c r="M274" s="289"/>
    </row>
    <row r="275" spans="1:13" ht="18.75" customHeight="1">
      <c r="A275" s="289" t="str">
        <f t="shared" si="56"/>
        <v>TP</v>
      </c>
      <c r="B275" s="302">
        <f t="shared" si="57"/>
        <v>253</v>
      </c>
      <c r="C275" s="191" t="s">
        <v>790</v>
      </c>
      <c r="D275" s="301" t="s">
        <v>917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52"/>
        <v>0</v>
      </c>
      <c r="L275" s="8">
        <f t="shared" si="53"/>
        <v>0</v>
      </c>
      <c r="M275" s="289"/>
    </row>
    <row r="276" spans="1:13" ht="18.75" customHeight="1">
      <c r="A276" s="289" t="str">
        <f t="shared" si="56"/>
        <v>TP</v>
      </c>
      <c r="B276" s="302">
        <f t="shared" si="57"/>
        <v>254</v>
      </c>
      <c r="C276" s="191" t="s">
        <v>791</v>
      </c>
      <c r="D276" s="301" t="s">
        <v>917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52"/>
        <v>0</v>
      </c>
      <c r="L276" s="8">
        <f t="shared" si="53"/>
        <v>0</v>
      </c>
      <c r="M276" s="289"/>
    </row>
    <row r="277" spans="1:13" ht="18.75" customHeight="1">
      <c r="A277" s="289" t="str">
        <f t="shared" si="56"/>
        <v>TP</v>
      </c>
      <c r="B277" s="302">
        <f t="shared" si="57"/>
        <v>255</v>
      </c>
      <c r="C277" s="40" t="s">
        <v>898</v>
      </c>
      <c r="D277" s="301" t="s">
        <v>917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52"/>
        <v>0</v>
      </c>
      <c r="L277" s="8">
        <f t="shared" si="53"/>
        <v>0</v>
      </c>
      <c r="M277" s="289"/>
    </row>
    <row r="278" spans="1:13" ht="18.75" customHeight="1">
      <c r="A278" s="289" t="str">
        <f t="shared" si="56"/>
        <v>TP</v>
      </c>
      <c r="B278" s="302">
        <f t="shared" si="57"/>
        <v>256</v>
      </c>
      <c r="C278" s="40" t="s">
        <v>867</v>
      </c>
      <c r="D278" s="301" t="s">
        <v>917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52"/>
        <v>0</v>
      </c>
      <c r="L278" s="8">
        <f t="shared" si="53"/>
        <v>0</v>
      </c>
      <c r="M278" s="289"/>
    </row>
    <row r="279" spans="1:13" ht="18.75" customHeight="1">
      <c r="A279" s="289" t="str">
        <f t="shared" si="56"/>
        <v>TP</v>
      </c>
      <c r="B279" s="302">
        <f t="shared" si="57"/>
        <v>257</v>
      </c>
      <c r="C279" s="40" t="s">
        <v>868</v>
      </c>
      <c r="D279" s="301" t="s">
        <v>917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ref="K279:K342" si="58">E279+G279-I279</f>
        <v>0</v>
      </c>
      <c r="L279" s="8">
        <f t="shared" ref="L279:L342" si="59">F279+H279-J279</f>
        <v>0</v>
      </c>
      <c r="M279" s="289"/>
    </row>
    <row r="280" spans="1:13" ht="18.75" customHeight="1">
      <c r="A280" s="289" t="str">
        <f t="shared" si="56"/>
        <v>TP</v>
      </c>
      <c r="B280" s="302">
        <f t="shared" si="57"/>
        <v>258</v>
      </c>
      <c r="C280" s="293" t="s">
        <v>731</v>
      </c>
      <c r="D280" s="301" t="s">
        <v>917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58"/>
        <v>0</v>
      </c>
      <c r="L280" s="8">
        <f t="shared" si="59"/>
        <v>0</v>
      </c>
      <c r="M280" s="289"/>
    </row>
    <row r="281" spans="1:13" ht="18.75" customHeight="1">
      <c r="A281" s="289" t="str">
        <f t="shared" si="56"/>
        <v>TP</v>
      </c>
      <c r="B281" s="302">
        <f t="shared" si="57"/>
        <v>259</v>
      </c>
      <c r="C281" s="293" t="s">
        <v>526</v>
      </c>
      <c r="D281" s="301" t="s">
        <v>917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8"/>
        <v>0</v>
      </c>
      <c r="L281" s="8">
        <f t="shared" si="59"/>
        <v>0</v>
      </c>
      <c r="M281" s="289"/>
    </row>
    <row r="282" spans="1:13" ht="18.75" customHeight="1">
      <c r="A282" s="289" t="str">
        <f t="shared" si="56"/>
        <v>TP</v>
      </c>
      <c r="B282" s="302">
        <f t="shared" si="57"/>
        <v>260</v>
      </c>
      <c r="C282" s="293" t="s">
        <v>527</v>
      </c>
      <c r="D282" s="301" t="s">
        <v>917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8"/>
        <v>0</v>
      </c>
      <c r="L282" s="8">
        <f t="shared" si="59"/>
        <v>0</v>
      </c>
      <c r="M282" s="289"/>
    </row>
    <row r="283" spans="1:13" ht="18.75" customHeight="1">
      <c r="A283" s="289" t="str">
        <f t="shared" si="56"/>
        <v>TP</v>
      </c>
      <c r="B283" s="302">
        <f t="shared" si="57"/>
        <v>261</v>
      </c>
      <c r="C283" s="191" t="s">
        <v>796</v>
      </c>
      <c r="D283" s="301" t="s">
        <v>917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8"/>
        <v>0</v>
      </c>
      <c r="L283" s="8">
        <f t="shared" si="59"/>
        <v>0</v>
      </c>
      <c r="M283" s="289"/>
    </row>
    <row r="284" spans="1:13" ht="18.75" customHeight="1">
      <c r="A284" s="289" t="str">
        <f t="shared" si="56"/>
        <v>TP</v>
      </c>
      <c r="B284" s="302">
        <f t="shared" si="57"/>
        <v>262</v>
      </c>
      <c r="C284" s="293" t="s">
        <v>666</v>
      </c>
      <c r="D284" s="301" t="s">
        <v>917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8"/>
        <v>0</v>
      </c>
      <c r="L284" s="8">
        <f t="shared" si="59"/>
        <v>0</v>
      </c>
      <c r="M284" s="289"/>
    </row>
    <row r="285" spans="1:13" ht="18.75" customHeight="1">
      <c r="A285" s="289" t="str">
        <f t="shared" si="56"/>
        <v>TP</v>
      </c>
      <c r="B285" s="302">
        <f t="shared" si="57"/>
        <v>263</v>
      </c>
      <c r="C285" s="293" t="s">
        <v>631</v>
      </c>
      <c r="D285" s="301" t="s">
        <v>917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8"/>
        <v>0</v>
      </c>
      <c r="L285" s="8">
        <f t="shared" si="59"/>
        <v>0</v>
      </c>
      <c r="M285" s="289"/>
    </row>
    <row r="286" spans="1:13" ht="18.75" customHeight="1">
      <c r="A286" s="289" t="str">
        <f t="shared" si="56"/>
        <v>TP</v>
      </c>
      <c r="B286" s="302">
        <f t="shared" si="57"/>
        <v>264</v>
      </c>
      <c r="C286" s="293" t="s">
        <v>634</v>
      </c>
      <c r="D286" s="301" t="s">
        <v>917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8"/>
        <v>0</v>
      </c>
      <c r="L286" s="8">
        <f t="shared" si="59"/>
        <v>0</v>
      </c>
      <c r="M286" s="289"/>
    </row>
    <row r="287" spans="1:13" ht="18.75" customHeight="1">
      <c r="A287" s="289" t="str">
        <f t="shared" si="56"/>
        <v>TP</v>
      </c>
      <c r="B287" s="302">
        <f t="shared" si="57"/>
        <v>265</v>
      </c>
      <c r="C287" s="293" t="s">
        <v>629</v>
      </c>
      <c r="D287" s="301" t="s">
        <v>917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8"/>
        <v>0</v>
      </c>
      <c r="L287" s="8">
        <f t="shared" si="59"/>
        <v>0</v>
      </c>
      <c r="M287" s="289"/>
    </row>
    <row r="288" spans="1:13" ht="18.75" customHeight="1">
      <c r="A288" s="289" t="str">
        <f t="shared" ref="A288:A319" si="60">IF(B288&lt;&gt;"","TP","")</f>
        <v>TP</v>
      </c>
      <c r="B288" s="302">
        <f t="shared" ref="B288:B319" si="61">IF(C288&lt;&gt;"",B287+1,"")</f>
        <v>266</v>
      </c>
      <c r="C288" s="293" t="s">
        <v>635</v>
      </c>
      <c r="D288" s="301" t="s">
        <v>917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8"/>
        <v>0</v>
      </c>
      <c r="L288" s="8">
        <f t="shared" si="59"/>
        <v>0</v>
      </c>
      <c r="M288" s="289"/>
    </row>
    <row r="289" spans="1:13" ht="18.75" customHeight="1">
      <c r="A289" s="289" t="str">
        <f t="shared" si="60"/>
        <v>TP</v>
      </c>
      <c r="B289" s="302">
        <f t="shared" si="61"/>
        <v>267</v>
      </c>
      <c r="C289" s="293" t="s">
        <v>636</v>
      </c>
      <c r="D289" s="301" t="s">
        <v>917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8"/>
        <v>0</v>
      </c>
      <c r="L289" s="8">
        <f t="shared" si="59"/>
        <v>0</v>
      </c>
      <c r="M289" s="289"/>
    </row>
    <row r="290" spans="1:13" ht="18.75" customHeight="1">
      <c r="A290" s="289" t="str">
        <f t="shared" si="60"/>
        <v>TP</v>
      </c>
      <c r="B290" s="302">
        <f t="shared" si="61"/>
        <v>268</v>
      </c>
      <c r="C290" s="293" t="s">
        <v>638</v>
      </c>
      <c r="D290" s="301" t="s">
        <v>917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8"/>
        <v>0</v>
      </c>
      <c r="L290" s="8">
        <f t="shared" si="59"/>
        <v>0</v>
      </c>
      <c r="M290" s="289"/>
    </row>
    <row r="291" spans="1:13" ht="18.75" customHeight="1">
      <c r="A291" s="289" t="str">
        <f t="shared" si="60"/>
        <v>TP</v>
      </c>
      <c r="B291" s="302">
        <f t="shared" si="61"/>
        <v>269</v>
      </c>
      <c r="C291" s="293" t="s">
        <v>626</v>
      </c>
      <c r="D291" s="301" t="s">
        <v>917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58"/>
        <v>0</v>
      </c>
      <c r="L291" s="8">
        <f t="shared" si="59"/>
        <v>0</v>
      </c>
      <c r="M291" s="289"/>
    </row>
    <row r="292" spans="1:13" ht="18.75" customHeight="1">
      <c r="A292" s="289" t="str">
        <f t="shared" si="60"/>
        <v>TP</v>
      </c>
      <c r="B292" s="302">
        <f t="shared" si="61"/>
        <v>270</v>
      </c>
      <c r="C292" s="293" t="s">
        <v>637</v>
      </c>
      <c r="D292" s="301" t="s">
        <v>917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58"/>
        <v>0</v>
      </c>
      <c r="L292" s="8">
        <f t="shared" si="59"/>
        <v>0</v>
      </c>
      <c r="M292" s="289"/>
    </row>
    <row r="293" spans="1:13" ht="18.75" customHeight="1">
      <c r="A293" s="289" t="str">
        <f t="shared" si="60"/>
        <v>TP</v>
      </c>
      <c r="B293" s="302">
        <f t="shared" si="61"/>
        <v>271</v>
      </c>
      <c r="C293" s="293" t="s">
        <v>640</v>
      </c>
      <c r="D293" s="301" t="s">
        <v>917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58"/>
        <v>0</v>
      </c>
      <c r="L293" s="8">
        <f t="shared" si="59"/>
        <v>0</v>
      </c>
      <c r="M293" s="289"/>
    </row>
    <row r="294" spans="1:13" ht="18.75" customHeight="1">
      <c r="A294" s="289" t="str">
        <f t="shared" si="60"/>
        <v>TP</v>
      </c>
      <c r="B294" s="302">
        <f t="shared" si="61"/>
        <v>272</v>
      </c>
      <c r="C294" s="293" t="s">
        <v>625</v>
      </c>
      <c r="D294" s="301" t="s">
        <v>917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58"/>
        <v>0</v>
      </c>
      <c r="L294" s="8">
        <f t="shared" si="59"/>
        <v>0</v>
      </c>
      <c r="M294" s="289"/>
    </row>
    <row r="295" spans="1:13" ht="18.75" customHeight="1">
      <c r="A295" s="289" t="str">
        <f t="shared" si="60"/>
        <v>TP</v>
      </c>
      <c r="B295" s="302">
        <f t="shared" si="61"/>
        <v>273</v>
      </c>
      <c r="C295" s="293" t="s">
        <v>627</v>
      </c>
      <c r="D295" s="301" t="s">
        <v>917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58"/>
        <v>0</v>
      </c>
      <c r="L295" s="8">
        <f t="shared" si="59"/>
        <v>0</v>
      </c>
      <c r="M295" s="289"/>
    </row>
    <row r="296" spans="1:13" ht="18.75" customHeight="1">
      <c r="A296" s="289" t="str">
        <f t="shared" si="60"/>
        <v>TP</v>
      </c>
      <c r="B296" s="302">
        <f t="shared" si="61"/>
        <v>274</v>
      </c>
      <c r="C296" s="293" t="s">
        <v>643</v>
      </c>
      <c r="D296" s="301" t="s">
        <v>917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58"/>
        <v>0</v>
      </c>
      <c r="L296" s="8">
        <f t="shared" si="59"/>
        <v>0</v>
      </c>
      <c r="M296" s="289"/>
    </row>
    <row r="297" spans="1:13" ht="18.75" customHeight="1">
      <c r="A297" s="289" t="str">
        <f t="shared" si="60"/>
        <v>TP</v>
      </c>
      <c r="B297" s="302">
        <f t="shared" si="61"/>
        <v>275</v>
      </c>
      <c r="C297" s="293" t="s">
        <v>632</v>
      </c>
      <c r="D297" s="301" t="s">
        <v>917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8"/>
        <v>0</v>
      </c>
      <c r="L297" s="8">
        <f t="shared" si="59"/>
        <v>0</v>
      </c>
      <c r="M297" s="289"/>
    </row>
    <row r="298" spans="1:13" ht="18.75" customHeight="1">
      <c r="A298" s="289" t="str">
        <f t="shared" si="60"/>
        <v>TP</v>
      </c>
      <c r="B298" s="302">
        <f t="shared" si="61"/>
        <v>276</v>
      </c>
      <c r="C298" s="293" t="s">
        <v>778</v>
      </c>
      <c r="D298" s="301" t="s">
        <v>917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8"/>
        <v>0</v>
      </c>
      <c r="L298" s="8">
        <f t="shared" si="59"/>
        <v>0</v>
      </c>
      <c r="M298" s="289"/>
    </row>
    <row r="299" spans="1:13" ht="18.75" customHeight="1">
      <c r="A299" s="289" t="str">
        <f t="shared" si="60"/>
        <v>TP</v>
      </c>
      <c r="B299" s="302">
        <f t="shared" si="61"/>
        <v>277</v>
      </c>
      <c r="C299" s="293" t="s">
        <v>780</v>
      </c>
      <c r="D299" s="301" t="s">
        <v>917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8"/>
        <v>0</v>
      </c>
      <c r="L299" s="8">
        <f t="shared" si="59"/>
        <v>0</v>
      </c>
      <c r="M299" s="289"/>
    </row>
    <row r="300" spans="1:13" ht="18.75" customHeight="1">
      <c r="A300" s="289" t="str">
        <f t="shared" si="60"/>
        <v>TP</v>
      </c>
      <c r="B300" s="302">
        <f t="shared" si="61"/>
        <v>278</v>
      </c>
      <c r="C300" s="293" t="s">
        <v>646</v>
      </c>
      <c r="D300" s="301" t="s">
        <v>917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8"/>
        <v>0</v>
      </c>
      <c r="L300" s="8">
        <f t="shared" si="59"/>
        <v>0</v>
      </c>
      <c r="M300" s="289"/>
    </row>
    <row r="301" spans="1:13" ht="18.75" customHeight="1">
      <c r="A301" s="289" t="str">
        <f t="shared" si="60"/>
        <v>TP</v>
      </c>
      <c r="B301" s="302">
        <f t="shared" si="61"/>
        <v>279</v>
      </c>
      <c r="C301" s="293" t="s">
        <v>662</v>
      </c>
      <c r="D301" s="301" t="s">
        <v>917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8"/>
        <v>0</v>
      </c>
      <c r="L301" s="8">
        <f t="shared" si="59"/>
        <v>0</v>
      </c>
      <c r="M301" s="289"/>
    </row>
    <row r="302" spans="1:13" ht="18.75" customHeight="1">
      <c r="A302" s="289" t="str">
        <f t="shared" si="60"/>
        <v>TP</v>
      </c>
      <c r="B302" s="302">
        <f t="shared" si="61"/>
        <v>280</v>
      </c>
      <c r="C302" s="293" t="s">
        <v>642</v>
      </c>
      <c r="D302" s="301" t="s">
        <v>917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8"/>
        <v>0</v>
      </c>
      <c r="L302" s="8">
        <f t="shared" si="59"/>
        <v>0</v>
      </c>
      <c r="M302" s="289"/>
    </row>
    <row r="303" spans="1:13" ht="18.75" customHeight="1">
      <c r="A303" s="289" t="str">
        <f t="shared" si="60"/>
        <v>TP</v>
      </c>
      <c r="B303" s="302">
        <f t="shared" si="61"/>
        <v>281</v>
      </c>
      <c r="C303" s="293" t="s">
        <v>630</v>
      </c>
      <c r="D303" s="301" t="s">
        <v>917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8"/>
        <v>0</v>
      </c>
      <c r="L303" s="8">
        <f t="shared" si="59"/>
        <v>0</v>
      </c>
      <c r="M303" s="289"/>
    </row>
    <row r="304" spans="1:13" ht="18.75" customHeight="1">
      <c r="A304" s="289" t="str">
        <f t="shared" si="60"/>
        <v>TP</v>
      </c>
      <c r="B304" s="302">
        <f t="shared" si="61"/>
        <v>282</v>
      </c>
      <c r="C304" s="293" t="s">
        <v>633</v>
      </c>
      <c r="D304" s="301" t="s">
        <v>917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8"/>
        <v>0</v>
      </c>
      <c r="L304" s="8">
        <f t="shared" si="59"/>
        <v>0</v>
      </c>
      <c r="M304" s="289"/>
    </row>
    <row r="305" spans="1:13" ht="18.75" customHeight="1">
      <c r="A305" s="289" t="str">
        <f t="shared" si="60"/>
        <v>TP</v>
      </c>
      <c r="B305" s="302">
        <f t="shared" si="61"/>
        <v>283</v>
      </c>
      <c r="C305" s="293" t="s">
        <v>628</v>
      </c>
      <c r="D305" s="301" t="s">
        <v>917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8"/>
        <v>0</v>
      </c>
      <c r="L305" s="8">
        <f t="shared" si="59"/>
        <v>0</v>
      </c>
      <c r="M305" s="289"/>
    </row>
    <row r="306" spans="1:13" ht="18.75" customHeight="1">
      <c r="A306" s="289" t="str">
        <f t="shared" si="60"/>
        <v>TP</v>
      </c>
      <c r="B306" s="302">
        <f t="shared" si="61"/>
        <v>284</v>
      </c>
      <c r="C306" s="293" t="s">
        <v>779</v>
      </c>
      <c r="D306" s="301" t="s">
        <v>917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8"/>
        <v>0</v>
      </c>
      <c r="L306" s="8">
        <f t="shared" si="59"/>
        <v>0</v>
      </c>
      <c r="M306" s="289"/>
    </row>
    <row r="307" spans="1:13" ht="18.75" customHeight="1">
      <c r="A307" s="289" t="str">
        <f t="shared" si="60"/>
        <v>TP</v>
      </c>
      <c r="B307" s="302">
        <f t="shared" si="61"/>
        <v>285</v>
      </c>
      <c r="C307" s="293" t="s">
        <v>624</v>
      </c>
      <c r="D307" s="301" t="s">
        <v>917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8"/>
        <v>0</v>
      </c>
      <c r="L307" s="8">
        <f t="shared" si="59"/>
        <v>0</v>
      </c>
      <c r="M307" s="289"/>
    </row>
    <row r="308" spans="1:13" ht="18.75" customHeight="1">
      <c r="A308" s="289" t="str">
        <f t="shared" si="60"/>
        <v>TP</v>
      </c>
      <c r="B308" s="302">
        <f t="shared" si="61"/>
        <v>286</v>
      </c>
      <c r="C308" s="293" t="s">
        <v>639</v>
      </c>
      <c r="D308" s="301" t="s">
        <v>917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8"/>
        <v>0</v>
      </c>
      <c r="L308" s="8">
        <f t="shared" si="59"/>
        <v>0</v>
      </c>
      <c r="M308" s="289"/>
    </row>
    <row r="309" spans="1:13" ht="18.75" customHeight="1">
      <c r="A309" s="289" t="str">
        <f t="shared" si="60"/>
        <v>TP</v>
      </c>
      <c r="B309" s="302">
        <f t="shared" si="61"/>
        <v>287</v>
      </c>
      <c r="C309" s="191" t="s">
        <v>800</v>
      </c>
      <c r="D309" s="301" t="s">
        <v>917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8"/>
        <v>0</v>
      </c>
      <c r="L309" s="8">
        <f t="shared" si="59"/>
        <v>0</v>
      </c>
      <c r="M309" s="289"/>
    </row>
    <row r="310" spans="1:13" ht="18.75" customHeight="1">
      <c r="A310" s="289" t="str">
        <f t="shared" si="60"/>
        <v>TP</v>
      </c>
      <c r="B310" s="302">
        <f t="shared" si="61"/>
        <v>288</v>
      </c>
      <c r="C310" s="191" t="s">
        <v>801</v>
      </c>
      <c r="D310" s="301" t="s">
        <v>917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8"/>
        <v>0</v>
      </c>
      <c r="L310" s="8">
        <f t="shared" si="59"/>
        <v>0</v>
      </c>
      <c r="M310" s="289"/>
    </row>
    <row r="311" spans="1:13" ht="18.75" customHeight="1">
      <c r="A311" s="289" t="str">
        <f t="shared" si="60"/>
        <v>TP</v>
      </c>
      <c r="B311" s="302">
        <f t="shared" si="61"/>
        <v>289</v>
      </c>
      <c r="C311" s="191" t="s">
        <v>795</v>
      </c>
      <c r="D311" s="301" t="s">
        <v>917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8"/>
        <v>0</v>
      </c>
      <c r="L311" s="8">
        <f t="shared" si="59"/>
        <v>0</v>
      </c>
      <c r="M311" s="289"/>
    </row>
    <row r="312" spans="1:13" ht="18.75" customHeight="1">
      <c r="A312" s="289" t="str">
        <f t="shared" si="60"/>
        <v>TP</v>
      </c>
      <c r="B312" s="302">
        <f t="shared" si="61"/>
        <v>290</v>
      </c>
      <c r="C312" s="191" t="s">
        <v>797</v>
      </c>
      <c r="D312" s="301" t="s">
        <v>917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8"/>
        <v>0</v>
      </c>
      <c r="L312" s="8">
        <f t="shared" si="59"/>
        <v>0</v>
      </c>
      <c r="M312" s="289"/>
    </row>
    <row r="313" spans="1:13" ht="18.75" customHeight="1">
      <c r="A313" s="289" t="str">
        <f t="shared" si="60"/>
        <v>TP</v>
      </c>
      <c r="B313" s="302">
        <f t="shared" si="61"/>
        <v>291</v>
      </c>
      <c r="C313" s="191" t="s">
        <v>793</v>
      </c>
      <c r="D313" s="301" t="s">
        <v>917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8"/>
        <v>0</v>
      </c>
      <c r="L313" s="8">
        <f t="shared" si="59"/>
        <v>0</v>
      </c>
      <c r="M313" s="289"/>
    </row>
    <row r="314" spans="1:13" ht="18.75" customHeight="1">
      <c r="A314" s="289" t="str">
        <f t="shared" si="60"/>
        <v>TP</v>
      </c>
      <c r="B314" s="302">
        <f t="shared" si="61"/>
        <v>292</v>
      </c>
      <c r="C314" s="451" t="s">
        <v>869</v>
      </c>
      <c r="D314" s="301" t="s">
        <v>917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8"/>
        <v>0</v>
      </c>
      <c r="L314" s="8">
        <f t="shared" si="59"/>
        <v>0</v>
      </c>
      <c r="M314" s="289"/>
    </row>
    <row r="315" spans="1:13" ht="18.75" customHeight="1">
      <c r="A315" s="289" t="str">
        <f t="shared" si="60"/>
        <v>TP</v>
      </c>
      <c r="B315" s="302">
        <f t="shared" si="61"/>
        <v>293</v>
      </c>
      <c r="C315" s="293" t="s">
        <v>737</v>
      </c>
      <c r="D315" s="301" t="s">
        <v>917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8"/>
        <v>0</v>
      </c>
      <c r="L315" s="8">
        <f t="shared" si="59"/>
        <v>0</v>
      </c>
      <c r="M315" s="289"/>
    </row>
    <row r="316" spans="1:13" ht="18.75" customHeight="1">
      <c r="A316" s="289" t="str">
        <f t="shared" si="60"/>
        <v>TP</v>
      </c>
      <c r="B316" s="302">
        <f t="shared" si="61"/>
        <v>294</v>
      </c>
      <c r="C316" s="293" t="s">
        <v>736</v>
      </c>
      <c r="D316" s="301" t="s">
        <v>917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8"/>
        <v>0</v>
      </c>
      <c r="L316" s="8">
        <f t="shared" si="59"/>
        <v>0</v>
      </c>
      <c r="M316" s="289"/>
    </row>
    <row r="317" spans="1:13" ht="18.75" customHeight="1">
      <c r="A317" s="289" t="str">
        <f t="shared" si="60"/>
        <v>TP</v>
      </c>
      <c r="B317" s="302">
        <f t="shared" si="61"/>
        <v>295</v>
      </c>
      <c r="C317" s="293" t="s">
        <v>735</v>
      </c>
      <c r="D317" s="301" t="s">
        <v>917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8"/>
        <v>0</v>
      </c>
      <c r="L317" s="8">
        <f t="shared" si="59"/>
        <v>0</v>
      </c>
      <c r="M317" s="289"/>
    </row>
    <row r="318" spans="1:13" ht="18.75" customHeight="1">
      <c r="A318" s="289" t="str">
        <f t="shared" si="60"/>
        <v>TP</v>
      </c>
      <c r="B318" s="302">
        <f t="shared" si="61"/>
        <v>296</v>
      </c>
      <c r="C318" s="40" t="s">
        <v>913</v>
      </c>
      <c r="D318" s="301" t="s">
        <v>917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8"/>
        <v>0</v>
      </c>
      <c r="L318" s="8">
        <f t="shared" si="59"/>
        <v>0</v>
      </c>
      <c r="M318" s="289"/>
    </row>
    <row r="319" spans="1:13" ht="18.75" customHeight="1">
      <c r="A319" s="289" t="str">
        <f t="shared" si="60"/>
        <v>TP</v>
      </c>
      <c r="B319" s="302">
        <f t="shared" si="61"/>
        <v>297</v>
      </c>
      <c r="C319" s="40" t="s">
        <v>911</v>
      </c>
      <c r="D319" s="301" t="s">
        <v>917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8"/>
        <v>0</v>
      </c>
      <c r="L319" s="8">
        <f t="shared" si="59"/>
        <v>0</v>
      </c>
      <c r="M319" s="289"/>
    </row>
    <row r="320" spans="1:13" ht="18.75" customHeight="1">
      <c r="A320" s="289" t="str">
        <f t="shared" ref="A320:A339" si="62">IF(B320&lt;&gt;"","TP","")</f>
        <v>TP</v>
      </c>
      <c r="B320" s="302">
        <f t="shared" ref="B320:B339" si="63">IF(C320&lt;&gt;"",B319+1,"")</f>
        <v>298</v>
      </c>
      <c r="C320" s="293" t="s">
        <v>759</v>
      </c>
      <c r="D320" s="301" t="s">
        <v>917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8"/>
        <v>0</v>
      </c>
      <c r="L320" s="8">
        <f t="shared" si="59"/>
        <v>0</v>
      </c>
      <c r="M320" s="289"/>
    </row>
    <row r="321" spans="1:13" ht="18.75" customHeight="1">
      <c r="A321" s="289" t="str">
        <f t="shared" si="62"/>
        <v>TP</v>
      </c>
      <c r="B321" s="302">
        <f t="shared" si="63"/>
        <v>299</v>
      </c>
      <c r="C321" s="293" t="s">
        <v>781</v>
      </c>
      <c r="D321" s="301" t="s">
        <v>917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8"/>
        <v>0</v>
      </c>
      <c r="L321" s="8">
        <f t="shared" si="59"/>
        <v>0</v>
      </c>
      <c r="M321" s="289"/>
    </row>
    <row r="322" spans="1:13" ht="18.75" customHeight="1">
      <c r="A322" s="289" t="str">
        <f t="shared" si="62"/>
        <v>TP</v>
      </c>
      <c r="B322" s="302">
        <f t="shared" si="63"/>
        <v>300</v>
      </c>
      <c r="C322" s="293" t="s">
        <v>764</v>
      </c>
      <c r="D322" s="301" t="s">
        <v>917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8"/>
        <v>0</v>
      </c>
      <c r="L322" s="8">
        <f t="shared" si="59"/>
        <v>0</v>
      </c>
      <c r="M322" s="289"/>
    </row>
    <row r="323" spans="1:13" ht="18.75" customHeight="1">
      <c r="A323" s="289" t="str">
        <f t="shared" si="62"/>
        <v>TP</v>
      </c>
      <c r="B323" s="302">
        <f t="shared" si="63"/>
        <v>301</v>
      </c>
      <c r="C323" s="293" t="s">
        <v>763</v>
      </c>
      <c r="D323" s="301" t="s">
        <v>917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8"/>
        <v>0</v>
      </c>
      <c r="L323" s="8">
        <f t="shared" si="59"/>
        <v>0</v>
      </c>
      <c r="M323" s="289"/>
    </row>
    <row r="324" spans="1:13" ht="18.75" customHeight="1">
      <c r="A324" s="289" t="str">
        <f t="shared" si="62"/>
        <v>TP</v>
      </c>
      <c r="B324" s="302">
        <f t="shared" si="63"/>
        <v>302</v>
      </c>
      <c r="C324" s="293" t="s">
        <v>730</v>
      </c>
      <c r="D324" s="301" t="s">
        <v>917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8"/>
        <v>0</v>
      </c>
      <c r="L324" s="8">
        <f t="shared" si="59"/>
        <v>0</v>
      </c>
      <c r="M324" s="289"/>
    </row>
    <row r="325" spans="1:13" ht="18.75" customHeight="1">
      <c r="A325" s="289" t="str">
        <f t="shared" si="62"/>
        <v>TP</v>
      </c>
      <c r="B325" s="302">
        <f t="shared" si="63"/>
        <v>303</v>
      </c>
      <c r="C325" s="293" t="s">
        <v>729</v>
      </c>
      <c r="D325" s="301" t="s">
        <v>917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8"/>
        <v>0</v>
      </c>
      <c r="L325" s="8">
        <f t="shared" si="59"/>
        <v>0</v>
      </c>
      <c r="M325" s="289"/>
    </row>
    <row r="326" spans="1:13" ht="18.75" customHeight="1">
      <c r="A326" s="289" t="str">
        <f t="shared" si="62"/>
        <v>TP</v>
      </c>
      <c r="B326" s="302">
        <f t="shared" si="63"/>
        <v>304</v>
      </c>
      <c r="C326" s="293" t="s">
        <v>728</v>
      </c>
      <c r="D326" s="301" t="s">
        <v>917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8"/>
        <v>0</v>
      </c>
      <c r="L326" s="8">
        <f t="shared" si="59"/>
        <v>0</v>
      </c>
      <c r="M326" s="289"/>
    </row>
    <row r="327" spans="1:13" ht="18.75" customHeight="1">
      <c r="A327" s="289" t="str">
        <f t="shared" si="62"/>
        <v>TP</v>
      </c>
      <c r="B327" s="302">
        <f t="shared" si="63"/>
        <v>305</v>
      </c>
      <c r="C327" s="191" t="s">
        <v>799</v>
      </c>
      <c r="D327" s="301" t="s">
        <v>917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8"/>
        <v>0</v>
      </c>
      <c r="L327" s="8">
        <f t="shared" si="59"/>
        <v>0</v>
      </c>
      <c r="M327" s="289"/>
    </row>
    <row r="328" spans="1:13" ht="18.75" customHeight="1">
      <c r="A328" s="289" t="str">
        <f t="shared" si="62"/>
        <v>TP</v>
      </c>
      <c r="B328" s="302">
        <f t="shared" si="63"/>
        <v>306</v>
      </c>
      <c r="C328" s="191" t="s">
        <v>798</v>
      </c>
      <c r="D328" s="301" t="s">
        <v>917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8"/>
        <v>0</v>
      </c>
      <c r="L328" s="8">
        <f t="shared" si="59"/>
        <v>0</v>
      </c>
      <c r="M328" s="289"/>
    </row>
    <row r="329" spans="1:13" ht="18.75" customHeight="1">
      <c r="A329" s="289" t="str">
        <f t="shared" si="62"/>
        <v>TP</v>
      </c>
      <c r="B329" s="302">
        <f t="shared" si="63"/>
        <v>307</v>
      </c>
      <c r="C329" s="191" t="s">
        <v>792</v>
      </c>
      <c r="D329" s="301" t="s">
        <v>917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8"/>
        <v>0</v>
      </c>
      <c r="L329" s="8">
        <f t="shared" si="59"/>
        <v>0</v>
      </c>
      <c r="M329" s="289"/>
    </row>
    <row r="330" spans="1:13" ht="18.75" customHeight="1">
      <c r="A330" s="289" t="str">
        <f t="shared" si="62"/>
        <v>TP</v>
      </c>
      <c r="B330" s="302">
        <f t="shared" si="63"/>
        <v>308</v>
      </c>
      <c r="C330" s="191" t="s">
        <v>794</v>
      </c>
      <c r="D330" s="301" t="s">
        <v>917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8"/>
        <v>0</v>
      </c>
      <c r="L330" s="8">
        <f t="shared" si="59"/>
        <v>0</v>
      </c>
      <c r="M330" s="289"/>
    </row>
    <row r="331" spans="1:13" ht="18.75" customHeight="1">
      <c r="A331" s="289" t="str">
        <f t="shared" si="62"/>
        <v>TP</v>
      </c>
      <c r="B331" s="302">
        <f t="shared" si="63"/>
        <v>309</v>
      </c>
      <c r="C331" s="40" t="s">
        <v>914</v>
      </c>
      <c r="D331" s="301" t="s">
        <v>917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8"/>
        <v>0</v>
      </c>
      <c r="L331" s="8">
        <f t="shared" si="59"/>
        <v>0</v>
      </c>
      <c r="M331" s="289"/>
    </row>
    <row r="332" spans="1:13" ht="18.75" customHeight="1">
      <c r="A332" s="289" t="str">
        <f t="shared" si="62"/>
        <v>TP</v>
      </c>
      <c r="B332" s="302">
        <f t="shared" si="63"/>
        <v>310</v>
      </c>
      <c r="C332" s="293" t="s">
        <v>674</v>
      </c>
      <c r="D332" s="301" t="s">
        <v>380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8"/>
        <v>0</v>
      </c>
      <c r="L332" s="8">
        <f t="shared" si="59"/>
        <v>0</v>
      </c>
      <c r="M332" s="289"/>
    </row>
    <row r="333" spans="1:13" ht="18.75" customHeight="1">
      <c r="A333" s="289" t="str">
        <f t="shared" si="62"/>
        <v>TP</v>
      </c>
      <c r="B333" s="302">
        <f t="shared" si="63"/>
        <v>311</v>
      </c>
      <c r="C333" s="40" t="s">
        <v>846</v>
      </c>
      <c r="D333" s="301" t="s">
        <v>380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8"/>
        <v>0</v>
      </c>
      <c r="L333" s="8">
        <f t="shared" si="59"/>
        <v>0</v>
      </c>
      <c r="M333" s="289"/>
    </row>
    <row r="334" spans="1:13" ht="18.75" customHeight="1">
      <c r="A334" s="289" t="str">
        <f t="shared" si="62"/>
        <v>TP</v>
      </c>
      <c r="B334" s="302">
        <f t="shared" si="63"/>
        <v>312</v>
      </c>
      <c r="C334" s="40" t="s">
        <v>893</v>
      </c>
      <c r="D334" s="301" t="s">
        <v>380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8"/>
        <v>0</v>
      </c>
      <c r="L334" s="8">
        <f t="shared" si="59"/>
        <v>0</v>
      </c>
      <c r="M334" s="289"/>
    </row>
    <row r="335" spans="1:13" ht="18.75" customHeight="1">
      <c r="A335" s="289" t="str">
        <f t="shared" si="62"/>
        <v>TP</v>
      </c>
      <c r="B335" s="302">
        <f t="shared" si="63"/>
        <v>313</v>
      </c>
      <c r="C335" s="40" t="s">
        <v>894</v>
      </c>
      <c r="D335" s="301" t="s">
        <v>380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8"/>
        <v>0</v>
      </c>
      <c r="L335" s="8">
        <f t="shared" si="59"/>
        <v>0</v>
      </c>
      <c r="M335" s="289"/>
    </row>
    <row r="336" spans="1:13" ht="18.75" customHeight="1">
      <c r="A336" s="289" t="str">
        <f t="shared" si="62"/>
        <v>TP</v>
      </c>
      <c r="B336" s="302">
        <f t="shared" si="63"/>
        <v>314</v>
      </c>
      <c r="C336" s="40" t="s">
        <v>895</v>
      </c>
      <c r="D336" s="301" t="s">
        <v>380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8"/>
        <v>0</v>
      </c>
      <c r="L336" s="8">
        <f t="shared" si="59"/>
        <v>0</v>
      </c>
      <c r="M336" s="289"/>
    </row>
    <row r="337" spans="1:13" ht="18.75" customHeight="1">
      <c r="A337" s="289" t="str">
        <f t="shared" si="62"/>
        <v>TP</v>
      </c>
      <c r="B337" s="302">
        <f t="shared" si="63"/>
        <v>315</v>
      </c>
      <c r="C337" s="40" t="s">
        <v>855</v>
      </c>
      <c r="D337" s="301" t="s">
        <v>380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8"/>
        <v>0</v>
      </c>
      <c r="L337" s="8">
        <f t="shared" si="59"/>
        <v>0</v>
      </c>
      <c r="M337" s="289"/>
    </row>
    <row r="338" spans="1:13" ht="18.75" customHeight="1">
      <c r="A338" s="289" t="str">
        <f t="shared" si="62"/>
        <v>TP</v>
      </c>
      <c r="B338" s="302">
        <f t="shared" si="63"/>
        <v>316</v>
      </c>
      <c r="C338" s="40" t="s">
        <v>854</v>
      </c>
      <c r="D338" s="301" t="s">
        <v>380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8"/>
        <v>0</v>
      </c>
      <c r="L338" s="8">
        <f t="shared" si="59"/>
        <v>0</v>
      </c>
      <c r="M338" s="289"/>
    </row>
    <row r="339" spans="1:13" ht="18.75" customHeight="1">
      <c r="A339" s="289" t="str">
        <f t="shared" si="62"/>
        <v>TP</v>
      </c>
      <c r="B339" s="302">
        <f t="shared" si="63"/>
        <v>317</v>
      </c>
      <c r="C339" s="40" t="s">
        <v>905</v>
      </c>
      <c r="D339" s="301" t="s">
        <v>380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8"/>
        <v>0</v>
      </c>
      <c r="L339" s="8">
        <f t="shared" si="59"/>
        <v>0</v>
      </c>
      <c r="M339" s="289"/>
    </row>
    <row r="340" spans="1:13" ht="18.75" customHeight="1">
      <c r="A340" s="289" t="str">
        <f t="shared" ref="A340:A347" si="64">IF(B340&lt;&gt;"","TP","")</f>
        <v>TP</v>
      </c>
      <c r="B340" s="302">
        <f t="shared" ref="B340:B347" si="65">IF(C340&lt;&gt;"",B339+1,"")</f>
        <v>318</v>
      </c>
      <c r="C340" s="40" t="s">
        <v>845</v>
      </c>
      <c r="D340" s="301" t="s">
        <v>380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8"/>
        <v>0</v>
      </c>
      <c r="L340" s="8">
        <f t="shared" si="59"/>
        <v>0</v>
      </c>
      <c r="M340" s="289"/>
    </row>
    <row r="341" spans="1:13" ht="18.75" customHeight="1">
      <c r="A341" s="289" t="str">
        <f t="shared" si="64"/>
        <v>TP</v>
      </c>
      <c r="B341" s="302">
        <f t="shared" si="65"/>
        <v>319</v>
      </c>
      <c r="C341" s="40" t="s">
        <v>847</v>
      </c>
      <c r="D341" s="301" t="s">
        <v>380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8"/>
        <v>0</v>
      </c>
      <c r="L341" s="8">
        <f t="shared" si="59"/>
        <v>0</v>
      </c>
      <c r="M341" s="289"/>
    </row>
    <row r="342" spans="1:13" ht="18.75" customHeight="1">
      <c r="A342" s="289" t="str">
        <f t="shared" si="64"/>
        <v>TP</v>
      </c>
      <c r="B342" s="302">
        <f t="shared" si="65"/>
        <v>320</v>
      </c>
      <c r="C342" s="40" t="s">
        <v>844</v>
      </c>
      <c r="D342" s="301" t="s">
        <v>380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8"/>
        <v>0</v>
      </c>
      <c r="L342" s="8">
        <f t="shared" si="59"/>
        <v>0</v>
      </c>
      <c r="M342" s="289"/>
    </row>
    <row r="343" spans="1:13" ht="18.75" customHeight="1">
      <c r="A343" s="289" t="str">
        <f t="shared" si="64"/>
        <v>TP</v>
      </c>
      <c r="B343" s="302">
        <f t="shared" si="65"/>
        <v>321</v>
      </c>
      <c r="C343" s="40" t="s">
        <v>888</v>
      </c>
      <c r="D343" s="301" t="s">
        <v>380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ref="K343:K354" si="66">E343+G343-I343</f>
        <v>0</v>
      </c>
      <c r="L343" s="8">
        <f t="shared" ref="L343:L354" si="67">F343+H343-J343</f>
        <v>0</v>
      </c>
      <c r="M343" s="289"/>
    </row>
    <row r="344" spans="1:13" ht="18.75" customHeight="1">
      <c r="A344" s="289" t="str">
        <f t="shared" si="64"/>
        <v>TP</v>
      </c>
      <c r="B344" s="302">
        <f t="shared" si="65"/>
        <v>322</v>
      </c>
      <c r="C344" s="40" t="s">
        <v>853</v>
      </c>
      <c r="D344" s="301" t="s">
        <v>380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66"/>
        <v>0</v>
      </c>
      <c r="L344" s="8">
        <f t="shared" si="67"/>
        <v>0</v>
      </c>
      <c r="M344" s="289"/>
    </row>
    <row r="345" spans="1:13" ht="18.75" customHeight="1">
      <c r="A345" s="289" t="str">
        <f t="shared" si="64"/>
        <v>TP</v>
      </c>
      <c r="B345" s="302">
        <f t="shared" si="65"/>
        <v>323</v>
      </c>
      <c r="C345" s="40" t="s">
        <v>889</v>
      </c>
      <c r="D345" s="301" t="s">
        <v>380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6"/>
        <v>0</v>
      </c>
      <c r="L345" s="8">
        <f t="shared" si="67"/>
        <v>0</v>
      </c>
      <c r="M345" s="289"/>
    </row>
    <row r="346" spans="1:13" ht="18.75" customHeight="1">
      <c r="A346" s="289" t="str">
        <f t="shared" si="64"/>
        <v>TP</v>
      </c>
      <c r="B346" s="302">
        <f t="shared" si="65"/>
        <v>324</v>
      </c>
      <c r="C346" s="40" t="s">
        <v>851</v>
      </c>
      <c r="D346" s="301" t="s">
        <v>380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6"/>
        <v>0</v>
      </c>
      <c r="L346" s="8">
        <f t="shared" si="67"/>
        <v>0</v>
      </c>
      <c r="M346" s="289"/>
    </row>
    <row r="347" spans="1:13" ht="18.75" customHeight="1">
      <c r="A347" s="289" t="str">
        <f t="shared" si="64"/>
        <v>TP</v>
      </c>
      <c r="B347" s="302">
        <f t="shared" si="65"/>
        <v>325</v>
      </c>
      <c r="C347" s="40" t="s">
        <v>849</v>
      </c>
      <c r="D347" s="301" t="s">
        <v>380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6"/>
        <v>0</v>
      </c>
      <c r="L347" s="8">
        <f t="shared" si="67"/>
        <v>0</v>
      </c>
      <c r="M347" s="289"/>
    </row>
    <row r="348" spans="1:13" ht="18.75" customHeight="1">
      <c r="A348" s="289" t="str">
        <f>IF(B348&lt;&gt;"","TP","")</f>
        <v>TP</v>
      </c>
      <c r="B348" s="302">
        <f>IF(C348&lt;&gt;"",B347+1,"")</f>
        <v>326</v>
      </c>
      <c r="C348" s="40" t="s">
        <v>896</v>
      </c>
      <c r="D348" s="301" t="s">
        <v>380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6"/>
        <v>0</v>
      </c>
      <c r="L348" s="8">
        <f t="shared" si="67"/>
        <v>0</v>
      </c>
      <c r="M348" s="289"/>
    </row>
    <row r="349" spans="1:13" ht="18.75" customHeight="1">
      <c r="A349" s="289" t="str">
        <f t="shared" ref="A349:A354" si="68">IF(B349&lt;&gt;"","TP","")</f>
        <v>TP</v>
      </c>
      <c r="B349" s="302">
        <f t="shared" ref="B349:B354" si="69">IF(C349&lt;&gt;"",B348+1,"")</f>
        <v>327</v>
      </c>
      <c r="C349" s="40" t="s">
        <v>850</v>
      </c>
      <c r="D349" s="301" t="s">
        <v>380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6"/>
        <v>0</v>
      </c>
      <c r="L349" s="8">
        <f t="shared" si="67"/>
        <v>0</v>
      </c>
      <c r="M349" s="289"/>
    </row>
    <row r="350" spans="1:13" ht="18.75" customHeight="1">
      <c r="A350" s="289" t="str">
        <f t="shared" si="68"/>
        <v>TP</v>
      </c>
      <c r="B350" s="302">
        <f t="shared" si="69"/>
        <v>328</v>
      </c>
      <c r="C350" s="40" t="s">
        <v>897</v>
      </c>
      <c r="D350" s="301" t="s">
        <v>380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6"/>
        <v>0</v>
      </c>
      <c r="L350" s="8">
        <f t="shared" si="67"/>
        <v>0</v>
      </c>
      <c r="M350" s="289"/>
    </row>
    <row r="351" spans="1:13" ht="18.75" customHeight="1">
      <c r="A351" s="289" t="str">
        <f t="shared" si="68"/>
        <v>TP</v>
      </c>
      <c r="B351" s="302">
        <f t="shared" si="69"/>
        <v>329</v>
      </c>
      <c r="C351" s="40" t="s">
        <v>852</v>
      </c>
      <c r="D351" s="301" t="s">
        <v>380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6"/>
        <v>0</v>
      </c>
      <c r="L351" s="8">
        <f t="shared" si="67"/>
        <v>0</v>
      </c>
      <c r="M351" s="289"/>
    </row>
    <row r="352" spans="1:13" ht="18.75" customHeight="1">
      <c r="A352" s="289" t="str">
        <f t="shared" si="68"/>
        <v>TP</v>
      </c>
      <c r="B352" s="302">
        <f t="shared" si="69"/>
        <v>330</v>
      </c>
      <c r="C352" s="40" t="s">
        <v>848</v>
      </c>
      <c r="D352" s="301" t="s">
        <v>380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6"/>
        <v>0</v>
      </c>
      <c r="L352" s="8">
        <f t="shared" si="67"/>
        <v>0</v>
      </c>
      <c r="M352" s="289"/>
    </row>
    <row r="353" spans="1:13" ht="18.75" customHeight="1">
      <c r="A353" s="289" t="str">
        <f t="shared" si="68"/>
        <v>TP</v>
      </c>
      <c r="B353" s="302">
        <f t="shared" si="69"/>
        <v>331</v>
      </c>
      <c r="C353" s="40" t="s">
        <v>856</v>
      </c>
      <c r="D353" s="301" t="s">
        <v>380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6"/>
        <v>0</v>
      </c>
      <c r="L353" s="8">
        <f t="shared" si="67"/>
        <v>0</v>
      </c>
      <c r="M353" s="289"/>
    </row>
    <row r="354" spans="1:13" ht="18.75" customHeight="1">
      <c r="A354" s="289" t="str">
        <f t="shared" si="68"/>
        <v>TP</v>
      </c>
      <c r="B354" s="302">
        <f t="shared" si="69"/>
        <v>332</v>
      </c>
      <c r="C354" s="293" t="s">
        <v>765</v>
      </c>
      <c r="D354" s="301" t="s">
        <v>380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6"/>
        <v>0</v>
      </c>
      <c r="L354" s="8">
        <f t="shared" si="67"/>
        <v>0</v>
      </c>
      <c r="M354" s="289"/>
    </row>
    <row r="355" spans="1:13" ht="18.75" customHeight="1">
      <c r="A355" s="289" t="str">
        <f t="shared" ref="A355:A357" si="70">IF(B355&lt;&gt;"","TP","")</f>
        <v/>
      </c>
      <c r="B355" s="302" t="str">
        <f>IF(C355&lt;&gt;"",#REF!+1,"")</f>
        <v/>
      </c>
      <c r="C355" s="304"/>
      <c r="D355" s="299"/>
      <c r="E355" s="8"/>
      <c r="F355" s="8"/>
      <c r="G355" s="300"/>
      <c r="H355" s="300"/>
      <c r="I355" s="300"/>
      <c r="J355" s="300"/>
      <c r="K355" s="300"/>
      <c r="L355" s="300"/>
      <c r="M355" s="289"/>
    </row>
    <row r="356" spans="1:13" ht="19.5" customHeight="1">
      <c r="A356" s="289" t="str">
        <f t="shared" si="70"/>
        <v/>
      </c>
      <c r="B356" s="288"/>
      <c r="C356" s="297" t="s">
        <v>207</v>
      </c>
      <c r="D356" s="288"/>
      <c r="E356" s="13">
        <f t="shared" ref="E356:L356" si="71">SUM(E23:E355)</f>
        <v>0</v>
      </c>
      <c r="F356" s="13">
        <f t="shared" si="71"/>
        <v>0</v>
      </c>
      <c r="G356" s="13">
        <f t="shared" si="71"/>
        <v>0</v>
      </c>
      <c r="H356" s="13">
        <f t="shared" si="71"/>
        <v>0</v>
      </c>
      <c r="I356" s="13">
        <f t="shared" si="71"/>
        <v>0</v>
      </c>
      <c r="J356" s="13">
        <f t="shared" si="71"/>
        <v>0</v>
      </c>
      <c r="K356" s="13">
        <f t="shared" si="71"/>
        <v>0</v>
      </c>
      <c r="L356" s="13">
        <f t="shared" si="71"/>
        <v>0</v>
      </c>
      <c r="M356" s="289"/>
    </row>
    <row r="357" spans="1:13" ht="18.75" hidden="1" customHeight="1">
      <c r="A357" s="289" t="str">
        <f t="shared" si="70"/>
        <v/>
      </c>
      <c r="B357" s="484"/>
      <c r="C357" s="484"/>
      <c r="D357" s="483"/>
      <c r="E357" s="485">
        <f>F356-F357</f>
        <v>0</v>
      </c>
      <c r="F357" s="485">
        <f>CDPS!C25</f>
        <v>0</v>
      </c>
      <c r="G357" s="485">
        <f>H356-H357</f>
        <v>0</v>
      </c>
      <c r="H357" s="485">
        <f>CDPS!E25</f>
        <v>0</v>
      </c>
      <c r="I357" s="485">
        <f>J356-J357</f>
        <v>0</v>
      </c>
      <c r="J357" s="485">
        <f>CDPS!F25</f>
        <v>0</v>
      </c>
      <c r="K357" s="485">
        <f>L356-L357</f>
        <v>0</v>
      </c>
      <c r="L357" s="485">
        <f>CDPS!G25</f>
        <v>0</v>
      </c>
      <c r="M357" s="303"/>
    </row>
    <row r="358" spans="1:13" ht="18.75" hidden="1" customHeight="1"/>
    <row r="359" spans="1:13" ht="19.5" hidden="1" customHeight="1"/>
    <row r="360" spans="1:13" ht="19.5" customHeight="1">
      <c r="C360" s="975"/>
      <c r="D360" s="975"/>
      <c r="E360" s="975"/>
      <c r="F360" s="878"/>
      <c r="G360" s="878"/>
      <c r="H360" s="878"/>
      <c r="I360" s="878"/>
      <c r="J360" s="975" t="s">
        <v>926</v>
      </c>
      <c r="K360" s="975"/>
      <c r="L360" s="975"/>
    </row>
    <row r="361" spans="1:13" ht="19.5" customHeight="1">
      <c r="C361" s="879"/>
      <c r="D361" s="879"/>
      <c r="E361" s="879"/>
      <c r="F361" s="975"/>
      <c r="G361" s="975"/>
      <c r="H361" s="975"/>
      <c r="I361" s="878"/>
      <c r="J361" s="975" t="s">
        <v>109</v>
      </c>
      <c r="K361" s="975"/>
      <c r="L361" s="975"/>
    </row>
    <row r="362" spans="1:13" ht="19.5" customHeight="1">
      <c r="C362" s="879"/>
      <c r="D362" s="879"/>
      <c r="E362" s="879"/>
      <c r="F362" s="975"/>
      <c r="G362" s="975"/>
      <c r="H362" s="975"/>
      <c r="I362" s="284"/>
      <c r="J362" s="975" t="s">
        <v>136</v>
      </c>
      <c r="K362" s="975"/>
      <c r="L362" s="975"/>
    </row>
    <row r="363" spans="1:13" ht="20.25" customHeight="1"/>
    <row r="364" spans="1:13" ht="20.25" customHeight="1"/>
    <row r="365" spans="1:13" ht="20.25" customHeight="1"/>
    <row r="366" spans="1:13" ht="20.25" customHeight="1"/>
    <row r="367" spans="1:13" ht="20.25" customHeight="1"/>
    <row r="368" spans="1:13" ht="20.25" customHeight="1"/>
    <row r="369" ht="20.2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</sheetData>
  <autoFilter ref="A11:N357"/>
  <sortState ref="A151:N509">
    <sortCondition ref="C151:C509"/>
  </sortState>
  <mergeCells count="20">
    <mergeCell ref="C7:L7"/>
    <mergeCell ref="F362:H362"/>
    <mergeCell ref="J362:L362"/>
    <mergeCell ref="C360:E360"/>
    <mergeCell ref="J360:L360"/>
    <mergeCell ref="F361:H361"/>
    <mergeCell ref="J361:L361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8" customWidth="1"/>
    <col min="2" max="2" width="29.7109375" style="308" customWidth="1"/>
    <col min="3" max="3" width="5.7109375" style="308" customWidth="1"/>
    <col min="4" max="4" width="6.7109375" style="308" customWidth="1"/>
    <col min="5" max="5" width="12.7109375" style="308" customWidth="1"/>
    <col min="6" max="6" width="9.85546875" style="308" customWidth="1"/>
    <col min="7" max="7" width="11" style="308" customWidth="1"/>
    <col min="8" max="8" width="14" style="308" customWidth="1"/>
    <col min="9" max="9" width="4.28515625" style="308" customWidth="1"/>
    <col min="10" max="10" width="7.5703125" style="308" customWidth="1"/>
    <col min="11" max="11" width="3.140625" style="308" customWidth="1"/>
    <col min="12" max="12" width="5.7109375" style="308" customWidth="1"/>
    <col min="13" max="13" width="2.7109375" style="308" customWidth="1"/>
    <col min="14" max="14" width="4" style="308" customWidth="1"/>
    <col min="15" max="15" width="3.7109375" style="308" customWidth="1"/>
    <col min="16" max="16384" width="9.140625" style="308"/>
  </cols>
  <sheetData>
    <row r="1" spans="1:17" ht="5.25" hidden="1" customHeight="1"/>
    <row r="2" spans="1:17" s="678" customFormat="1" ht="12" customHeight="1">
      <c r="A2" s="677" t="str">
        <f>TH!A1</f>
        <v>Đơn vị: CÔNG TY TNHH MỘT THÀNH VIÊN KHỞI NGUYÊN AN</v>
      </c>
      <c r="G2" s="679" t="str">
        <f>+IF(LEFT($D$7,1)="N","Mẫu số 01 - VT","Mẫu số 02 - VT")</f>
        <v>Mẫu số 02 - VT</v>
      </c>
    </row>
    <row r="3" spans="1:17" s="678" customFormat="1" ht="12" customHeight="1">
      <c r="A3" s="1104" t="str">
        <f>TH!A2</f>
        <v>Địa chỉ: Thửa đất số 144, tờ bản đồ số 12TĐH.1, tổ 1, khu phố Đông Tác, Phường Tân Đông Hiệp, Thị Xã Dĩ An, Tỉnh Bình Dương, Việt Nam</v>
      </c>
      <c r="B3" s="1104"/>
      <c r="C3" s="1104"/>
      <c r="D3" s="1104"/>
      <c r="E3" s="1104"/>
      <c r="G3" s="71" t="e">
        <f ca="1">IF(INT(RIGHT($D$6,4))&gt;=2015,"(Ban hành theo Thông tư số 200/2014/TT-BTC ","(Ban hành kèm theo QĐ 48/2006/QĐ-BTC")</f>
        <v>#VALUE!</v>
      </c>
      <c r="N3" s="679" t="s">
        <v>104</v>
      </c>
      <c r="O3" s="680"/>
      <c r="P3" s="681">
        <f>IF(J5="Quý I",1,IF(J5="Quý II",4,IF(J5="Quý III",7,IF(J5="Quý IV",10,""))))</f>
        <v>10</v>
      </c>
      <c r="Q3" s="681">
        <f>IF(J5="Quý I",3,IF(J5="Quý II",6,IF(J5="Quý III",9,IF(J5="Quý IV",12,""))))</f>
        <v>12</v>
      </c>
    </row>
    <row r="4" spans="1:17" s="678" customFormat="1" ht="12" customHeight="1" thickBot="1">
      <c r="A4" s="1104"/>
      <c r="B4" s="1104"/>
      <c r="C4" s="1104"/>
      <c r="D4" s="1104"/>
      <c r="E4" s="1104"/>
      <c r="G4" s="71" t="e">
        <f ca="1">IF(INT(RIGHT($D$6,4))&gt;=2015,"Ngày 22/12/2014 của Bộ Tài chính)","ngày 24/09/2006 của Bộ trưởng BTC)")</f>
        <v>#VALUE!</v>
      </c>
      <c r="J4" s="682"/>
      <c r="M4" s="683"/>
      <c r="N4" s="679" t="s">
        <v>105</v>
      </c>
      <c r="O4" s="680"/>
    </row>
    <row r="5" spans="1:17" ht="18" customHeight="1" thickBot="1">
      <c r="D5" s="312" t="str">
        <f>+IF(LEFT($L$5,1)="N","PHIẾU NHẬP KHO","PHIẾU XUẤT KHO")</f>
        <v>PHIẾU XUẤT KHO</v>
      </c>
      <c r="J5" s="674" t="s">
        <v>916</v>
      </c>
      <c r="K5" s="313"/>
      <c r="L5" s="675" t="s">
        <v>918</v>
      </c>
      <c r="M5" s="314"/>
      <c r="N5" s="676">
        <v>2</v>
      </c>
      <c r="O5" s="309"/>
      <c r="P5" s="309"/>
    </row>
    <row r="6" spans="1:17" ht="10.5" customHeight="1">
      <c r="D6" s="68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86"/>
      <c r="M6" s="311"/>
      <c r="O6" s="309"/>
    </row>
    <row r="7" spans="1:17" ht="10.5" customHeight="1">
      <c r="C7" s="687" t="str">
        <f xml:space="preserve"> "Số:"</f>
        <v>Số:</v>
      </c>
      <c r="D7" s="688" t="str">
        <f xml:space="preserve"> RIGHT($L$5,2)&amp;"/"&amp;LEFT($L$5,1)&amp;IF($N$5&gt;=10,$N$5,"0"&amp;$N$5)</f>
        <v>TP/X02</v>
      </c>
      <c r="G7" s="308" t="str">
        <f ca="1">"Nợ:  "&amp;IF(ROWS($1:1)&gt;COUNT(Dong10),"",OFFSET(TH!L$1,SMALL(Dong10,ROWS($1:1)),))</f>
        <v xml:space="preserve">Nợ:  </v>
      </c>
      <c r="M7" s="311"/>
      <c r="O7" s="309"/>
    </row>
    <row r="8" spans="1:17" ht="10.5" customHeight="1">
      <c r="D8" s="71"/>
      <c r="G8" s="308" t="str">
        <f ca="1">"Có:  "&amp;IF(ROWS($1:1)&gt;COUNT(Dong10),"",OFFSET(TH!M$1,SMALL(Dong10,ROWS($1:1)),))</f>
        <v xml:space="preserve">Có:  </v>
      </c>
      <c r="M8" s="311"/>
      <c r="O8" s="689"/>
    </row>
    <row r="9" spans="1:17" ht="11.25" customHeight="1">
      <c r="A9" s="308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1"/>
    </row>
    <row r="10" spans="1:17" ht="11.25" customHeight="1">
      <c r="A10" s="308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8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8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16" t="s">
        <v>35</v>
      </c>
      <c r="B14" s="1016" t="s">
        <v>208</v>
      </c>
      <c r="C14" s="1016" t="s">
        <v>209</v>
      </c>
      <c r="D14" s="1016" t="s">
        <v>200</v>
      </c>
      <c r="E14" s="1018" t="s">
        <v>210</v>
      </c>
      <c r="F14" s="1018"/>
      <c r="G14" s="1016" t="s">
        <v>211</v>
      </c>
      <c r="H14" s="1016" t="s">
        <v>212</v>
      </c>
    </row>
    <row r="15" spans="1:17" ht="12.75" customHeight="1">
      <c r="A15" s="1017"/>
      <c r="B15" s="1017"/>
      <c r="C15" s="1017"/>
      <c r="D15" s="1017"/>
      <c r="E15" s="690" t="s">
        <v>213</v>
      </c>
      <c r="F15" s="690" t="str">
        <f>IF(LEFT($D$7,1)="N","Thực nhập","Thực xuất")</f>
        <v>Thực xuất</v>
      </c>
      <c r="G15" s="1017"/>
      <c r="H15" s="1017"/>
    </row>
    <row r="16" spans="1:17" s="71" customFormat="1" ht="8.25" customHeight="1">
      <c r="A16" s="691" t="s">
        <v>2</v>
      </c>
      <c r="B16" s="691" t="s">
        <v>3</v>
      </c>
      <c r="C16" s="691" t="s">
        <v>4</v>
      </c>
      <c r="D16" s="691" t="s">
        <v>5</v>
      </c>
      <c r="E16" s="691">
        <v>1</v>
      </c>
      <c r="F16" s="691">
        <v>2</v>
      </c>
      <c r="G16" s="691">
        <v>3</v>
      </c>
      <c r="H16" s="691">
        <v>4</v>
      </c>
    </row>
    <row r="17" spans="1:8" ht="11.25" customHeight="1">
      <c r="A17" s="692" t="str">
        <f ca="1">IF(B17="","",ROW()-16)</f>
        <v/>
      </c>
      <c r="B17" s="693" t="str">
        <f ca="1">IF(ROWS($1:1)&gt;COUNT(Dong10),"",OFFSET(TH!F$1,SMALL(Dong10,ROWS($1:1)),))</f>
        <v/>
      </c>
      <c r="C17" s="694"/>
      <c r="D17" s="695" t="str">
        <f ca="1">IF(ISNA(VLOOKUP(B17,NXT!$C$12:$D$355,2,0)),"",VLOOKUP(B17,NXT!$C$12:$D$355,2,0))</f>
        <v/>
      </c>
      <c r="E17" s="696"/>
      <c r="F17" s="697" t="str">
        <f ca="1">IF(ROWS($1:1)&gt;COUNT(Dong10),"",OFFSET(TH!I$1,SMALL(Dong10,ROWS($1:1)),))</f>
        <v/>
      </c>
      <c r="G17" s="697" t="str">
        <f ca="1">IF(ROWS($1:1)&gt;COUNT(Dong10),"",OFFSET(TH!J$1,SMALL(Dong10,ROWS($1:1)),))</f>
        <v/>
      </c>
      <c r="H17" s="696">
        <f ca="1">IF(F17&lt;&gt;"",ROUND(F17*G17,0),0)</f>
        <v>0</v>
      </c>
    </row>
    <row r="18" spans="1:8" ht="11.25" customHeight="1">
      <c r="A18" s="692" t="str">
        <f t="shared" ref="A18:A20" ca="1" si="0">IF(B18="","",A17+1)</f>
        <v/>
      </c>
      <c r="B18" s="693" t="str">
        <f ca="1">IF(ROWS($1:2)&gt;COUNT(Dong10),"",OFFSET(TH!F$1,SMALL(Dong10,ROWS($1:2)),))</f>
        <v/>
      </c>
      <c r="C18" s="694"/>
      <c r="D18" s="695" t="str">
        <f ca="1">IF(ISNA(VLOOKUP(B18,NXT!$C$12:$D$355,2,0)),"",VLOOKUP(B18,NXT!$C$12:$D$355,2,0))</f>
        <v/>
      </c>
      <c r="E18" s="696"/>
      <c r="F18" s="697" t="str">
        <f ca="1">IF(ROWS($1:2)&gt;COUNT(Dong10),"",OFFSET(TH!I$1,SMALL(Dong10,ROWS($1:2)),))</f>
        <v/>
      </c>
      <c r="G18" s="697" t="str">
        <f ca="1">IF(ROWS($1:2)&gt;COUNT(Dong10),"",OFFSET(TH!J$1,SMALL(Dong10,ROWS($1:2)),))</f>
        <v/>
      </c>
      <c r="H18" s="696">
        <f t="shared" ref="H18:H24" ca="1" si="1">IF(F18&lt;&gt;"",ROUND(F18*G18,0),0)</f>
        <v>0</v>
      </c>
    </row>
    <row r="19" spans="1:8" ht="11.25" customHeight="1">
      <c r="A19" s="692" t="str">
        <f t="shared" ca="1" si="0"/>
        <v/>
      </c>
      <c r="B19" s="693" t="str">
        <f ca="1">IF(ROWS($1:3)&gt;COUNT(Dong10),"",OFFSET(TH!F$1,SMALL(Dong10,ROWS($1:3)),))</f>
        <v/>
      </c>
      <c r="C19" s="694"/>
      <c r="D19" s="695" t="str">
        <f ca="1">IF(ISNA(VLOOKUP(B19,NXT!$C$12:$D$355,2,0)),"",VLOOKUP(B19,NXT!$C$12:$D$355,2,0))</f>
        <v/>
      </c>
      <c r="E19" s="696"/>
      <c r="F19" s="697" t="str">
        <f ca="1">IF(ROWS($1:3)&gt;COUNT(Dong10),"",OFFSET(TH!I$1,SMALL(Dong10,ROWS($1:3)),))</f>
        <v/>
      </c>
      <c r="G19" s="697" t="str">
        <f ca="1">IF(ROWS($1:3)&gt;COUNT(Dong10),"",OFFSET(TH!J$1,SMALL(Dong10,ROWS($1:3)),))</f>
        <v/>
      </c>
      <c r="H19" s="696">
        <f t="shared" ca="1" si="1"/>
        <v>0</v>
      </c>
    </row>
    <row r="20" spans="1:8" ht="11.25" customHeight="1">
      <c r="A20" s="692" t="str">
        <f t="shared" ca="1" si="0"/>
        <v/>
      </c>
      <c r="B20" s="693" t="str">
        <f ca="1">IF(ROWS($1:4)&gt;COUNT(Dong10),"",OFFSET(TH!F$1,SMALL(Dong10,ROWS($1:4)),))</f>
        <v/>
      </c>
      <c r="C20" s="694"/>
      <c r="D20" s="695" t="str">
        <f ca="1">IF(ISNA(VLOOKUP(B20,NXT!$C$12:$D$355,2,0)),"",VLOOKUP(B20,NXT!$C$12:$D$355,2,0))</f>
        <v/>
      </c>
      <c r="E20" s="696"/>
      <c r="F20" s="697" t="str">
        <f ca="1">IF(ROWS($1:4)&gt;COUNT(Dong10),"",OFFSET(TH!I$1,SMALL(Dong10,ROWS($1:4)),))</f>
        <v/>
      </c>
      <c r="G20" s="697" t="str">
        <f ca="1">IF(ROWS($1:4)&gt;COUNT(Dong10),"",OFFSET(TH!J$1,SMALL(Dong10,ROWS($1:4)),))</f>
        <v/>
      </c>
      <c r="H20" s="696">
        <f t="shared" ca="1" si="1"/>
        <v>0</v>
      </c>
    </row>
    <row r="21" spans="1:8" ht="11.25" customHeight="1">
      <c r="A21" s="692" t="str">
        <f t="shared" ref="A21:A23" ca="1" si="2">IF(B21="","",A20+1)</f>
        <v/>
      </c>
      <c r="B21" s="693" t="str">
        <f ca="1">IF(ROWS($1:5)&gt;COUNT(Dong10),"",OFFSET(TH!F$1,SMALL(Dong10,ROWS($1:5)),))</f>
        <v/>
      </c>
      <c r="C21" s="694"/>
      <c r="D21" s="695" t="str">
        <f ca="1">IF(ISNA(VLOOKUP(B21,NXT!$C$12:$D$355,2,0)),"",VLOOKUP(B21,NXT!$C$12:$D$355,2,0))</f>
        <v/>
      </c>
      <c r="E21" s="696"/>
      <c r="F21" s="697" t="str">
        <f ca="1">IF(ROWS($1:5)&gt;COUNT(Dong10),"",OFFSET(TH!I$1,SMALL(Dong10,ROWS($1:5)),))</f>
        <v/>
      </c>
      <c r="G21" s="697" t="str">
        <f ca="1">IF(ROWS($1:5)&gt;COUNT(Dong10),"",OFFSET(TH!J$1,SMALL(Dong10,ROWS($1:5)),))</f>
        <v/>
      </c>
      <c r="H21" s="696">
        <f t="shared" ca="1" si="1"/>
        <v>0</v>
      </c>
    </row>
    <row r="22" spans="1:8" ht="11.25" customHeight="1">
      <c r="A22" s="692" t="str">
        <f t="shared" ca="1" si="2"/>
        <v/>
      </c>
      <c r="B22" s="693" t="str">
        <f ca="1">IF(ROWS($1:6)&gt;COUNT(Dong10),"",OFFSET(TH!F$1,SMALL(Dong10,ROWS($1:6)),))</f>
        <v/>
      </c>
      <c r="C22" s="694"/>
      <c r="D22" s="695" t="str">
        <f ca="1">IF(ISNA(VLOOKUP(B22,NXT!$C$12:$D$355,2,0)),"",VLOOKUP(B22,NXT!$C$12:$D$355,2,0))</f>
        <v/>
      </c>
      <c r="E22" s="696"/>
      <c r="F22" s="697" t="str">
        <f ca="1">IF(ROWS($1:6)&gt;COUNT(Dong10),"",OFFSET(TH!I$1,SMALL(Dong10,ROWS($1:6)),))</f>
        <v/>
      </c>
      <c r="G22" s="697" t="str">
        <f ca="1">IF(ROWS($1:6)&gt;COUNT(Dong10),"",OFFSET(TH!J$1,SMALL(Dong10,ROWS($1:6)),))</f>
        <v/>
      </c>
      <c r="H22" s="696">
        <f t="shared" ca="1" si="1"/>
        <v>0</v>
      </c>
    </row>
    <row r="23" spans="1:8" ht="11.25" customHeight="1">
      <c r="A23" s="692" t="str">
        <f t="shared" ca="1" si="2"/>
        <v/>
      </c>
      <c r="B23" s="693" t="str">
        <f ca="1">IF(ROWS($1:7)&gt;COUNT(Dong10),"",OFFSET(TH!F$1,SMALL(Dong10,ROWS($1:7)),))</f>
        <v/>
      </c>
      <c r="C23" s="694"/>
      <c r="D23" s="695" t="str">
        <f ca="1">IF(ISNA(VLOOKUP(B23,NXT!$C$12:$D$355,2,0)),"",VLOOKUP(B23,NXT!$C$12:$D$355,2,0))</f>
        <v/>
      </c>
      <c r="E23" s="696"/>
      <c r="F23" s="697" t="str">
        <f ca="1">IF(ROWS($1:7)&gt;COUNT(Dong10),"",OFFSET(TH!I$1,SMALL(Dong10,ROWS($1:7)),))</f>
        <v/>
      </c>
      <c r="G23" s="697" t="str">
        <f ca="1">IF(ROWS($1:7)&gt;COUNT(Dong10),"",OFFSET(TH!J$1,SMALL(Dong10,ROWS($1:7)),))</f>
        <v/>
      </c>
      <c r="H23" s="696">
        <f t="shared" ca="1" si="1"/>
        <v>0</v>
      </c>
    </row>
    <row r="24" spans="1:8" ht="11.25" customHeight="1">
      <c r="A24" s="692" t="str">
        <f t="shared" ref="A24" ca="1" si="3">IF(B24="","",A23+1)</f>
        <v/>
      </c>
      <c r="B24" s="693" t="str">
        <f ca="1">IF(ROWS($1:8)&gt;COUNT(Dong10),"",OFFSET(TH!F$1,SMALL(Dong10,ROWS($1:8)),))</f>
        <v/>
      </c>
      <c r="C24" s="694"/>
      <c r="D24" s="695" t="str">
        <f ca="1">IF(ISNA(VLOOKUP(B24,NXT!$C$12:$D$355,2,0)),"",VLOOKUP(B24,NXT!$C$12:$D$355,2,0))</f>
        <v/>
      </c>
      <c r="E24" s="696"/>
      <c r="F24" s="697" t="str">
        <f ca="1">IF(ROWS($1:8)&gt;COUNT(Dong10),"",OFFSET(TH!I$1,SMALL(Dong10,ROWS($1:8)),))</f>
        <v/>
      </c>
      <c r="G24" s="697" t="str">
        <f ca="1">IF(ROWS($1:8)&gt;COUNT(Dong10),"",OFFSET(TH!J$1,SMALL(Dong10,ROWS($1:8)),))</f>
        <v/>
      </c>
      <c r="H24" s="696">
        <f t="shared" ca="1" si="1"/>
        <v>0</v>
      </c>
    </row>
    <row r="25" spans="1:8" ht="11.25" customHeight="1">
      <c r="A25" s="692" t="str">
        <f t="shared" ref="A25" ca="1" si="4">IF(B25="","",A24+1)</f>
        <v/>
      </c>
      <c r="B25" s="693" t="str">
        <f ca="1">IF(ROWS($1:9)&gt;COUNT(Dong10),"",OFFSET(TH!F$1,SMALL(Dong10,ROWS($1:9)),))</f>
        <v/>
      </c>
      <c r="C25" s="694"/>
      <c r="D25" s="695" t="str">
        <f ca="1">IF(ISNA(VLOOKUP(B25,NXT!$C$12:$D$355,2,0)),"",VLOOKUP(B25,NXT!$C$12:$D$355,2,0))</f>
        <v/>
      </c>
      <c r="E25" s="696"/>
      <c r="F25" s="697" t="str">
        <f ca="1">IF(ROWS($1:9)&gt;COUNT(Dong10),"",OFFSET(TH!I$1,SMALL(Dong10,ROWS($1:9)),))</f>
        <v/>
      </c>
      <c r="G25" s="697" t="str">
        <f ca="1">IF(ROWS($1:9)&gt;COUNT(Dong10),"",OFFSET(TH!J$1,SMALL(Dong10,ROWS($1:9)),))</f>
        <v/>
      </c>
      <c r="H25" s="696">
        <f t="shared" ref="H25" ca="1" si="5">IF(F25&lt;&gt;"",ROUND(F25*G25,0),0)</f>
        <v>0</v>
      </c>
    </row>
    <row r="26" spans="1:8" ht="11.25" customHeight="1">
      <c r="A26" s="692"/>
      <c r="B26" s="693"/>
      <c r="C26" s="694"/>
      <c r="D26" s="695"/>
      <c r="E26" s="696"/>
      <c r="F26" s="697"/>
      <c r="G26" s="698"/>
      <c r="H26" s="696"/>
    </row>
    <row r="27" spans="1:8" ht="11.25" customHeight="1">
      <c r="A27" s="1018" t="s">
        <v>214</v>
      </c>
      <c r="B27" s="1018"/>
      <c r="C27" s="699"/>
      <c r="D27" s="699"/>
      <c r="E27" s="700"/>
      <c r="F27" s="700"/>
      <c r="G27" s="700"/>
      <c r="H27" s="700">
        <f ca="1">SUM(H17:H26)</f>
        <v>0</v>
      </c>
    </row>
    <row r="28" spans="1:8" ht="3" customHeight="1">
      <c r="A28" s="701"/>
      <c r="B28" s="701"/>
      <c r="C28" s="311"/>
      <c r="D28" s="311"/>
      <c r="E28" s="702"/>
      <c r="F28" s="702"/>
      <c r="G28" s="702"/>
      <c r="H28" s="702"/>
    </row>
    <row r="29" spans="1:8" ht="11.25" customHeight="1">
      <c r="A29" s="308" t="e">
        <f ca="1">"Tổng số tiền (viết bằng chữ):  "&amp;[4]!VND(H27, TRUE)</f>
        <v>#NAME?</v>
      </c>
    </row>
    <row r="30" spans="1:8" ht="11.25" customHeight="1">
      <c r="A30" s="308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0" customFormat="1" ht="11.25" customHeight="1">
      <c r="A32" s="703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8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4" customFormat="1" ht="11.25" customHeight="1"/>
    <row r="39" spans="1:8" ht="11.25" customHeight="1">
      <c r="A39" s="316"/>
      <c r="F39" s="317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9" customWidth="1"/>
    <col min="2" max="2" width="8.5703125" style="319" customWidth="1"/>
    <col min="3" max="3" width="11" style="319" customWidth="1"/>
    <col min="4" max="4" width="41.7109375" style="319" customWidth="1"/>
    <col min="5" max="5" width="8" style="332" customWidth="1"/>
    <col min="6" max="6" width="8.85546875" style="319" customWidth="1"/>
    <col min="7" max="7" width="9" style="319" customWidth="1"/>
    <col min="8" max="8" width="14.140625" style="319" customWidth="1"/>
    <col min="9" max="9" width="8.85546875" style="319" customWidth="1"/>
    <col min="10" max="10" width="13.42578125" style="319" customWidth="1"/>
    <col min="11" max="11" width="10.140625" style="319" customWidth="1"/>
    <col min="12" max="12" width="13" style="319" customWidth="1"/>
    <col min="13" max="13" width="7.140625" style="319" customWidth="1"/>
    <col min="14" max="14" width="2" style="319" customWidth="1"/>
    <col min="15" max="15" width="5.5703125" style="319" customWidth="1"/>
    <col min="16" max="16" width="4.42578125" style="319" customWidth="1"/>
    <col min="17" max="16384" width="23.85546875" style="319"/>
  </cols>
  <sheetData>
    <row r="1" spans="1:17">
      <c r="A1" s="318" t="s">
        <v>217</v>
      </c>
      <c r="E1" s="319"/>
      <c r="O1" s="320"/>
    </row>
    <row r="2" spans="1:17" s="259" customFormat="1" ht="16.5" customHeight="1">
      <c r="B2" s="321" t="str">
        <f>TH!A1</f>
        <v>Đơn vị: CÔNG TY TNHH MỘT THÀNH VIÊN KHỞI NGUYÊN AN</v>
      </c>
      <c r="C2" s="322"/>
      <c r="D2" s="323"/>
      <c r="E2" s="324"/>
      <c r="F2" s="2"/>
      <c r="J2" s="1026" t="s">
        <v>218</v>
      </c>
      <c r="K2" s="1026"/>
      <c r="L2" s="1026"/>
      <c r="M2" s="1026"/>
      <c r="N2" s="325"/>
    </row>
    <row r="3" spans="1:17" s="259" customFormat="1" ht="16.5" customHeight="1">
      <c r="B3" s="623" t="str">
        <f>TH!A2</f>
        <v>Địa chỉ: Thửa đất số 144, tờ bản đồ số 12TĐH.1, tổ 1, khu phố Đông Tác, Phường Tân Đông Hiệp, Thị Xã Dĩ An, Tỉnh Bình Dương, Việt Nam</v>
      </c>
      <c r="C3" s="321"/>
      <c r="D3" s="321"/>
      <c r="E3" s="326"/>
      <c r="F3" s="321"/>
      <c r="J3" s="1027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27"/>
      <c r="L3" s="1027"/>
      <c r="M3" s="1027"/>
      <c r="N3" s="327"/>
    </row>
    <row r="4" spans="1:17" s="259" customFormat="1" ht="16.5" customHeight="1">
      <c r="B4" s="321"/>
      <c r="C4" s="321"/>
      <c r="D4" s="321"/>
      <c r="E4" s="326"/>
      <c r="F4" s="321"/>
      <c r="J4" s="1027"/>
      <c r="K4" s="1027"/>
      <c r="L4" s="1027"/>
      <c r="M4" s="1027"/>
      <c r="N4" s="327"/>
    </row>
    <row r="5" spans="1:17" ht="18.75" customHeight="1">
      <c r="B5" s="1028" t="s">
        <v>219</v>
      </c>
      <c r="C5" s="1028"/>
      <c r="D5" s="1028"/>
      <c r="E5" s="1028"/>
      <c r="F5" s="1028"/>
      <c r="G5" s="1028"/>
      <c r="H5" s="1028"/>
      <c r="I5" s="1028"/>
      <c r="J5" s="1028"/>
      <c r="K5" s="1028"/>
      <c r="L5" s="1028"/>
      <c r="M5" s="1028"/>
      <c r="N5" s="328"/>
    </row>
    <row r="6" spans="1:17" s="329" customFormat="1" ht="12.75">
      <c r="B6" s="1029" t="s">
        <v>220</v>
      </c>
      <c r="C6" s="1029"/>
      <c r="D6" s="1029"/>
      <c r="E6" s="1029"/>
      <c r="F6" s="1029"/>
      <c r="G6" s="1029"/>
      <c r="H6" s="1029"/>
      <c r="I6" s="1029"/>
      <c r="J6" s="1029"/>
      <c r="K6" s="1029"/>
      <c r="L6" s="1029"/>
      <c r="M6" s="1029"/>
      <c r="N6" s="330"/>
    </row>
    <row r="7" spans="1:17">
      <c r="C7" s="331"/>
      <c r="D7" s="331"/>
      <c r="F7" s="333" t="s">
        <v>295</v>
      </c>
      <c r="G7" s="472" t="str">
        <f>IF($O$10="VL","1522",IF($O$10="NL","1521",IF($O$10="TP","155","")))</f>
        <v>1521</v>
      </c>
      <c r="H7" s="333" t="s">
        <v>221</v>
      </c>
      <c r="I7" s="331" t="str">
        <f>IF($O$10="NL","Nguyên Liệu",IF($O$10="TP","Thành Phẩm",IF($O$10="VL","Vật Liệu","")))</f>
        <v>Nguyên Liệu</v>
      </c>
      <c r="J7" s="331"/>
      <c r="K7" s="331"/>
      <c r="L7" s="331"/>
      <c r="M7" s="331"/>
      <c r="N7" s="332"/>
    </row>
    <row r="8" spans="1:17">
      <c r="B8" s="332"/>
      <c r="C8" s="331"/>
      <c r="D8" s="331"/>
      <c r="F8" s="332" t="s">
        <v>222</v>
      </c>
      <c r="H8" s="331"/>
      <c r="I8" s="331"/>
      <c r="J8" s="1030" t="s">
        <v>382</v>
      </c>
      <c r="K8" s="1030"/>
      <c r="L8" s="1030"/>
      <c r="M8" s="331"/>
      <c r="N8" s="331"/>
    </row>
    <row r="9" spans="1:17">
      <c r="D9" s="334"/>
      <c r="E9" s="335"/>
      <c r="F9" s="334"/>
      <c r="G9" s="334"/>
      <c r="H9" s="334"/>
      <c r="I9" s="334"/>
      <c r="J9" s="334"/>
      <c r="K9" s="334" t="s">
        <v>123</v>
      </c>
      <c r="M9" s="336"/>
      <c r="N9" s="337"/>
    </row>
    <row r="10" spans="1:17" ht="15.75" customHeight="1">
      <c r="A10" s="1020" t="s">
        <v>35</v>
      </c>
      <c r="B10" s="1021" t="s">
        <v>1</v>
      </c>
      <c r="C10" s="1021"/>
      <c r="D10" s="1022" t="s">
        <v>0</v>
      </c>
      <c r="E10" s="1022" t="s">
        <v>223</v>
      </c>
      <c r="F10" s="1022" t="s">
        <v>211</v>
      </c>
      <c r="G10" s="1024" t="s">
        <v>224</v>
      </c>
      <c r="H10" s="1025"/>
      <c r="I10" s="1024" t="s">
        <v>225</v>
      </c>
      <c r="J10" s="1025"/>
      <c r="K10" s="1024" t="s">
        <v>226</v>
      </c>
      <c r="L10" s="1025"/>
      <c r="M10" s="1022" t="s">
        <v>127</v>
      </c>
      <c r="N10" s="338"/>
      <c r="O10" s="339" t="s">
        <v>217</v>
      </c>
    </row>
    <row r="11" spans="1:17" ht="31.5" customHeight="1">
      <c r="A11" s="1020"/>
      <c r="B11" s="340" t="s">
        <v>15</v>
      </c>
      <c r="C11" s="340" t="s">
        <v>32</v>
      </c>
      <c r="D11" s="1022"/>
      <c r="E11" s="1022"/>
      <c r="F11" s="1022"/>
      <c r="G11" s="340" t="s">
        <v>210</v>
      </c>
      <c r="H11" s="340" t="s">
        <v>212</v>
      </c>
      <c r="I11" s="340" t="s">
        <v>210</v>
      </c>
      <c r="J11" s="340" t="s">
        <v>212</v>
      </c>
      <c r="K11" s="340" t="s">
        <v>210</v>
      </c>
      <c r="L11" s="340" t="s">
        <v>212</v>
      </c>
      <c r="M11" s="1022"/>
      <c r="N11" s="338"/>
    </row>
    <row r="12" spans="1:17" s="332" customFormat="1">
      <c r="A12" s="341"/>
      <c r="B12" s="342" t="s">
        <v>2</v>
      </c>
      <c r="C12" s="343" t="s">
        <v>3</v>
      </c>
      <c r="D12" s="343" t="s">
        <v>4</v>
      </c>
      <c r="E12" s="342" t="s">
        <v>5</v>
      </c>
      <c r="F12" s="342">
        <v>1</v>
      </c>
      <c r="G12" s="342">
        <v>2</v>
      </c>
      <c r="H12" s="342" t="s">
        <v>228</v>
      </c>
      <c r="I12" s="342">
        <v>4</v>
      </c>
      <c r="J12" s="342" t="s">
        <v>229</v>
      </c>
      <c r="K12" s="342">
        <v>6</v>
      </c>
      <c r="L12" s="342" t="s">
        <v>230</v>
      </c>
      <c r="M12" s="342"/>
      <c r="N12" s="344"/>
    </row>
    <row r="13" spans="1:17">
      <c r="A13" s="345"/>
      <c r="B13" s="345"/>
      <c r="C13" s="345"/>
      <c r="D13" s="346" t="s">
        <v>144</v>
      </c>
      <c r="E13" s="347"/>
      <c r="F13" s="348"/>
      <c r="G13" s="348"/>
      <c r="H13" s="348"/>
      <c r="I13" s="348"/>
      <c r="J13" s="348"/>
      <c r="K13" s="349" t="e">
        <f>VLOOKUP($J$8,NXT!$C$12:$L$355,3,0)</f>
        <v>#N/A</v>
      </c>
      <c r="L13" s="349" t="e">
        <f>VLOOKUP($J$8,NXT!$C$12:$L$355,4,0)</f>
        <v>#N/A</v>
      </c>
      <c r="M13" s="348"/>
      <c r="N13" s="344"/>
    </row>
    <row r="14" spans="1:17">
      <c r="A14" s="315" t="str">
        <f ca="1">IF(B14="","",ROW()-13)</f>
        <v/>
      </c>
      <c r="B14" s="350" t="str">
        <f ca="1">IF(ROWS($1:1)&gt;COUNT(Dong11),"",OFFSET(TH!D$1,SMALL(Dong11,ROWS($1:1)),))</f>
        <v/>
      </c>
      <c r="C14" s="351" t="str">
        <f ca="1">IF(ROWS($1:1)&gt;COUNT(Dong11),"",OFFSET(TH!E$1,SMALL(Dong11,ROWS($1:1)),))</f>
        <v/>
      </c>
      <c r="D14" s="352" t="str">
        <f ca="1">IF(ROWS($1:1)&gt;COUNT(Dong11),"",OFFSET(TH!H$1,SMALL(Dong11,ROWS($1:1)),))</f>
        <v/>
      </c>
      <c r="E14" s="350" t="str">
        <f ca="1">IF(ROWS($1:1)&gt;COUNT(Dong11),"",IF(OFFSET(TH!L$1,SMALL(Dong11,ROWS($1:1)),)=$G$7,OFFSET(TH!M$1,SMALL(Dong11,ROWS($1:1)),),OFFSET(TH!L$1,SMALL(Dong11,ROWS($1:1)),)))</f>
        <v/>
      </c>
      <c r="F14" s="353">
        <f ca="1">IF(ROWS($1:1)&gt;COUNT(Dong11),0,OFFSET(TH!J$1,SMALL(Dong11,ROWS($1:1)),))</f>
        <v>0</v>
      </c>
      <c r="G14" s="353">
        <f ca="1">IF(ROWS($1:1)&gt;COUNT(Dong11),0,IF(MID(OFFSET(TH!D$1,SMALL(Dong11,ROWS($1:1)),),4,1)="N",OFFSET(TH!I$1,SMALL(Dong11,ROWS($1:1)),),0))</f>
        <v>0</v>
      </c>
      <c r="H14" s="354">
        <f ca="1">ROUND(F14*G14,0)</f>
        <v>0</v>
      </c>
      <c r="I14" s="353">
        <f ca="1">IF(ROWS($1:1)&gt;COUNT(Dong11),0,IF(MID(OFFSET(TH!D$1,SMALL(Dong11,ROWS($1:1)),),4,1)="X",OFFSET(TH!I$1,SMALL(Dong11,ROWS($1:1)),),0))</f>
        <v>0</v>
      </c>
      <c r="J14" s="354">
        <f ca="1">ROUND(F14*I14,0)</f>
        <v>0</v>
      </c>
      <c r="K14" s="354">
        <f ca="1">IF(D14&lt;&gt;"",K13+G14-I14,0)</f>
        <v>0</v>
      </c>
      <c r="L14" s="354">
        <f ca="1">IF(D14&lt;&gt;"",L13+H14-J14,0)</f>
        <v>0</v>
      </c>
      <c r="M14" s="354"/>
      <c r="N14" s="344"/>
    </row>
    <row r="15" spans="1:17">
      <c r="A15" s="315" t="str">
        <f t="shared" ref="A15:A24" ca="1" si="0">IF(B15="","",A14+1)</f>
        <v/>
      </c>
      <c r="B15" s="350" t="str">
        <f ca="1">IF(ROWS($1:2)&gt;COUNT(Dong11),"",OFFSET(TH!D$1,SMALL(Dong11,ROWS($1:2)),))</f>
        <v/>
      </c>
      <c r="C15" s="351" t="str">
        <f ca="1">IF(ROWS($1:2)&gt;COUNT(Dong11),"",OFFSET(TH!E$1,SMALL(Dong11,ROWS($1:2)),))</f>
        <v/>
      </c>
      <c r="D15" s="352" t="str">
        <f ca="1">IF(ROWS($1:2)&gt;COUNT(Dong11),"",OFFSET(TH!H$1,SMALL(Dong11,ROWS($1:2)),))</f>
        <v/>
      </c>
      <c r="E15" s="350" t="str">
        <f ca="1">IF(ROWS($1:2)&gt;COUNT(Dong11),"",IF(OFFSET(TH!L$1,SMALL(Dong11,ROWS($1:2)),)=$G$7,OFFSET(TH!M$1,SMALL(Dong11,ROWS($1:2)),),OFFSET(TH!L$1,SMALL(Dong11,ROWS($1:2)),)))</f>
        <v/>
      </c>
      <c r="F15" s="353">
        <f ca="1">IF(ROWS($1:2)&gt;COUNT(Dong11),0,OFFSET(TH!J$1,SMALL(Dong11,ROWS($1:2)),))</f>
        <v>0</v>
      </c>
      <c r="G15" s="353">
        <f ca="1">IF(ROWS($1:2)&gt;COUNT(Dong11),0,IF(MID(OFFSET(TH!D$1,SMALL(Dong11,ROWS($1:2)),),4,1)="N",OFFSET(TH!I$1,SMALL(Dong11,ROWS($1:2)),),0))</f>
        <v>0</v>
      </c>
      <c r="H15" s="354">
        <f t="shared" ref="H15:H24" ca="1" si="1">ROUND(F15*G15,0)</f>
        <v>0</v>
      </c>
      <c r="I15" s="353">
        <f ca="1">IF(ROWS($1:2)&gt;COUNT(Dong11),0,IF(MID(OFFSET(TH!D$1,SMALL(Dong11,ROWS($1:2)),),4,1)="X",OFFSET(TH!I$1,SMALL(Dong11,ROWS($1:2)),),0))</f>
        <v>0</v>
      </c>
      <c r="J15" s="354">
        <f t="shared" ref="J15:J24" ca="1" si="2">ROUND(F15*I15,0)</f>
        <v>0</v>
      </c>
      <c r="K15" s="354">
        <f t="shared" ref="K15:K24" ca="1" si="3">IF(D15&lt;&gt;"",K14+G15-I15,0)</f>
        <v>0</v>
      </c>
      <c r="L15" s="354">
        <f t="shared" ref="L15:L24" ca="1" si="4">IF(D15&lt;&gt;"",L14+H15-J15,0)</f>
        <v>0</v>
      </c>
      <c r="M15" s="354"/>
      <c r="N15" s="344"/>
      <c r="Q15" s="355"/>
    </row>
    <row r="16" spans="1:17">
      <c r="A16" s="315" t="str">
        <f t="shared" ca="1" si="0"/>
        <v/>
      </c>
      <c r="B16" s="350" t="str">
        <f ca="1">IF(ROWS($1:3)&gt;COUNT(Dong11),"",OFFSET(TH!D$1,SMALL(Dong11,ROWS($1:3)),))</f>
        <v/>
      </c>
      <c r="C16" s="351" t="str">
        <f ca="1">IF(ROWS($1:3)&gt;COUNT(Dong11),"",OFFSET(TH!E$1,SMALL(Dong11,ROWS($1:3)),))</f>
        <v/>
      </c>
      <c r="D16" s="352" t="str">
        <f ca="1">IF(ROWS($1:3)&gt;COUNT(Dong11),"",OFFSET(TH!H$1,SMALL(Dong11,ROWS($1:3)),))</f>
        <v/>
      </c>
      <c r="E16" s="350" t="str">
        <f ca="1">IF(ROWS($1:3)&gt;COUNT(Dong11),"",IF(OFFSET(TH!L$1,SMALL(Dong11,ROWS($1:3)),)=$G$7,OFFSET(TH!M$1,SMALL(Dong11,ROWS($1:3)),),OFFSET(TH!L$1,SMALL(Dong11,ROWS($1:3)),)))</f>
        <v/>
      </c>
      <c r="F16" s="353">
        <f ca="1">IF(ROWS($1:3)&gt;COUNT(Dong11),0,OFFSET(TH!J$1,SMALL(Dong11,ROWS($1:3)),))</f>
        <v>0</v>
      </c>
      <c r="G16" s="353">
        <f ca="1">IF(ROWS($1:3)&gt;COUNT(Dong11),0,IF(MID(OFFSET(TH!D$1,SMALL(Dong11,ROWS($1:3)),),4,1)="N",OFFSET(TH!I$1,SMALL(Dong11,ROWS($1:3)),),0))</f>
        <v>0</v>
      </c>
      <c r="H16" s="354">
        <f t="shared" ca="1" si="1"/>
        <v>0</v>
      </c>
      <c r="I16" s="353">
        <f ca="1">IF(ROWS($1:3)&gt;COUNT(Dong11),0,IF(MID(OFFSET(TH!D$1,SMALL(Dong11,ROWS($1:3)),),4,1)="X",OFFSET(TH!I$1,SMALL(Dong11,ROWS($1:3)),),0))</f>
        <v>0</v>
      </c>
      <c r="J16" s="354">
        <f t="shared" ca="1" si="2"/>
        <v>0</v>
      </c>
      <c r="K16" s="354">
        <f t="shared" ca="1" si="3"/>
        <v>0</v>
      </c>
      <c r="L16" s="354">
        <f t="shared" ca="1" si="4"/>
        <v>0</v>
      </c>
      <c r="M16" s="354"/>
      <c r="N16" s="344"/>
    </row>
    <row r="17" spans="1:16">
      <c r="A17" s="315" t="str">
        <f t="shared" ca="1" si="0"/>
        <v/>
      </c>
      <c r="B17" s="350" t="str">
        <f ca="1">IF(ROWS($1:4)&gt;COUNT(Dong11),"",OFFSET(TH!D$1,SMALL(Dong11,ROWS($1:4)),))</f>
        <v/>
      </c>
      <c r="C17" s="351" t="str">
        <f ca="1">IF(ROWS($1:4)&gt;COUNT(Dong11),"",OFFSET(TH!E$1,SMALL(Dong11,ROWS($1:4)),))</f>
        <v/>
      </c>
      <c r="D17" s="352" t="str">
        <f ca="1">IF(ROWS($1:4)&gt;COUNT(Dong11),"",OFFSET(TH!H$1,SMALL(Dong11,ROWS($1:4)),))</f>
        <v/>
      </c>
      <c r="E17" s="350" t="str">
        <f ca="1">IF(ROWS($1:4)&gt;COUNT(Dong11),"",IF(OFFSET(TH!L$1,SMALL(Dong11,ROWS($1:4)),)=$G$7,OFFSET(TH!M$1,SMALL(Dong11,ROWS($1:4)),),OFFSET(TH!L$1,SMALL(Dong11,ROWS($1:4)),)))</f>
        <v/>
      </c>
      <c r="F17" s="353">
        <f ca="1">IF(ROWS($1:4)&gt;COUNT(Dong11),0,OFFSET(TH!J$1,SMALL(Dong11,ROWS($1:4)),))</f>
        <v>0</v>
      </c>
      <c r="G17" s="353">
        <f ca="1">IF(ROWS($1:4)&gt;COUNT(Dong11),0,IF(MID(OFFSET(TH!D$1,SMALL(Dong11,ROWS($1:4)),),4,1)="N",OFFSET(TH!I$1,SMALL(Dong11,ROWS($1:4)),),0))</f>
        <v>0</v>
      </c>
      <c r="H17" s="354">
        <f t="shared" ca="1" si="1"/>
        <v>0</v>
      </c>
      <c r="I17" s="353">
        <f ca="1">IF(ROWS($1:4)&gt;COUNT(Dong11),0,IF(MID(OFFSET(TH!D$1,SMALL(Dong11,ROWS($1:4)),),4,1)="X",OFFSET(TH!I$1,SMALL(Dong11,ROWS($1:4)),),0))</f>
        <v>0</v>
      </c>
      <c r="J17" s="354">
        <f t="shared" ca="1" si="2"/>
        <v>0</v>
      </c>
      <c r="K17" s="354">
        <f t="shared" ca="1" si="3"/>
        <v>0</v>
      </c>
      <c r="L17" s="354">
        <f t="shared" ca="1" si="4"/>
        <v>0</v>
      </c>
      <c r="M17" s="354"/>
      <c r="N17" s="344"/>
      <c r="P17" s="356"/>
    </row>
    <row r="18" spans="1:16">
      <c r="A18" s="315" t="str">
        <f t="shared" ca="1" si="0"/>
        <v/>
      </c>
      <c r="B18" s="350" t="str">
        <f ca="1">IF(ROWS($1:5)&gt;COUNT(Dong11),"",OFFSET(TH!D$1,SMALL(Dong11,ROWS($1:5)),))</f>
        <v/>
      </c>
      <c r="C18" s="351" t="str">
        <f ca="1">IF(ROWS($1:5)&gt;COUNT(Dong11),"",OFFSET(TH!E$1,SMALL(Dong11,ROWS($1:5)),))</f>
        <v/>
      </c>
      <c r="D18" s="352" t="str">
        <f ca="1">IF(ROWS($1:5)&gt;COUNT(Dong11),"",OFFSET(TH!H$1,SMALL(Dong11,ROWS($1:5)),))</f>
        <v/>
      </c>
      <c r="E18" s="350" t="str">
        <f ca="1">IF(ROWS($1:5)&gt;COUNT(Dong11),"",IF(OFFSET(TH!L$1,SMALL(Dong11,ROWS($1:5)),)=$G$7,OFFSET(TH!M$1,SMALL(Dong11,ROWS($1:5)),),OFFSET(TH!L$1,SMALL(Dong11,ROWS($1:5)),)))</f>
        <v/>
      </c>
      <c r="F18" s="353">
        <f ca="1">IF(ROWS($1:5)&gt;COUNT(Dong11),0,OFFSET(TH!J$1,SMALL(Dong11,ROWS($1:5)),))</f>
        <v>0</v>
      </c>
      <c r="G18" s="353">
        <f ca="1">IF(ROWS($1:5)&gt;COUNT(Dong11),0,IF(MID(OFFSET(TH!D$1,SMALL(Dong11,ROWS($1:5)),),4,1)="N",OFFSET(TH!I$1,SMALL(Dong11,ROWS($1:5)),),0))</f>
        <v>0</v>
      </c>
      <c r="H18" s="354">
        <f t="shared" ca="1" si="1"/>
        <v>0</v>
      </c>
      <c r="I18" s="353">
        <f ca="1">IF(ROWS($1:5)&gt;COUNT(Dong11),0,IF(MID(OFFSET(TH!D$1,SMALL(Dong11,ROWS($1:5)),),4,1)="X",OFFSET(TH!I$1,SMALL(Dong11,ROWS($1:5)),),0))</f>
        <v>0</v>
      </c>
      <c r="J18" s="354">
        <f t="shared" ca="1" si="2"/>
        <v>0</v>
      </c>
      <c r="K18" s="354">
        <f t="shared" ca="1" si="3"/>
        <v>0</v>
      </c>
      <c r="L18" s="354">
        <f t="shared" ca="1" si="4"/>
        <v>0</v>
      </c>
      <c r="M18" s="354"/>
      <c r="N18" s="344"/>
    </row>
    <row r="19" spans="1:16">
      <c r="A19" s="315" t="str">
        <f t="shared" ca="1" si="0"/>
        <v/>
      </c>
      <c r="B19" s="350" t="str">
        <f ca="1">IF(ROWS($1:6)&gt;COUNT(Dong11),"",OFFSET(TH!D$1,SMALL(Dong11,ROWS($1:6)),))</f>
        <v/>
      </c>
      <c r="C19" s="351" t="str">
        <f ca="1">IF(ROWS($1:6)&gt;COUNT(Dong11),"",OFFSET(TH!E$1,SMALL(Dong11,ROWS($1:6)),))</f>
        <v/>
      </c>
      <c r="D19" s="352" t="str">
        <f ca="1">IF(ROWS($1:6)&gt;COUNT(Dong11),"",OFFSET(TH!H$1,SMALL(Dong11,ROWS($1:6)),))</f>
        <v/>
      </c>
      <c r="E19" s="350" t="str">
        <f ca="1">IF(ROWS($1:6)&gt;COUNT(Dong11),"",IF(OFFSET(TH!L$1,SMALL(Dong11,ROWS($1:6)),)=$G$7,OFFSET(TH!M$1,SMALL(Dong11,ROWS($1:6)),),OFFSET(TH!L$1,SMALL(Dong11,ROWS($1:6)),)))</f>
        <v/>
      </c>
      <c r="F19" s="353">
        <f ca="1">IF(ROWS($1:6)&gt;COUNT(Dong11),0,OFFSET(TH!J$1,SMALL(Dong11,ROWS($1:6)),))</f>
        <v>0</v>
      </c>
      <c r="G19" s="353">
        <f ca="1">IF(ROWS($1:6)&gt;COUNT(Dong11),0,IF(MID(OFFSET(TH!D$1,SMALL(Dong11,ROWS($1:6)),),4,1)="N",OFFSET(TH!I$1,SMALL(Dong11,ROWS($1:6)),),0))</f>
        <v>0</v>
      </c>
      <c r="H19" s="354">
        <f t="shared" ca="1" si="1"/>
        <v>0</v>
      </c>
      <c r="I19" s="353">
        <f ca="1">IF(ROWS($1:6)&gt;COUNT(Dong11),0,IF(MID(OFFSET(TH!D$1,SMALL(Dong11,ROWS($1:6)),),4,1)="X",OFFSET(TH!I$1,SMALL(Dong11,ROWS($1:6)),),0))</f>
        <v>0</v>
      </c>
      <c r="J19" s="354">
        <f t="shared" ca="1" si="2"/>
        <v>0</v>
      </c>
      <c r="K19" s="354">
        <f t="shared" ca="1" si="3"/>
        <v>0</v>
      </c>
      <c r="L19" s="354">
        <f t="shared" ca="1" si="4"/>
        <v>0</v>
      </c>
      <c r="M19" s="354"/>
      <c r="N19" s="344"/>
    </row>
    <row r="20" spans="1:16">
      <c r="A20" s="315" t="str">
        <f t="shared" ca="1" si="0"/>
        <v/>
      </c>
      <c r="B20" s="350" t="str">
        <f ca="1">IF(ROWS($1:7)&gt;COUNT(Dong11),"",OFFSET(TH!D$1,SMALL(Dong11,ROWS($1:7)),))</f>
        <v/>
      </c>
      <c r="C20" s="351" t="str">
        <f ca="1">IF(ROWS($1:7)&gt;COUNT(Dong11),"",OFFSET(TH!E$1,SMALL(Dong11,ROWS($1:7)),))</f>
        <v/>
      </c>
      <c r="D20" s="352" t="str">
        <f ca="1">IF(ROWS($1:7)&gt;COUNT(Dong11),"",OFFSET(TH!H$1,SMALL(Dong11,ROWS($1:7)),))</f>
        <v/>
      </c>
      <c r="E20" s="350" t="str">
        <f ca="1">IF(ROWS($1:7)&gt;COUNT(Dong11),"",IF(OFFSET(TH!L$1,SMALL(Dong11,ROWS($1:7)),)=$G$7,OFFSET(TH!M$1,SMALL(Dong11,ROWS($1:7)),),OFFSET(TH!L$1,SMALL(Dong11,ROWS($1:7)),)))</f>
        <v/>
      </c>
      <c r="F20" s="353">
        <f ca="1">IF(ROWS($1:7)&gt;COUNT(Dong11),0,OFFSET(TH!J$1,SMALL(Dong11,ROWS($1:7)),))</f>
        <v>0</v>
      </c>
      <c r="G20" s="353">
        <f ca="1">IF(ROWS($1:7)&gt;COUNT(Dong11),0,IF(MID(OFFSET(TH!D$1,SMALL(Dong11,ROWS($1:7)),),4,1)="N",OFFSET(TH!I$1,SMALL(Dong11,ROWS($1:7)),),0))</f>
        <v>0</v>
      </c>
      <c r="H20" s="354">
        <f t="shared" ca="1" si="1"/>
        <v>0</v>
      </c>
      <c r="I20" s="353">
        <f ca="1">IF(ROWS($1:7)&gt;COUNT(Dong11),0,IF(MID(OFFSET(TH!D$1,SMALL(Dong11,ROWS($1:7)),),4,1)="X",OFFSET(TH!I$1,SMALL(Dong11,ROWS($1:7)),),0))</f>
        <v>0</v>
      </c>
      <c r="J20" s="354">
        <f t="shared" ca="1" si="2"/>
        <v>0</v>
      </c>
      <c r="K20" s="354">
        <f t="shared" ca="1" si="3"/>
        <v>0</v>
      </c>
      <c r="L20" s="354">
        <f t="shared" ca="1" si="4"/>
        <v>0</v>
      </c>
      <c r="M20" s="354"/>
      <c r="N20" s="344"/>
    </row>
    <row r="21" spans="1:16">
      <c r="A21" s="315" t="str">
        <f t="shared" ca="1" si="0"/>
        <v/>
      </c>
      <c r="B21" s="350" t="str">
        <f ca="1">IF(ROWS($1:8)&gt;COUNT(Dong11),"",OFFSET(TH!D$1,SMALL(Dong11,ROWS($1:8)),))</f>
        <v/>
      </c>
      <c r="C21" s="351" t="str">
        <f ca="1">IF(ROWS($1:8)&gt;COUNT(Dong11),"",OFFSET(TH!E$1,SMALL(Dong11,ROWS($1:8)),))</f>
        <v/>
      </c>
      <c r="D21" s="352" t="str">
        <f ca="1">IF(ROWS($1:8)&gt;COUNT(Dong11),"",OFFSET(TH!H$1,SMALL(Dong11,ROWS($1:8)),))</f>
        <v/>
      </c>
      <c r="E21" s="350" t="str">
        <f ca="1">IF(ROWS($1:8)&gt;COUNT(Dong11),"",IF(OFFSET(TH!L$1,SMALL(Dong11,ROWS($1:8)),)=$G$7,OFFSET(TH!M$1,SMALL(Dong11,ROWS($1:8)),),OFFSET(TH!L$1,SMALL(Dong11,ROWS($1:8)),)))</f>
        <v/>
      </c>
      <c r="F21" s="353">
        <f ca="1">IF(ROWS($1:8)&gt;COUNT(Dong11),0,OFFSET(TH!J$1,SMALL(Dong11,ROWS($1:8)),))</f>
        <v>0</v>
      </c>
      <c r="G21" s="353">
        <f ca="1">IF(ROWS($1:8)&gt;COUNT(Dong11),0,IF(MID(OFFSET(TH!D$1,SMALL(Dong11,ROWS($1:8)),),4,1)="N",OFFSET(TH!I$1,SMALL(Dong11,ROWS($1:8)),),0))</f>
        <v>0</v>
      </c>
      <c r="H21" s="354">
        <f t="shared" ca="1" si="1"/>
        <v>0</v>
      </c>
      <c r="I21" s="353">
        <f ca="1">IF(ROWS($1:8)&gt;COUNT(Dong11),0,IF(MID(OFFSET(TH!D$1,SMALL(Dong11,ROWS($1:8)),),4,1)="X",OFFSET(TH!I$1,SMALL(Dong11,ROWS($1:8)),),0))</f>
        <v>0</v>
      </c>
      <c r="J21" s="354">
        <f t="shared" ca="1" si="2"/>
        <v>0</v>
      </c>
      <c r="K21" s="354">
        <f t="shared" ca="1" si="3"/>
        <v>0</v>
      </c>
      <c r="L21" s="354">
        <f t="shared" ca="1" si="4"/>
        <v>0</v>
      </c>
      <c r="M21" s="354"/>
      <c r="N21" s="344"/>
    </row>
    <row r="22" spans="1:16">
      <c r="A22" s="315" t="str">
        <f t="shared" ca="1" si="0"/>
        <v/>
      </c>
      <c r="B22" s="350" t="str">
        <f ca="1">IF(ROWS($1:9)&gt;COUNT(Dong11),"",OFFSET(TH!D$1,SMALL(Dong11,ROWS($1:9)),))</f>
        <v/>
      </c>
      <c r="C22" s="351" t="str">
        <f ca="1">IF(ROWS($1:9)&gt;COUNT(Dong11),"",OFFSET(TH!E$1,SMALL(Dong11,ROWS($1:9)),))</f>
        <v/>
      </c>
      <c r="D22" s="352" t="str">
        <f ca="1">IF(ROWS($1:9)&gt;COUNT(Dong11),"",OFFSET(TH!H$1,SMALL(Dong11,ROWS($1:9)),))</f>
        <v/>
      </c>
      <c r="E22" s="350" t="str">
        <f ca="1">IF(ROWS($1:9)&gt;COUNT(Dong11),"",IF(OFFSET(TH!L$1,SMALL(Dong11,ROWS($1:9)),)=$G$7,OFFSET(TH!M$1,SMALL(Dong11,ROWS($1:9)),),OFFSET(TH!L$1,SMALL(Dong11,ROWS($1:9)),)))</f>
        <v/>
      </c>
      <c r="F22" s="353">
        <f ca="1">IF(ROWS($1:9)&gt;COUNT(Dong11),0,OFFSET(TH!J$1,SMALL(Dong11,ROWS($1:9)),))</f>
        <v>0</v>
      </c>
      <c r="G22" s="353">
        <f ca="1">IF(ROWS($1:9)&gt;COUNT(Dong11),0,IF(MID(OFFSET(TH!D$1,SMALL(Dong11,ROWS($1:9)),),4,1)="N",OFFSET(TH!I$1,SMALL(Dong11,ROWS($1:9)),),0))</f>
        <v>0</v>
      </c>
      <c r="H22" s="354">
        <f t="shared" ca="1" si="1"/>
        <v>0</v>
      </c>
      <c r="I22" s="353">
        <f ca="1">IF(ROWS($1:9)&gt;COUNT(Dong11),0,IF(MID(OFFSET(TH!D$1,SMALL(Dong11,ROWS($1:9)),),4,1)="X",OFFSET(TH!I$1,SMALL(Dong11,ROWS($1:9)),),0))</f>
        <v>0</v>
      </c>
      <c r="J22" s="354">
        <f t="shared" ca="1" si="2"/>
        <v>0</v>
      </c>
      <c r="K22" s="354">
        <f t="shared" ca="1" si="3"/>
        <v>0</v>
      </c>
      <c r="L22" s="354">
        <f t="shared" ca="1" si="4"/>
        <v>0</v>
      </c>
      <c r="M22" s="354"/>
      <c r="N22" s="344"/>
    </row>
    <row r="23" spans="1:16">
      <c r="A23" s="315" t="str">
        <f t="shared" ca="1" si="0"/>
        <v/>
      </c>
      <c r="B23" s="350" t="str">
        <f ca="1">IF(ROWS($1:10)&gt;COUNT(Dong11),"",OFFSET(TH!D$1,SMALL(Dong11,ROWS($1:10)),))</f>
        <v/>
      </c>
      <c r="C23" s="351" t="str">
        <f ca="1">IF(ROWS($1:10)&gt;COUNT(Dong11),"",OFFSET(TH!E$1,SMALL(Dong11,ROWS($1:10)),))</f>
        <v/>
      </c>
      <c r="D23" s="352" t="str">
        <f ca="1">IF(ROWS($1:10)&gt;COUNT(Dong11),"",OFFSET(TH!H$1,SMALL(Dong11,ROWS($1:10)),))</f>
        <v/>
      </c>
      <c r="E23" s="350" t="str">
        <f ca="1">IF(ROWS($1:10)&gt;COUNT(Dong11),"",IF(OFFSET(TH!L$1,SMALL(Dong11,ROWS($1:10)),)=$G$7,OFFSET(TH!M$1,SMALL(Dong11,ROWS($1:10)),),OFFSET(TH!L$1,SMALL(Dong11,ROWS($1:10)),)))</f>
        <v/>
      </c>
      <c r="F23" s="353">
        <f ca="1">IF(ROWS($1:10)&gt;COUNT(Dong11),0,OFFSET(TH!J$1,SMALL(Dong11,ROWS($1:10)),))</f>
        <v>0</v>
      </c>
      <c r="G23" s="353">
        <f ca="1">IF(ROWS($1:10)&gt;COUNT(Dong11),0,IF(MID(OFFSET(TH!D$1,SMALL(Dong11,ROWS($1:10)),),4,1)="N",OFFSET(TH!I$1,SMALL(Dong11,ROWS($1:10)),),0))</f>
        <v>0</v>
      </c>
      <c r="H23" s="354">
        <f t="shared" ca="1" si="1"/>
        <v>0</v>
      </c>
      <c r="I23" s="353">
        <f ca="1">IF(ROWS($1:10)&gt;COUNT(Dong11),0,IF(MID(OFFSET(TH!D$1,SMALL(Dong11,ROWS($1:10)),),4,1)="X",OFFSET(TH!I$1,SMALL(Dong11,ROWS($1:10)),),0))</f>
        <v>0</v>
      </c>
      <c r="J23" s="354">
        <f t="shared" ca="1" si="2"/>
        <v>0</v>
      </c>
      <c r="K23" s="354">
        <f t="shared" ca="1" si="3"/>
        <v>0</v>
      </c>
      <c r="L23" s="354">
        <f t="shared" ca="1" si="4"/>
        <v>0</v>
      </c>
      <c r="M23" s="354"/>
      <c r="N23" s="344"/>
    </row>
    <row r="24" spans="1:16">
      <c r="A24" s="315" t="str">
        <f t="shared" ca="1" si="0"/>
        <v/>
      </c>
      <c r="B24" s="350" t="str">
        <f ca="1">IF(ROWS($1:11)&gt;COUNT(Dong11),"",OFFSET(TH!D$1,SMALL(Dong11,ROWS($1:11)),))</f>
        <v/>
      </c>
      <c r="C24" s="351" t="str">
        <f ca="1">IF(ROWS($1:11)&gt;COUNT(Dong11),"",OFFSET(TH!E$1,SMALL(Dong11,ROWS($1:11)),))</f>
        <v/>
      </c>
      <c r="D24" s="352" t="str">
        <f ca="1">IF(ROWS($1:11)&gt;COUNT(Dong11),"",OFFSET(TH!H$1,SMALL(Dong11,ROWS($1:11)),))</f>
        <v/>
      </c>
      <c r="E24" s="350" t="str">
        <f ca="1">IF(ROWS($1:11)&gt;COUNT(Dong11),"",IF(OFFSET(TH!L$1,SMALL(Dong11,ROWS($1:11)),)=$G$7,OFFSET(TH!M$1,SMALL(Dong11,ROWS($1:11)),),OFFSET(TH!L$1,SMALL(Dong11,ROWS($1:11)),)))</f>
        <v/>
      </c>
      <c r="F24" s="353">
        <f ca="1">IF(ROWS($1:11)&gt;COUNT(Dong11),0,OFFSET(TH!J$1,SMALL(Dong11,ROWS($1:11)),))</f>
        <v>0</v>
      </c>
      <c r="G24" s="353">
        <f ca="1">IF(ROWS($1:11)&gt;COUNT(Dong11),0,IF(MID(OFFSET(TH!D$1,SMALL(Dong11,ROWS($1:11)),),4,1)="N",OFFSET(TH!I$1,SMALL(Dong11,ROWS($1:11)),),0))</f>
        <v>0</v>
      </c>
      <c r="H24" s="354">
        <f t="shared" ca="1" si="1"/>
        <v>0</v>
      </c>
      <c r="I24" s="353">
        <f ca="1">IF(ROWS($1:11)&gt;COUNT(Dong11),0,IF(MID(OFFSET(TH!D$1,SMALL(Dong11,ROWS($1:11)),),4,1)="X",OFFSET(TH!I$1,SMALL(Dong11,ROWS($1:11)),),0))</f>
        <v>0</v>
      </c>
      <c r="J24" s="354">
        <f t="shared" ca="1" si="2"/>
        <v>0</v>
      </c>
      <c r="K24" s="354">
        <f t="shared" ca="1" si="3"/>
        <v>0</v>
      </c>
      <c r="L24" s="354">
        <f t="shared" ca="1" si="4"/>
        <v>0</v>
      </c>
      <c r="M24" s="354"/>
      <c r="N24" s="344"/>
    </row>
    <row r="25" spans="1:16">
      <c r="A25" s="315" t="str">
        <f t="shared" ref="A25:A38" ca="1" si="5">IF(B25="","",A24+1)</f>
        <v/>
      </c>
      <c r="B25" s="350" t="str">
        <f ca="1">IF(ROWS($1:12)&gt;COUNT(Dong11),"",OFFSET(TH!D$1,SMALL(Dong11,ROWS($1:12)),))</f>
        <v/>
      </c>
      <c r="C25" s="351" t="str">
        <f ca="1">IF(ROWS($1:12)&gt;COUNT(Dong11),"",OFFSET(TH!E$1,SMALL(Dong11,ROWS($1:12)),))</f>
        <v/>
      </c>
      <c r="D25" s="352" t="str">
        <f ca="1">IF(ROWS($1:12)&gt;COUNT(Dong11),"",OFFSET(TH!H$1,SMALL(Dong11,ROWS($1:12)),))</f>
        <v/>
      </c>
      <c r="E25" s="350" t="str">
        <f ca="1">IF(ROWS($1:12)&gt;COUNT(Dong11),"",IF(OFFSET(TH!L$1,SMALL(Dong11,ROWS($1:12)),)=$G$7,OFFSET(TH!M$1,SMALL(Dong11,ROWS($1:12)),),OFFSET(TH!L$1,SMALL(Dong11,ROWS($1:12)),)))</f>
        <v/>
      </c>
      <c r="F25" s="353">
        <f ca="1">IF(ROWS($1:12)&gt;COUNT(Dong11),0,OFFSET(TH!J$1,SMALL(Dong11,ROWS($1:12)),))</f>
        <v>0</v>
      </c>
      <c r="G25" s="353">
        <f ca="1">IF(ROWS($1:12)&gt;COUNT(Dong11),0,IF(MID(OFFSET(TH!D$1,SMALL(Dong11,ROWS($1:12)),),4,1)="N",OFFSET(TH!I$1,SMALL(Dong11,ROWS($1:12)),),0))</f>
        <v>0</v>
      </c>
      <c r="H25" s="354">
        <f t="shared" ref="H25:H38" ca="1" si="6">ROUND(F25*G25,0)</f>
        <v>0</v>
      </c>
      <c r="I25" s="353">
        <f ca="1">IF(ROWS($1:12)&gt;COUNT(Dong11),0,IF(MID(OFFSET(TH!D$1,SMALL(Dong11,ROWS($1:12)),),4,1)="X",OFFSET(TH!I$1,SMALL(Dong11,ROWS($1:12)),),0))</f>
        <v>0</v>
      </c>
      <c r="J25" s="354">
        <f t="shared" ref="J25:J38" ca="1" si="7">ROUND(F25*I25,0)</f>
        <v>0</v>
      </c>
      <c r="K25" s="354">
        <f t="shared" ref="K25:K38" ca="1" si="8">IF(D25&lt;&gt;"",K24+G25-I25,0)</f>
        <v>0</v>
      </c>
      <c r="L25" s="354">
        <f t="shared" ref="L25:L38" ca="1" si="9">IF(D25&lt;&gt;"",L24+H25-J25,0)</f>
        <v>0</v>
      </c>
      <c r="M25" s="354"/>
      <c r="N25" s="344"/>
    </row>
    <row r="26" spans="1:16">
      <c r="A26" s="315" t="str">
        <f t="shared" ca="1" si="5"/>
        <v/>
      </c>
      <c r="B26" s="350" t="str">
        <f ca="1">IF(ROWS($1:13)&gt;COUNT(Dong11),"",OFFSET(TH!D$1,SMALL(Dong11,ROWS($1:13)),))</f>
        <v/>
      </c>
      <c r="C26" s="351" t="str">
        <f ca="1">IF(ROWS($1:13)&gt;COUNT(Dong11),"",OFFSET(TH!E$1,SMALL(Dong11,ROWS($1:13)),))</f>
        <v/>
      </c>
      <c r="D26" s="352" t="str">
        <f ca="1">IF(ROWS($1:13)&gt;COUNT(Dong11),"",OFFSET(TH!H$1,SMALL(Dong11,ROWS($1:13)),))</f>
        <v/>
      </c>
      <c r="E26" s="350" t="str">
        <f ca="1">IF(ROWS($1:13)&gt;COUNT(Dong11),"",IF(OFFSET(TH!L$1,SMALL(Dong11,ROWS($1:13)),)=$G$7,OFFSET(TH!M$1,SMALL(Dong11,ROWS($1:13)),),OFFSET(TH!L$1,SMALL(Dong11,ROWS($1:13)),)))</f>
        <v/>
      </c>
      <c r="F26" s="353">
        <f ca="1">IF(ROWS($1:13)&gt;COUNT(Dong11),0,OFFSET(TH!J$1,SMALL(Dong11,ROWS($1:13)),))</f>
        <v>0</v>
      </c>
      <c r="G26" s="353">
        <f ca="1">IF(ROWS($1:13)&gt;COUNT(Dong11),0,IF(MID(OFFSET(TH!D$1,SMALL(Dong11,ROWS($1:13)),),4,1)="N",OFFSET(TH!I$1,SMALL(Dong11,ROWS($1:13)),),0))</f>
        <v>0</v>
      </c>
      <c r="H26" s="354">
        <f t="shared" ca="1" si="6"/>
        <v>0</v>
      </c>
      <c r="I26" s="353">
        <f ca="1">IF(ROWS($1:13)&gt;COUNT(Dong11),0,IF(MID(OFFSET(TH!D$1,SMALL(Dong11,ROWS($1:13)),),4,1)="X",OFFSET(TH!I$1,SMALL(Dong11,ROWS($1:13)),),0))</f>
        <v>0</v>
      </c>
      <c r="J26" s="354">
        <f t="shared" ca="1" si="7"/>
        <v>0</v>
      </c>
      <c r="K26" s="354">
        <f t="shared" ca="1" si="8"/>
        <v>0</v>
      </c>
      <c r="L26" s="354">
        <f t="shared" ca="1" si="9"/>
        <v>0</v>
      </c>
      <c r="M26" s="354"/>
      <c r="N26" s="344"/>
    </row>
    <row r="27" spans="1:16">
      <c r="A27" s="315" t="str">
        <f t="shared" ca="1" si="5"/>
        <v/>
      </c>
      <c r="B27" s="350" t="str">
        <f ca="1">IF(ROWS($1:14)&gt;COUNT(Dong11),"",OFFSET(TH!D$1,SMALL(Dong11,ROWS($1:14)),))</f>
        <v/>
      </c>
      <c r="C27" s="351" t="str">
        <f ca="1">IF(ROWS($1:14)&gt;COUNT(Dong11),"",OFFSET(TH!E$1,SMALL(Dong11,ROWS($1:14)),))</f>
        <v/>
      </c>
      <c r="D27" s="352" t="str">
        <f ca="1">IF(ROWS($1:14)&gt;COUNT(Dong11),"",OFFSET(TH!H$1,SMALL(Dong11,ROWS($1:14)),))</f>
        <v/>
      </c>
      <c r="E27" s="350" t="str">
        <f ca="1">IF(ROWS($1:14)&gt;COUNT(Dong11),"",IF(OFFSET(TH!L$1,SMALL(Dong11,ROWS($1:14)),)=$G$7,OFFSET(TH!M$1,SMALL(Dong11,ROWS($1:14)),),OFFSET(TH!L$1,SMALL(Dong11,ROWS($1:14)),)))</f>
        <v/>
      </c>
      <c r="F27" s="353">
        <f ca="1">IF(ROWS($1:14)&gt;COUNT(Dong11),0,OFFSET(TH!J$1,SMALL(Dong11,ROWS($1:14)),))</f>
        <v>0</v>
      </c>
      <c r="G27" s="353">
        <f ca="1">IF(ROWS($1:14)&gt;COUNT(Dong11),0,IF(MID(OFFSET(TH!D$1,SMALL(Dong11,ROWS($1:14)),),4,1)="N",OFFSET(TH!I$1,SMALL(Dong11,ROWS($1:14)),),0))</f>
        <v>0</v>
      </c>
      <c r="H27" s="354">
        <f t="shared" ca="1" si="6"/>
        <v>0</v>
      </c>
      <c r="I27" s="353">
        <f ca="1">IF(ROWS($1:14)&gt;COUNT(Dong11),0,IF(MID(OFFSET(TH!D$1,SMALL(Dong11,ROWS($1:14)),),4,1)="X",OFFSET(TH!I$1,SMALL(Dong11,ROWS($1:14)),),0))</f>
        <v>0</v>
      </c>
      <c r="J27" s="354">
        <f t="shared" ca="1" si="7"/>
        <v>0</v>
      </c>
      <c r="K27" s="354">
        <f t="shared" ca="1" si="8"/>
        <v>0</v>
      </c>
      <c r="L27" s="354">
        <f t="shared" ca="1" si="9"/>
        <v>0</v>
      </c>
      <c r="M27" s="354"/>
      <c r="N27" s="344"/>
    </row>
    <row r="28" spans="1:16">
      <c r="A28" s="315" t="str">
        <f t="shared" ca="1" si="5"/>
        <v/>
      </c>
      <c r="B28" s="350" t="str">
        <f ca="1">IF(ROWS($1:15)&gt;COUNT(Dong11),"",OFFSET(TH!D$1,SMALL(Dong11,ROWS($1:15)),))</f>
        <v/>
      </c>
      <c r="C28" s="351" t="str">
        <f ca="1">IF(ROWS($1:15)&gt;COUNT(Dong11),"",OFFSET(TH!E$1,SMALL(Dong11,ROWS($1:15)),))</f>
        <v/>
      </c>
      <c r="D28" s="352" t="str">
        <f ca="1">IF(ROWS($1:15)&gt;COUNT(Dong11),"",OFFSET(TH!H$1,SMALL(Dong11,ROWS($1:15)),))</f>
        <v/>
      </c>
      <c r="E28" s="350" t="str">
        <f ca="1">IF(ROWS($1:15)&gt;COUNT(Dong11),"",IF(OFFSET(TH!L$1,SMALL(Dong11,ROWS($1:15)),)=$G$7,OFFSET(TH!M$1,SMALL(Dong11,ROWS($1:15)),),OFFSET(TH!L$1,SMALL(Dong11,ROWS($1:15)),)))</f>
        <v/>
      </c>
      <c r="F28" s="353">
        <f ca="1">IF(ROWS($1:15)&gt;COUNT(Dong11),0,OFFSET(TH!J$1,SMALL(Dong11,ROWS($1:15)),))</f>
        <v>0</v>
      </c>
      <c r="G28" s="353">
        <f ca="1">IF(ROWS($1:15)&gt;COUNT(Dong11),0,IF(MID(OFFSET(TH!D$1,SMALL(Dong11,ROWS($1:15)),),4,1)="N",OFFSET(TH!I$1,SMALL(Dong11,ROWS($1:15)),),0))</f>
        <v>0</v>
      </c>
      <c r="H28" s="354">
        <f t="shared" ca="1" si="6"/>
        <v>0</v>
      </c>
      <c r="I28" s="353">
        <f ca="1">IF(ROWS($1:15)&gt;COUNT(Dong11),0,IF(MID(OFFSET(TH!D$1,SMALL(Dong11,ROWS($1:15)),),4,1)="X",OFFSET(TH!I$1,SMALL(Dong11,ROWS($1:15)),),0))</f>
        <v>0</v>
      </c>
      <c r="J28" s="354">
        <f t="shared" ca="1" si="7"/>
        <v>0</v>
      </c>
      <c r="K28" s="354">
        <f t="shared" ca="1" si="8"/>
        <v>0</v>
      </c>
      <c r="L28" s="354">
        <f t="shared" ca="1" si="9"/>
        <v>0</v>
      </c>
      <c r="M28" s="354"/>
      <c r="N28" s="344"/>
    </row>
    <row r="29" spans="1:16">
      <c r="A29" s="315" t="str">
        <f t="shared" ca="1" si="5"/>
        <v/>
      </c>
      <c r="B29" s="350" t="str">
        <f ca="1">IF(ROWS($1:16)&gt;COUNT(Dong11),"",OFFSET(TH!D$1,SMALL(Dong11,ROWS($1:16)),))</f>
        <v/>
      </c>
      <c r="C29" s="351" t="str">
        <f ca="1">IF(ROWS($1:16)&gt;COUNT(Dong11),"",OFFSET(TH!E$1,SMALL(Dong11,ROWS($1:16)),))</f>
        <v/>
      </c>
      <c r="D29" s="352" t="str">
        <f ca="1">IF(ROWS($1:16)&gt;COUNT(Dong11),"",OFFSET(TH!H$1,SMALL(Dong11,ROWS($1:16)),))</f>
        <v/>
      </c>
      <c r="E29" s="350" t="str">
        <f ca="1">IF(ROWS($1:16)&gt;COUNT(Dong11),"",IF(OFFSET(TH!L$1,SMALL(Dong11,ROWS($1:16)),)=$G$7,OFFSET(TH!M$1,SMALL(Dong11,ROWS($1:16)),),OFFSET(TH!L$1,SMALL(Dong11,ROWS($1:16)),)))</f>
        <v/>
      </c>
      <c r="F29" s="353">
        <f ca="1">IF(ROWS($1:16)&gt;COUNT(Dong11),0,OFFSET(TH!J$1,SMALL(Dong11,ROWS($1:16)),))</f>
        <v>0</v>
      </c>
      <c r="G29" s="353">
        <f ca="1">IF(ROWS($1:16)&gt;COUNT(Dong11),0,IF(MID(OFFSET(TH!D$1,SMALL(Dong11,ROWS($1:16)),),4,1)="N",OFFSET(TH!I$1,SMALL(Dong11,ROWS($1:16)),),0))</f>
        <v>0</v>
      </c>
      <c r="H29" s="354">
        <f t="shared" ca="1" si="6"/>
        <v>0</v>
      </c>
      <c r="I29" s="353">
        <f ca="1">IF(ROWS($1:16)&gt;COUNT(Dong11),0,IF(MID(OFFSET(TH!D$1,SMALL(Dong11,ROWS($1:16)),),4,1)="X",OFFSET(TH!I$1,SMALL(Dong11,ROWS($1:16)),),0))</f>
        <v>0</v>
      </c>
      <c r="J29" s="354">
        <f t="shared" ca="1" si="7"/>
        <v>0</v>
      </c>
      <c r="K29" s="354">
        <f t="shared" ca="1" si="8"/>
        <v>0</v>
      </c>
      <c r="L29" s="354">
        <f t="shared" ca="1" si="9"/>
        <v>0</v>
      </c>
      <c r="M29" s="354"/>
      <c r="N29" s="344"/>
    </row>
    <row r="30" spans="1:16">
      <c r="A30" s="315" t="str">
        <f t="shared" ca="1" si="5"/>
        <v/>
      </c>
      <c r="B30" s="350" t="str">
        <f ca="1">IF(ROWS($1:17)&gt;COUNT(Dong11),"",OFFSET(TH!D$1,SMALL(Dong11,ROWS($1:17)),))</f>
        <v/>
      </c>
      <c r="C30" s="351" t="str">
        <f ca="1">IF(ROWS($1:17)&gt;COUNT(Dong11),"",OFFSET(TH!E$1,SMALL(Dong11,ROWS($1:17)),))</f>
        <v/>
      </c>
      <c r="D30" s="352" t="str">
        <f ca="1">IF(ROWS($1:17)&gt;COUNT(Dong11),"",OFFSET(TH!H$1,SMALL(Dong11,ROWS($1:17)),))</f>
        <v/>
      </c>
      <c r="E30" s="350" t="str">
        <f ca="1">IF(ROWS($1:17)&gt;COUNT(Dong11),"",IF(OFFSET(TH!L$1,SMALL(Dong11,ROWS($1:17)),)=$G$7,OFFSET(TH!M$1,SMALL(Dong11,ROWS($1:17)),),OFFSET(TH!L$1,SMALL(Dong11,ROWS($1:17)),)))</f>
        <v/>
      </c>
      <c r="F30" s="353">
        <f ca="1">IF(ROWS($1:17)&gt;COUNT(Dong11),0,OFFSET(TH!J$1,SMALL(Dong11,ROWS($1:17)),))</f>
        <v>0</v>
      </c>
      <c r="G30" s="353">
        <f ca="1">IF(ROWS($1:17)&gt;COUNT(Dong11),0,IF(MID(OFFSET(TH!D$1,SMALL(Dong11,ROWS($1:17)),),4,1)="N",OFFSET(TH!I$1,SMALL(Dong11,ROWS($1:17)),),0))</f>
        <v>0</v>
      </c>
      <c r="H30" s="354">
        <f t="shared" ca="1" si="6"/>
        <v>0</v>
      </c>
      <c r="I30" s="353">
        <f ca="1">IF(ROWS($1:17)&gt;COUNT(Dong11),0,IF(MID(OFFSET(TH!D$1,SMALL(Dong11,ROWS($1:17)),),4,1)="X",OFFSET(TH!I$1,SMALL(Dong11,ROWS($1:17)),),0))</f>
        <v>0</v>
      </c>
      <c r="J30" s="354">
        <f t="shared" ca="1" si="7"/>
        <v>0</v>
      </c>
      <c r="K30" s="354">
        <f t="shared" ca="1" si="8"/>
        <v>0</v>
      </c>
      <c r="L30" s="354">
        <f t="shared" ca="1" si="9"/>
        <v>0</v>
      </c>
      <c r="M30" s="354"/>
      <c r="N30" s="344"/>
    </row>
    <row r="31" spans="1:16">
      <c r="A31" s="315" t="str">
        <f t="shared" ca="1" si="5"/>
        <v/>
      </c>
      <c r="B31" s="350" t="str">
        <f ca="1">IF(ROWS($1:18)&gt;COUNT(Dong11),"",OFFSET(TH!D$1,SMALL(Dong11,ROWS($1:18)),))</f>
        <v/>
      </c>
      <c r="C31" s="351" t="str">
        <f ca="1">IF(ROWS($1:18)&gt;COUNT(Dong11),"",OFFSET(TH!E$1,SMALL(Dong11,ROWS($1:18)),))</f>
        <v/>
      </c>
      <c r="D31" s="352" t="str">
        <f ca="1">IF(ROWS($1:18)&gt;COUNT(Dong11),"",OFFSET(TH!H$1,SMALL(Dong11,ROWS($1:18)),))</f>
        <v/>
      </c>
      <c r="E31" s="350" t="str">
        <f ca="1">IF(ROWS($1:18)&gt;COUNT(Dong11),"",IF(OFFSET(TH!L$1,SMALL(Dong11,ROWS($1:18)),)=$G$7,OFFSET(TH!M$1,SMALL(Dong11,ROWS($1:18)),),OFFSET(TH!L$1,SMALL(Dong11,ROWS($1:18)),)))</f>
        <v/>
      </c>
      <c r="F31" s="353">
        <f ca="1">IF(ROWS($1:18)&gt;COUNT(Dong11),0,OFFSET(TH!J$1,SMALL(Dong11,ROWS($1:18)),))</f>
        <v>0</v>
      </c>
      <c r="G31" s="353">
        <f ca="1">IF(ROWS($1:18)&gt;COUNT(Dong11),0,IF(MID(OFFSET(TH!D$1,SMALL(Dong11,ROWS($1:18)),),4,1)="N",OFFSET(TH!I$1,SMALL(Dong11,ROWS($1:18)),),0))</f>
        <v>0</v>
      </c>
      <c r="H31" s="354">
        <f t="shared" ca="1" si="6"/>
        <v>0</v>
      </c>
      <c r="I31" s="353">
        <f ca="1">IF(ROWS($1:18)&gt;COUNT(Dong11),0,IF(MID(OFFSET(TH!D$1,SMALL(Dong11,ROWS($1:18)),),4,1)="X",OFFSET(TH!I$1,SMALL(Dong11,ROWS($1:18)),),0))</f>
        <v>0</v>
      </c>
      <c r="J31" s="354">
        <f t="shared" ca="1" si="7"/>
        <v>0</v>
      </c>
      <c r="K31" s="354">
        <f t="shared" ca="1" si="8"/>
        <v>0</v>
      </c>
      <c r="L31" s="354">
        <f t="shared" ca="1" si="9"/>
        <v>0</v>
      </c>
      <c r="M31" s="354"/>
      <c r="N31" s="344"/>
    </row>
    <row r="32" spans="1:16">
      <c r="A32" s="315" t="str">
        <f t="shared" ca="1" si="5"/>
        <v/>
      </c>
      <c r="B32" s="350" t="str">
        <f ca="1">IF(ROWS($1:19)&gt;COUNT(Dong11),"",OFFSET(TH!D$1,SMALL(Dong11,ROWS($1:19)),))</f>
        <v/>
      </c>
      <c r="C32" s="351" t="str">
        <f ca="1">IF(ROWS($1:19)&gt;COUNT(Dong11),"",OFFSET(TH!E$1,SMALL(Dong11,ROWS($1:19)),))</f>
        <v/>
      </c>
      <c r="D32" s="352" t="str">
        <f ca="1">IF(ROWS($1:19)&gt;COUNT(Dong11),"",OFFSET(TH!H$1,SMALL(Dong11,ROWS($1:19)),))</f>
        <v/>
      </c>
      <c r="E32" s="350" t="str">
        <f ca="1">IF(ROWS($1:19)&gt;COUNT(Dong11),"",IF(OFFSET(TH!L$1,SMALL(Dong11,ROWS($1:19)),)=$G$7,OFFSET(TH!M$1,SMALL(Dong11,ROWS($1:19)),),OFFSET(TH!L$1,SMALL(Dong11,ROWS($1:19)),)))</f>
        <v/>
      </c>
      <c r="F32" s="353">
        <f ca="1">IF(ROWS($1:19)&gt;COUNT(Dong11),0,OFFSET(TH!J$1,SMALL(Dong11,ROWS($1:19)),))</f>
        <v>0</v>
      </c>
      <c r="G32" s="353">
        <f ca="1">IF(ROWS($1:19)&gt;COUNT(Dong11),0,IF(MID(OFFSET(TH!D$1,SMALL(Dong11,ROWS($1:19)),),4,1)="N",OFFSET(TH!I$1,SMALL(Dong11,ROWS($1:19)),),0))</f>
        <v>0</v>
      </c>
      <c r="H32" s="354">
        <f t="shared" ca="1" si="6"/>
        <v>0</v>
      </c>
      <c r="I32" s="353">
        <f ca="1">IF(ROWS($1:19)&gt;COUNT(Dong11),0,IF(MID(OFFSET(TH!D$1,SMALL(Dong11,ROWS($1:19)),),4,1)="X",OFFSET(TH!I$1,SMALL(Dong11,ROWS($1:19)),),0))</f>
        <v>0</v>
      </c>
      <c r="J32" s="354">
        <f t="shared" ca="1" si="7"/>
        <v>0</v>
      </c>
      <c r="K32" s="354">
        <f t="shared" ca="1" si="8"/>
        <v>0</v>
      </c>
      <c r="L32" s="354">
        <f t="shared" ca="1" si="9"/>
        <v>0</v>
      </c>
      <c r="M32" s="354"/>
      <c r="N32" s="344"/>
    </row>
    <row r="33" spans="1:14">
      <c r="A33" s="315" t="str">
        <f t="shared" ca="1" si="5"/>
        <v/>
      </c>
      <c r="B33" s="350" t="str">
        <f ca="1">IF(ROWS($1:20)&gt;COUNT(Dong11),"",OFFSET(TH!D$1,SMALL(Dong11,ROWS($1:20)),))</f>
        <v/>
      </c>
      <c r="C33" s="351" t="str">
        <f ca="1">IF(ROWS($1:20)&gt;COUNT(Dong11),"",OFFSET(TH!E$1,SMALL(Dong11,ROWS($1:20)),))</f>
        <v/>
      </c>
      <c r="D33" s="352" t="str">
        <f ca="1">IF(ROWS($1:20)&gt;COUNT(Dong11),"",OFFSET(TH!H$1,SMALL(Dong11,ROWS($1:20)),))</f>
        <v/>
      </c>
      <c r="E33" s="350" t="str">
        <f ca="1">IF(ROWS($1:20)&gt;COUNT(Dong11),"",IF(OFFSET(TH!L$1,SMALL(Dong11,ROWS($1:20)),)=$G$7,OFFSET(TH!M$1,SMALL(Dong11,ROWS($1:20)),),OFFSET(TH!L$1,SMALL(Dong11,ROWS($1:20)),)))</f>
        <v/>
      </c>
      <c r="F33" s="353">
        <f ca="1">IF(ROWS($1:20)&gt;COUNT(Dong11),0,OFFSET(TH!J$1,SMALL(Dong11,ROWS($1:20)),))</f>
        <v>0</v>
      </c>
      <c r="G33" s="353">
        <f ca="1">IF(ROWS($1:20)&gt;COUNT(Dong11),0,IF(MID(OFFSET(TH!D$1,SMALL(Dong11,ROWS($1:20)),),4,1)="N",OFFSET(TH!I$1,SMALL(Dong11,ROWS($1:20)),),0))</f>
        <v>0</v>
      </c>
      <c r="H33" s="354">
        <f t="shared" ca="1" si="6"/>
        <v>0</v>
      </c>
      <c r="I33" s="353">
        <f ca="1">IF(ROWS($1:20)&gt;COUNT(Dong11),0,IF(MID(OFFSET(TH!D$1,SMALL(Dong11,ROWS($1:20)),),4,1)="X",OFFSET(TH!I$1,SMALL(Dong11,ROWS($1:20)),),0))</f>
        <v>0</v>
      </c>
      <c r="J33" s="354">
        <f t="shared" ca="1" si="7"/>
        <v>0</v>
      </c>
      <c r="K33" s="354">
        <f t="shared" ca="1" si="8"/>
        <v>0</v>
      </c>
      <c r="L33" s="354">
        <f t="shared" ca="1" si="9"/>
        <v>0</v>
      </c>
      <c r="M33" s="354"/>
      <c r="N33" s="344"/>
    </row>
    <row r="34" spans="1:14">
      <c r="A34" s="315" t="str">
        <f t="shared" ca="1" si="5"/>
        <v/>
      </c>
      <c r="B34" s="350" t="str">
        <f ca="1">IF(ROWS($1:21)&gt;COUNT(Dong11),"",OFFSET(TH!D$1,SMALL(Dong11,ROWS($1:21)),))</f>
        <v/>
      </c>
      <c r="C34" s="351" t="str">
        <f ca="1">IF(ROWS($1:21)&gt;COUNT(Dong11),"",OFFSET(TH!E$1,SMALL(Dong11,ROWS($1:21)),))</f>
        <v/>
      </c>
      <c r="D34" s="352" t="str">
        <f ca="1">IF(ROWS($1:21)&gt;COUNT(Dong11),"",OFFSET(TH!H$1,SMALL(Dong11,ROWS($1:21)),))</f>
        <v/>
      </c>
      <c r="E34" s="350" t="str">
        <f ca="1">IF(ROWS($1:21)&gt;COUNT(Dong11),"",IF(OFFSET(TH!L$1,SMALL(Dong11,ROWS($1:21)),)=$G$7,OFFSET(TH!M$1,SMALL(Dong11,ROWS($1:21)),),OFFSET(TH!L$1,SMALL(Dong11,ROWS($1:21)),)))</f>
        <v/>
      </c>
      <c r="F34" s="353">
        <f ca="1">IF(ROWS($1:21)&gt;COUNT(Dong11),0,OFFSET(TH!J$1,SMALL(Dong11,ROWS($1:21)),))</f>
        <v>0</v>
      </c>
      <c r="G34" s="353">
        <f ca="1">IF(ROWS($1:21)&gt;COUNT(Dong11),0,IF(MID(OFFSET(TH!D$1,SMALL(Dong11,ROWS($1:21)),),4,1)="N",OFFSET(TH!I$1,SMALL(Dong11,ROWS($1:21)),),0))</f>
        <v>0</v>
      </c>
      <c r="H34" s="354">
        <f t="shared" ca="1" si="6"/>
        <v>0</v>
      </c>
      <c r="I34" s="353">
        <f ca="1">IF(ROWS($1:21)&gt;COUNT(Dong11),0,IF(MID(OFFSET(TH!D$1,SMALL(Dong11,ROWS($1:21)),),4,1)="X",OFFSET(TH!I$1,SMALL(Dong11,ROWS($1:21)),),0))</f>
        <v>0</v>
      </c>
      <c r="J34" s="354">
        <f t="shared" ca="1" si="7"/>
        <v>0</v>
      </c>
      <c r="K34" s="354">
        <f t="shared" ca="1" si="8"/>
        <v>0</v>
      </c>
      <c r="L34" s="354">
        <f t="shared" ca="1" si="9"/>
        <v>0</v>
      </c>
      <c r="M34" s="354"/>
      <c r="N34" s="344"/>
    </row>
    <row r="35" spans="1:14">
      <c r="A35" s="315" t="str">
        <f t="shared" ca="1" si="5"/>
        <v/>
      </c>
      <c r="B35" s="350" t="str">
        <f ca="1">IF(ROWS($1:22)&gt;COUNT(Dong11),"",OFFSET(TH!D$1,SMALL(Dong11,ROWS($1:22)),))</f>
        <v/>
      </c>
      <c r="C35" s="351" t="str">
        <f ca="1">IF(ROWS($1:22)&gt;COUNT(Dong11),"",OFFSET(TH!E$1,SMALL(Dong11,ROWS($1:22)),))</f>
        <v/>
      </c>
      <c r="D35" s="352" t="str">
        <f ca="1">IF(ROWS($1:22)&gt;COUNT(Dong11),"",OFFSET(TH!H$1,SMALL(Dong11,ROWS($1:22)),))</f>
        <v/>
      </c>
      <c r="E35" s="350" t="str">
        <f ca="1">IF(ROWS($1:22)&gt;COUNT(Dong11),"",IF(OFFSET(TH!L$1,SMALL(Dong11,ROWS($1:22)),)=$G$7,OFFSET(TH!M$1,SMALL(Dong11,ROWS($1:22)),),OFFSET(TH!L$1,SMALL(Dong11,ROWS($1:22)),)))</f>
        <v/>
      </c>
      <c r="F35" s="353">
        <f ca="1">IF(ROWS($1:22)&gt;COUNT(Dong11),0,OFFSET(TH!J$1,SMALL(Dong11,ROWS($1:22)),))</f>
        <v>0</v>
      </c>
      <c r="G35" s="353">
        <f ca="1">IF(ROWS($1:22)&gt;COUNT(Dong11),0,IF(MID(OFFSET(TH!D$1,SMALL(Dong11,ROWS($1:22)),),4,1)="N",OFFSET(TH!I$1,SMALL(Dong11,ROWS($1:22)),),0))</f>
        <v>0</v>
      </c>
      <c r="H35" s="354">
        <f t="shared" ca="1" si="6"/>
        <v>0</v>
      </c>
      <c r="I35" s="353">
        <f ca="1">IF(ROWS($1:22)&gt;COUNT(Dong11),0,IF(MID(OFFSET(TH!D$1,SMALL(Dong11,ROWS($1:22)),),4,1)="X",OFFSET(TH!I$1,SMALL(Dong11,ROWS($1:22)),),0))</f>
        <v>0</v>
      </c>
      <c r="J35" s="354">
        <f t="shared" ca="1" si="7"/>
        <v>0</v>
      </c>
      <c r="K35" s="354">
        <f t="shared" ca="1" si="8"/>
        <v>0</v>
      </c>
      <c r="L35" s="354">
        <f t="shared" ca="1" si="9"/>
        <v>0</v>
      </c>
      <c r="M35" s="354"/>
      <c r="N35" s="344"/>
    </row>
    <row r="36" spans="1:14">
      <c r="A36" s="315" t="str">
        <f t="shared" ca="1" si="5"/>
        <v/>
      </c>
      <c r="B36" s="350" t="str">
        <f ca="1">IF(ROWS($1:23)&gt;COUNT(Dong11),"",OFFSET(TH!D$1,SMALL(Dong11,ROWS($1:23)),))</f>
        <v/>
      </c>
      <c r="C36" s="351" t="str">
        <f ca="1">IF(ROWS($1:23)&gt;COUNT(Dong11),"",OFFSET(TH!E$1,SMALL(Dong11,ROWS($1:23)),))</f>
        <v/>
      </c>
      <c r="D36" s="352" t="str">
        <f ca="1">IF(ROWS($1:23)&gt;COUNT(Dong11),"",OFFSET(TH!H$1,SMALL(Dong11,ROWS($1:23)),))</f>
        <v/>
      </c>
      <c r="E36" s="350" t="str">
        <f ca="1">IF(ROWS($1:23)&gt;COUNT(Dong11),"",IF(OFFSET(TH!L$1,SMALL(Dong11,ROWS($1:23)),)=$G$7,OFFSET(TH!M$1,SMALL(Dong11,ROWS($1:23)),),OFFSET(TH!L$1,SMALL(Dong11,ROWS($1:23)),)))</f>
        <v/>
      </c>
      <c r="F36" s="353">
        <f ca="1">IF(ROWS($1:23)&gt;COUNT(Dong11),0,OFFSET(TH!J$1,SMALL(Dong11,ROWS($1:23)),))</f>
        <v>0</v>
      </c>
      <c r="G36" s="353">
        <f ca="1">IF(ROWS($1:23)&gt;COUNT(Dong11),0,IF(MID(OFFSET(TH!D$1,SMALL(Dong11,ROWS($1:23)),),4,1)="N",OFFSET(TH!I$1,SMALL(Dong11,ROWS($1:23)),),0))</f>
        <v>0</v>
      </c>
      <c r="H36" s="354">
        <f t="shared" ca="1" si="6"/>
        <v>0</v>
      </c>
      <c r="I36" s="353">
        <f ca="1">IF(ROWS($1:23)&gt;COUNT(Dong11),0,IF(MID(OFFSET(TH!D$1,SMALL(Dong11,ROWS($1:23)),),4,1)="X",OFFSET(TH!I$1,SMALL(Dong11,ROWS($1:23)),),0))</f>
        <v>0</v>
      </c>
      <c r="J36" s="354">
        <f t="shared" ca="1" si="7"/>
        <v>0</v>
      </c>
      <c r="K36" s="354">
        <f t="shared" ca="1" si="8"/>
        <v>0</v>
      </c>
      <c r="L36" s="354">
        <f t="shared" ca="1" si="9"/>
        <v>0</v>
      </c>
      <c r="M36" s="354"/>
      <c r="N36" s="344"/>
    </row>
    <row r="37" spans="1:14">
      <c r="A37" s="315" t="str">
        <f t="shared" ca="1" si="5"/>
        <v/>
      </c>
      <c r="B37" s="350" t="str">
        <f ca="1">IF(ROWS($1:24)&gt;COUNT(Dong11),"",OFFSET(TH!D$1,SMALL(Dong11,ROWS($1:24)),))</f>
        <v/>
      </c>
      <c r="C37" s="351" t="str">
        <f ca="1">IF(ROWS($1:24)&gt;COUNT(Dong11),"",OFFSET(TH!E$1,SMALL(Dong11,ROWS($1:24)),))</f>
        <v/>
      </c>
      <c r="D37" s="352" t="str">
        <f ca="1">IF(ROWS($1:24)&gt;COUNT(Dong11),"",OFFSET(TH!H$1,SMALL(Dong11,ROWS($1:24)),))</f>
        <v/>
      </c>
      <c r="E37" s="350" t="str">
        <f ca="1">IF(ROWS($1:24)&gt;COUNT(Dong11),"",IF(OFFSET(TH!L$1,SMALL(Dong11,ROWS($1:24)),)=$G$7,OFFSET(TH!M$1,SMALL(Dong11,ROWS($1:24)),),OFFSET(TH!L$1,SMALL(Dong11,ROWS($1:24)),)))</f>
        <v/>
      </c>
      <c r="F37" s="353">
        <f ca="1">IF(ROWS($1:24)&gt;COUNT(Dong11),0,OFFSET(TH!J$1,SMALL(Dong11,ROWS($1:24)),))</f>
        <v>0</v>
      </c>
      <c r="G37" s="353">
        <f ca="1">IF(ROWS($1:24)&gt;COUNT(Dong11),0,IF(MID(OFFSET(TH!D$1,SMALL(Dong11,ROWS($1:24)),),4,1)="N",OFFSET(TH!I$1,SMALL(Dong11,ROWS($1:24)),),0))</f>
        <v>0</v>
      </c>
      <c r="H37" s="354">
        <f t="shared" ca="1" si="6"/>
        <v>0</v>
      </c>
      <c r="I37" s="353">
        <f ca="1">IF(ROWS($1:24)&gt;COUNT(Dong11),0,IF(MID(OFFSET(TH!D$1,SMALL(Dong11,ROWS($1:24)),),4,1)="X",OFFSET(TH!I$1,SMALL(Dong11,ROWS($1:24)),),0))</f>
        <v>0</v>
      </c>
      <c r="J37" s="354">
        <f t="shared" ca="1" si="7"/>
        <v>0</v>
      </c>
      <c r="K37" s="354">
        <f t="shared" ca="1" si="8"/>
        <v>0</v>
      </c>
      <c r="L37" s="354">
        <f t="shared" ca="1" si="9"/>
        <v>0</v>
      </c>
      <c r="M37" s="354"/>
      <c r="N37" s="344"/>
    </row>
    <row r="38" spans="1:14">
      <c r="A38" s="315" t="str">
        <f t="shared" ca="1" si="5"/>
        <v/>
      </c>
      <c r="B38" s="350" t="str">
        <f ca="1">IF(ROWS($1:25)&gt;COUNT(Dong11),"",OFFSET(TH!D$1,SMALL(Dong11,ROWS($1:25)),))</f>
        <v/>
      </c>
      <c r="C38" s="351" t="str">
        <f ca="1">IF(ROWS($1:25)&gt;COUNT(Dong11),"",OFFSET(TH!E$1,SMALL(Dong11,ROWS($1:25)),))</f>
        <v/>
      </c>
      <c r="D38" s="352" t="str">
        <f ca="1">IF(ROWS($1:25)&gt;COUNT(Dong11),"",OFFSET(TH!H$1,SMALL(Dong11,ROWS($1:25)),))</f>
        <v/>
      </c>
      <c r="E38" s="350" t="str">
        <f ca="1">IF(ROWS($1:25)&gt;COUNT(Dong11),"",IF(OFFSET(TH!L$1,SMALL(Dong11,ROWS($1:25)),)=$G$7,OFFSET(TH!M$1,SMALL(Dong11,ROWS($1:25)),),OFFSET(TH!L$1,SMALL(Dong11,ROWS($1:25)),)))</f>
        <v/>
      </c>
      <c r="F38" s="353">
        <f ca="1">IF(ROWS($1:25)&gt;COUNT(Dong11),0,OFFSET(TH!J$1,SMALL(Dong11,ROWS($1:25)),))</f>
        <v>0</v>
      </c>
      <c r="G38" s="353">
        <f ca="1">IF(ROWS($1:25)&gt;COUNT(Dong11),0,IF(MID(OFFSET(TH!D$1,SMALL(Dong11,ROWS($1:25)),),4,1)="N",OFFSET(TH!I$1,SMALL(Dong11,ROWS($1:25)),),0))</f>
        <v>0</v>
      </c>
      <c r="H38" s="354">
        <f t="shared" ca="1" si="6"/>
        <v>0</v>
      </c>
      <c r="I38" s="353">
        <f ca="1">IF(ROWS($1:25)&gt;COUNT(Dong11),0,IF(MID(OFFSET(TH!D$1,SMALL(Dong11,ROWS($1:25)),),4,1)="X",OFFSET(TH!I$1,SMALL(Dong11,ROWS($1:25)),),0))</f>
        <v>0</v>
      </c>
      <c r="J38" s="354">
        <f t="shared" ca="1" si="7"/>
        <v>0</v>
      </c>
      <c r="K38" s="354">
        <f t="shared" ca="1" si="8"/>
        <v>0</v>
      </c>
      <c r="L38" s="354">
        <f t="shared" ca="1" si="9"/>
        <v>0</v>
      </c>
      <c r="M38" s="354"/>
      <c r="N38" s="344"/>
    </row>
    <row r="39" spans="1:14">
      <c r="A39" s="315" t="str">
        <f t="shared" ref="A39:A62" ca="1" si="10">IF(B39="","",A38+1)</f>
        <v/>
      </c>
      <c r="B39" s="350" t="str">
        <f ca="1">IF(ROWS($1:26)&gt;COUNT(Dong11),"",OFFSET(TH!D$1,SMALL(Dong11,ROWS($1:26)),))</f>
        <v/>
      </c>
      <c r="C39" s="351" t="str">
        <f ca="1">IF(ROWS($1:26)&gt;COUNT(Dong11),"",OFFSET(TH!E$1,SMALL(Dong11,ROWS($1:26)),))</f>
        <v/>
      </c>
      <c r="D39" s="352" t="str">
        <f ca="1">IF(ROWS($1:26)&gt;COUNT(Dong11),"",OFFSET(TH!H$1,SMALL(Dong11,ROWS($1:26)),))</f>
        <v/>
      </c>
      <c r="E39" s="350" t="str">
        <f ca="1">IF(ROWS($1:26)&gt;COUNT(Dong11),"",IF(OFFSET(TH!L$1,SMALL(Dong11,ROWS($1:26)),)=$G$7,OFFSET(TH!M$1,SMALL(Dong11,ROWS($1:26)),),OFFSET(TH!L$1,SMALL(Dong11,ROWS($1:26)),)))</f>
        <v/>
      </c>
      <c r="F39" s="353">
        <f ca="1">IF(ROWS($1:26)&gt;COUNT(Dong11),0,OFFSET(TH!J$1,SMALL(Dong11,ROWS($1:26)),))</f>
        <v>0</v>
      </c>
      <c r="G39" s="353">
        <f ca="1">IF(ROWS($1:26)&gt;COUNT(Dong11),0,IF(MID(OFFSET(TH!D$1,SMALL(Dong11,ROWS($1:26)),),4,1)="N",OFFSET(TH!I$1,SMALL(Dong11,ROWS($1:26)),),0))</f>
        <v>0</v>
      </c>
      <c r="H39" s="354">
        <f t="shared" ref="H39:H62" ca="1" si="11">ROUND(F39*G39,0)</f>
        <v>0</v>
      </c>
      <c r="I39" s="353">
        <f ca="1">IF(ROWS($1:26)&gt;COUNT(Dong11),0,IF(MID(OFFSET(TH!D$1,SMALL(Dong11,ROWS($1:26)),),4,1)="X",OFFSET(TH!I$1,SMALL(Dong11,ROWS($1:26)),),0))</f>
        <v>0</v>
      </c>
      <c r="J39" s="354">
        <f t="shared" ref="J39:J62" ca="1" si="12">ROUND(F39*I39,0)</f>
        <v>0</v>
      </c>
      <c r="K39" s="354">
        <f t="shared" ref="K39:K62" ca="1" si="13">IF(D39&lt;&gt;"",K38+G39-I39,0)</f>
        <v>0</v>
      </c>
      <c r="L39" s="354">
        <f t="shared" ref="L39:L62" ca="1" si="14">IF(D39&lt;&gt;"",L38+H39-J39,0)</f>
        <v>0</v>
      </c>
      <c r="M39" s="354"/>
      <c r="N39" s="344"/>
    </row>
    <row r="40" spans="1:14">
      <c r="A40" s="315" t="str">
        <f t="shared" ca="1" si="10"/>
        <v/>
      </c>
      <c r="B40" s="350" t="str">
        <f ca="1">IF(ROWS($1:27)&gt;COUNT(Dong11),"",OFFSET(TH!D$1,SMALL(Dong11,ROWS($1:27)),))</f>
        <v/>
      </c>
      <c r="C40" s="351" t="str">
        <f ca="1">IF(ROWS($1:27)&gt;COUNT(Dong11),"",OFFSET(TH!E$1,SMALL(Dong11,ROWS($1:27)),))</f>
        <v/>
      </c>
      <c r="D40" s="352" t="str">
        <f ca="1">IF(ROWS($1:27)&gt;COUNT(Dong11),"",OFFSET(TH!H$1,SMALL(Dong11,ROWS($1:27)),))</f>
        <v/>
      </c>
      <c r="E40" s="350" t="str">
        <f ca="1">IF(ROWS($1:27)&gt;COUNT(Dong11),"",IF(OFFSET(TH!L$1,SMALL(Dong11,ROWS($1:27)),)=$G$7,OFFSET(TH!M$1,SMALL(Dong11,ROWS($1:27)),),OFFSET(TH!L$1,SMALL(Dong11,ROWS($1:27)),)))</f>
        <v/>
      </c>
      <c r="F40" s="353">
        <f ca="1">IF(ROWS($1:27)&gt;COUNT(Dong11),0,OFFSET(TH!J$1,SMALL(Dong11,ROWS($1:27)),))</f>
        <v>0</v>
      </c>
      <c r="G40" s="353">
        <f ca="1">IF(ROWS($1:27)&gt;COUNT(Dong11),0,IF(MID(OFFSET(TH!D$1,SMALL(Dong11,ROWS($1:27)),),4,1)="N",OFFSET(TH!I$1,SMALL(Dong11,ROWS($1:27)),),0))</f>
        <v>0</v>
      </c>
      <c r="H40" s="354">
        <f t="shared" ca="1" si="11"/>
        <v>0</v>
      </c>
      <c r="I40" s="353">
        <f ca="1">IF(ROWS($1:27)&gt;COUNT(Dong11),0,IF(MID(OFFSET(TH!D$1,SMALL(Dong11,ROWS($1:27)),),4,1)="X",OFFSET(TH!I$1,SMALL(Dong11,ROWS($1:27)),),0))</f>
        <v>0</v>
      </c>
      <c r="J40" s="354">
        <f t="shared" ca="1" si="12"/>
        <v>0</v>
      </c>
      <c r="K40" s="354">
        <f t="shared" ca="1" si="13"/>
        <v>0</v>
      </c>
      <c r="L40" s="354">
        <f t="shared" ca="1" si="14"/>
        <v>0</v>
      </c>
      <c r="M40" s="354"/>
      <c r="N40" s="344"/>
    </row>
    <row r="41" spans="1:14">
      <c r="A41" s="315" t="str">
        <f t="shared" ca="1" si="10"/>
        <v/>
      </c>
      <c r="B41" s="350" t="str">
        <f ca="1">IF(ROWS($1:28)&gt;COUNT(Dong11),"",OFFSET(TH!D$1,SMALL(Dong11,ROWS($1:28)),))</f>
        <v/>
      </c>
      <c r="C41" s="351" t="str">
        <f ca="1">IF(ROWS($1:28)&gt;COUNT(Dong11),"",OFFSET(TH!E$1,SMALL(Dong11,ROWS($1:28)),))</f>
        <v/>
      </c>
      <c r="D41" s="352" t="str">
        <f ca="1">IF(ROWS($1:28)&gt;COUNT(Dong11),"",OFFSET(TH!H$1,SMALL(Dong11,ROWS($1:28)),))</f>
        <v/>
      </c>
      <c r="E41" s="350" t="str">
        <f ca="1">IF(ROWS($1:28)&gt;COUNT(Dong11),"",IF(OFFSET(TH!L$1,SMALL(Dong11,ROWS($1:28)),)=$G$7,OFFSET(TH!M$1,SMALL(Dong11,ROWS($1:28)),),OFFSET(TH!L$1,SMALL(Dong11,ROWS($1:28)),)))</f>
        <v/>
      </c>
      <c r="F41" s="353">
        <f ca="1">IF(ROWS($1:28)&gt;COUNT(Dong11),0,OFFSET(TH!J$1,SMALL(Dong11,ROWS($1:28)),))</f>
        <v>0</v>
      </c>
      <c r="G41" s="353">
        <f ca="1">IF(ROWS($1:28)&gt;COUNT(Dong11),0,IF(MID(OFFSET(TH!D$1,SMALL(Dong11,ROWS($1:28)),),4,1)="N",OFFSET(TH!I$1,SMALL(Dong11,ROWS($1:28)),),0))</f>
        <v>0</v>
      </c>
      <c r="H41" s="354">
        <f t="shared" ca="1" si="11"/>
        <v>0</v>
      </c>
      <c r="I41" s="353">
        <f ca="1">IF(ROWS($1:28)&gt;COUNT(Dong11),0,IF(MID(OFFSET(TH!D$1,SMALL(Dong11,ROWS($1:28)),),4,1)="X",OFFSET(TH!I$1,SMALL(Dong11,ROWS($1:28)),),0))</f>
        <v>0</v>
      </c>
      <c r="J41" s="354">
        <f t="shared" ca="1" si="12"/>
        <v>0</v>
      </c>
      <c r="K41" s="354">
        <f t="shared" ca="1" si="13"/>
        <v>0</v>
      </c>
      <c r="L41" s="354">
        <f t="shared" ca="1" si="14"/>
        <v>0</v>
      </c>
      <c r="M41" s="354"/>
      <c r="N41" s="344"/>
    </row>
    <row r="42" spans="1:14">
      <c r="A42" s="315" t="str">
        <f t="shared" ca="1" si="10"/>
        <v/>
      </c>
      <c r="B42" s="350" t="str">
        <f ca="1">IF(ROWS($1:29)&gt;COUNT(Dong11),"",OFFSET(TH!D$1,SMALL(Dong11,ROWS($1:29)),))</f>
        <v/>
      </c>
      <c r="C42" s="351" t="str">
        <f ca="1">IF(ROWS($1:29)&gt;COUNT(Dong11),"",OFFSET(TH!E$1,SMALL(Dong11,ROWS($1:29)),))</f>
        <v/>
      </c>
      <c r="D42" s="352" t="str">
        <f ca="1">IF(ROWS($1:29)&gt;COUNT(Dong11),"",OFFSET(TH!H$1,SMALL(Dong11,ROWS($1:29)),))</f>
        <v/>
      </c>
      <c r="E42" s="350" t="str">
        <f ca="1">IF(ROWS($1:29)&gt;COUNT(Dong11),"",IF(OFFSET(TH!L$1,SMALL(Dong11,ROWS($1:29)),)=$G$7,OFFSET(TH!M$1,SMALL(Dong11,ROWS($1:29)),),OFFSET(TH!L$1,SMALL(Dong11,ROWS($1:29)),)))</f>
        <v/>
      </c>
      <c r="F42" s="353">
        <f ca="1">IF(ROWS($1:29)&gt;COUNT(Dong11),0,OFFSET(TH!J$1,SMALL(Dong11,ROWS($1:29)),))</f>
        <v>0</v>
      </c>
      <c r="G42" s="353">
        <f ca="1">IF(ROWS($1:29)&gt;COUNT(Dong11),0,IF(MID(OFFSET(TH!D$1,SMALL(Dong11,ROWS($1:29)),),4,1)="N",OFFSET(TH!I$1,SMALL(Dong11,ROWS($1:29)),),0))</f>
        <v>0</v>
      </c>
      <c r="H42" s="354">
        <f t="shared" ca="1" si="11"/>
        <v>0</v>
      </c>
      <c r="I42" s="353">
        <f ca="1">IF(ROWS($1:29)&gt;COUNT(Dong11),0,IF(MID(OFFSET(TH!D$1,SMALL(Dong11,ROWS($1:29)),),4,1)="X",OFFSET(TH!I$1,SMALL(Dong11,ROWS($1:29)),),0))</f>
        <v>0</v>
      </c>
      <c r="J42" s="354">
        <f t="shared" ca="1" si="12"/>
        <v>0</v>
      </c>
      <c r="K42" s="354">
        <f t="shared" ca="1" si="13"/>
        <v>0</v>
      </c>
      <c r="L42" s="354">
        <f t="shared" ca="1" si="14"/>
        <v>0</v>
      </c>
      <c r="M42" s="354"/>
      <c r="N42" s="344"/>
    </row>
    <row r="43" spans="1:14">
      <c r="A43" s="315" t="str">
        <f t="shared" ca="1" si="10"/>
        <v/>
      </c>
      <c r="B43" s="350" t="str">
        <f ca="1">IF(ROWS($1:30)&gt;COUNT(Dong11),"",OFFSET(TH!D$1,SMALL(Dong11,ROWS($1:30)),))</f>
        <v/>
      </c>
      <c r="C43" s="351" t="str">
        <f ca="1">IF(ROWS($1:30)&gt;COUNT(Dong11),"",OFFSET(TH!E$1,SMALL(Dong11,ROWS($1:30)),))</f>
        <v/>
      </c>
      <c r="D43" s="352" t="str">
        <f ca="1">IF(ROWS($1:30)&gt;COUNT(Dong11),"",OFFSET(TH!H$1,SMALL(Dong11,ROWS($1:30)),))</f>
        <v/>
      </c>
      <c r="E43" s="350" t="str">
        <f ca="1">IF(ROWS($1:30)&gt;COUNT(Dong11),"",IF(OFFSET(TH!L$1,SMALL(Dong11,ROWS($1:30)),)=$G$7,OFFSET(TH!M$1,SMALL(Dong11,ROWS($1:30)),),OFFSET(TH!L$1,SMALL(Dong11,ROWS($1:30)),)))</f>
        <v/>
      </c>
      <c r="F43" s="353">
        <f ca="1">IF(ROWS($1:30)&gt;COUNT(Dong11),0,OFFSET(TH!J$1,SMALL(Dong11,ROWS($1:30)),))</f>
        <v>0</v>
      </c>
      <c r="G43" s="353">
        <f ca="1">IF(ROWS($1:30)&gt;COUNT(Dong11),0,IF(MID(OFFSET(TH!D$1,SMALL(Dong11,ROWS($1:30)),),4,1)="N",OFFSET(TH!I$1,SMALL(Dong11,ROWS($1:30)),),0))</f>
        <v>0</v>
      </c>
      <c r="H43" s="354">
        <f t="shared" ca="1" si="11"/>
        <v>0</v>
      </c>
      <c r="I43" s="353">
        <f ca="1">IF(ROWS($1:30)&gt;COUNT(Dong11),0,IF(MID(OFFSET(TH!D$1,SMALL(Dong11,ROWS($1:30)),),4,1)="X",OFFSET(TH!I$1,SMALL(Dong11,ROWS($1:30)),),0))</f>
        <v>0</v>
      </c>
      <c r="J43" s="354">
        <f t="shared" ca="1" si="12"/>
        <v>0</v>
      </c>
      <c r="K43" s="354">
        <f t="shared" ca="1" si="13"/>
        <v>0</v>
      </c>
      <c r="L43" s="354">
        <f t="shared" ca="1" si="14"/>
        <v>0</v>
      </c>
      <c r="M43" s="354"/>
      <c r="N43" s="344"/>
    </row>
    <row r="44" spans="1:14">
      <c r="A44" s="315" t="str">
        <f t="shared" ca="1" si="10"/>
        <v/>
      </c>
      <c r="B44" s="350" t="str">
        <f ca="1">IF(ROWS($1:31)&gt;COUNT(Dong11),"",OFFSET(TH!D$1,SMALL(Dong11,ROWS($1:31)),))</f>
        <v/>
      </c>
      <c r="C44" s="351" t="str">
        <f ca="1">IF(ROWS($1:31)&gt;COUNT(Dong11),"",OFFSET(TH!E$1,SMALL(Dong11,ROWS($1:31)),))</f>
        <v/>
      </c>
      <c r="D44" s="352" t="str">
        <f ca="1">IF(ROWS($1:31)&gt;COUNT(Dong11),"",OFFSET(TH!H$1,SMALL(Dong11,ROWS($1:31)),))</f>
        <v/>
      </c>
      <c r="E44" s="350" t="str">
        <f ca="1">IF(ROWS($1:31)&gt;COUNT(Dong11),"",IF(OFFSET(TH!L$1,SMALL(Dong11,ROWS($1:31)),)=$G$7,OFFSET(TH!M$1,SMALL(Dong11,ROWS($1:31)),),OFFSET(TH!L$1,SMALL(Dong11,ROWS($1:31)),)))</f>
        <v/>
      </c>
      <c r="F44" s="353">
        <f ca="1">IF(ROWS($1:31)&gt;COUNT(Dong11),0,OFFSET(TH!J$1,SMALL(Dong11,ROWS($1:31)),))</f>
        <v>0</v>
      </c>
      <c r="G44" s="353">
        <f ca="1">IF(ROWS($1:31)&gt;COUNT(Dong11),0,IF(MID(OFFSET(TH!D$1,SMALL(Dong11,ROWS($1:31)),),4,1)="N",OFFSET(TH!I$1,SMALL(Dong11,ROWS($1:31)),),0))</f>
        <v>0</v>
      </c>
      <c r="H44" s="354">
        <f t="shared" ca="1" si="11"/>
        <v>0</v>
      </c>
      <c r="I44" s="353">
        <f ca="1">IF(ROWS($1:31)&gt;COUNT(Dong11),0,IF(MID(OFFSET(TH!D$1,SMALL(Dong11,ROWS($1:31)),),4,1)="X",OFFSET(TH!I$1,SMALL(Dong11,ROWS($1:31)),),0))</f>
        <v>0</v>
      </c>
      <c r="J44" s="354">
        <f t="shared" ca="1" si="12"/>
        <v>0</v>
      </c>
      <c r="K44" s="354">
        <f t="shared" ca="1" si="13"/>
        <v>0</v>
      </c>
      <c r="L44" s="354">
        <f t="shared" ca="1" si="14"/>
        <v>0</v>
      </c>
      <c r="M44" s="354"/>
      <c r="N44" s="344"/>
    </row>
    <row r="45" spans="1:14">
      <c r="A45" s="315" t="str">
        <f t="shared" ca="1" si="10"/>
        <v/>
      </c>
      <c r="B45" s="350" t="str">
        <f ca="1">IF(ROWS($1:32)&gt;COUNT(Dong11),"",OFFSET(TH!D$1,SMALL(Dong11,ROWS($1:32)),))</f>
        <v/>
      </c>
      <c r="C45" s="351" t="str">
        <f ca="1">IF(ROWS($1:32)&gt;COUNT(Dong11),"",OFFSET(TH!E$1,SMALL(Dong11,ROWS($1:32)),))</f>
        <v/>
      </c>
      <c r="D45" s="352" t="str">
        <f ca="1">IF(ROWS($1:32)&gt;COUNT(Dong11),"",OFFSET(TH!H$1,SMALL(Dong11,ROWS($1:32)),))</f>
        <v/>
      </c>
      <c r="E45" s="350" t="str">
        <f ca="1">IF(ROWS($1:32)&gt;COUNT(Dong11),"",IF(OFFSET(TH!L$1,SMALL(Dong11,ROWS($1:32)),)=$G$7,OFFSET(TH!M$1,SMALL(Dong11,ROWS($1:32)),),OFFSET(TH!L$1,SMALL(Dong11,ROWS($1:32)),)))</f>
        <v/>
      </c>
      <c r="F45" s="353">
        <f ca="1">IF(ROWS($1:32)&gt;COUNT(Dong11),0,OFFSET(TH!J$1,SMALL(Dong11,ROWS($1:32)),))</f>
        <v>0</v>
      </c>
      <c r="G45" s="353">
        <f ca="1">IF(ROWS($1:32)&gt;COUNT(Dong11),0,IF(MID(OFFSET(TH!D$1,SMALL(Dong11,ROWS($1:32)),),4,1)="N",OFFSET(TH!I$1,SMALL(Dong11,ROWS($1:32)),),0))</f>
        <v>0</v>
      </c>
      <c r="H45" s="354">
        <f t="shared" ca="1" si="11"/>
        <v>0</v>
      </c>
      <c r="I45" s="353">
        <f ca="1">IF(ROWS($1:32)&gt;COUNT(Dong11),0,IF(MID(OFFSET(TH!D$1,SMALL(Dong11,ROWS($1:32)),),4,1)="X",OFFSET(TH!I$1,SMALL(Dong11,ROWS($1:32)),),0))</f>
        <v>0</v>
      </c>
      <c r="J45" s="354">
        <f t="shared" ca="1" si="12"/>
        <v>0</v>
      </c>
      <c r="K45" s="354">
        <f t="shared" ca="1" si="13"/>
        <v>0</v>
      </c>
      <c r="L45" s="354">
        <f t="shared" ca="1" si="14"/>
        <v>0</v>
      </c>
      <c r="M45" s="354"/>
      <c r="N45" s="344"/>
    </row>
    <row r="46" spans="1:14">
      <c r="A46" s="315" t="str">
        <f t="shared" ca="1" si="10"/>
        <v/>
      </c>
      <c r="B46" s="350" t="str">
        <f ca="1">IF(ROWS($1:33)&gt;COUNT(Dong11),"",OFFSET(TH!D$1,SMALL(Dong11,ROWS($1:33)),))</f>
        <v/>
      </c>
      <c r="C46" s="351" t="str">
        <f ca="1">IF(ROWS($1:33)&gt;COUNT(Dong11),"",OFFSET(TH!E$1,SMALL(Dong11,ROWS($1:33)),))</f>
        <v/>
      </c>
      <c r="D46" s="352" t="str">
        <f ca="1">IF(ROWS($1:33)&gt;COUNT(Dong11),"",OFFSET(TH!H$1,SMALL(Dong11,ROWS($1:33)),))</f>
        <v/>
      </c>
      <c r="E46" s="350" t="str">
        <f ca="1">IF(ROWS($1:33)&gt;COUNT(Dong11),"",IF(OFFSET(TH!L$1,SMALL(Dong11,ROWS($1:33)),)=$G$7,OFFSET(TH!M$1,SMALL(Dong11,ROWS($1:33)),),OFFSET(TH!L$1,SMALL(Dong11,ROWS($1:33)),)))</f>
        <v/>
      </c>
      <c r="F46" s="353">
        <f ca="1">IF(ROWS($1:33)&gt;COUNT(Dong11),0,OFFSET(TH!J$1,SMALL(Dong11,ROWS($1:33)),))</f>
        <v>0</v>
      </c>
      <c r="G46" s="353">
        <f ca="1">IF(ROWS($1:33)&gt;COUNT(Dong11),0,IF(MID(OFFSET(TH!D$1,SMALL(Dong11,ROWS($1:33)),),4,1)="N",OFFSET(TH!I$1,SMALL(Dong11,ROWS($1:33)),),0))</f>
        <v>0</v>
      </c>
      <c r="H46" s="354">
        <f t="shared" ca="1" si="11"/>
        <v>0</v>
      </c>
      <c r="I46" s="353">
        <f ca="1">IF(ROWS($1:33)&gt;COUNT(Dong11),0,IF(MID(OFFSET(TH!D$1,SMALL(Dong11,ROWS($1:33)),),4,1)="X",OFFSET(TH!I$1,SMALL(Dong11,ROWS($1:33)),),0))</f>
        <v>0</v>
      </c>
      <c r="J46" s="354">
        <f t="shared" ca="1" si="12"/>
        <v>0</v>
      </c>
      <c r="K46" s="354">
        <f t="shared" ca="1" si="13"/>
        <v>0</v>
      </c>
      <c r="L46" s="354">
        <f t="shared" ca="1" si="14"/>
        <v>0</v>
      </c>
      <c r="M46" s="354"/>
      <c r="N46" s="344"/>
    </row>
    <row r="47" spans="1:14">
      <c r="A47" s="315" t="str">
        <f t="shared" ca="1" si="10"/>
        <v/>
      </c>
      <c r="B47" s="350" t="str">
        <f ca="1">IF(ROWS($1:34)&gt;COUNT(Dong11),"",OFFSET(TH!D$1,SMALL(Dong11,ROWS($1:34)),))</f>
        <v/>
      </c>
      <c r="C47" s="351" t="str">
        <f ca="1">IF(ROWS($1:34)&gt;COUNT(Dong11),"",OFFSET(TH!E$1,SMALL(Dong11,ROWS($1:34)),))</f>
        <v/>
      </c>
      <c r="D47" s="352" t="str">
        <f ca="1">IF(ROWS($1:34)&gt;COUNT(Dong11),"",OFFSET(TH!H$1,SMALL(Dong11,ROWS($1:34)),))</f>
        <v/>
      </c>
      <c r="E47" s="350" t="str">
        <f ca="1">IF(ROWS($1:34)&gt;COUNT(Dong11),"",IF(OFFSET(TH!L$1,SMALL(Dong11,ROWS($1:34)),)=$G$7,OFFSET(TH!M$1,SMALL(Dong11,ROWS($1:34)),),OFFSET(TH!L$1,SMALL(Dong11,ROWS($1:34)),)))</f>
        <v/>
      </c>
      <c r="F47" s="353">
        <f ca="1">IF(ROWS($1:34)&gt;COUNT(Dong11),0,OFFSET(TH!J$1,SMALL(Dong11,ROWS($1:34)),))</f>
        <v>0</v>
      </c>
      <c r="G47" s="353">
        <f ca="1">IF(ROWS($1:34)&gt;COUNT(Dong11),0,IF(MID(OFFSET(TH!D$1,SMALL(Dong11,ROWS($1:34)),),4,1)="N",OFFSET(TH!I$1,SMALL(Dong11,ROWS($1:34)),),0))</f>
        <v>0</v>
      </c>
      <c r="H47" s="354">
        <f t="shared" ca="1" si="11"/>
        <v>0</v>
      </c>
      <c r="I47" s="353">
        <f ca="1">IF(ROWS($1:34)&gt;COUNT(Dong11),0,IF(MID(OFFSET(TH!D$1,SMALL(Dong11,ROWS($1:34)),),4,1)="X",OFFSET(TH!I$1,SMALL(Dong11,ROWS($1:34)),),0))</f>
        <v>0</v>
      </c>
      <c r="J47" s="354">
        <f t="shared" ca="1" si="12"/>
        <v>0</v>
      </c>
      <c r="K47" s="354">
        <f t="shared" ca="1" si="13"/>
        <v>0</v>
      </c>
      <c r="L47" s="354">
        <f t="shared" ca="1" si="14"/>
        <v>0</v>
      </c>
      <c r="M47" s="354"/>
      <c r="N47" s="344"/>
    </row>
    <row r="48" spans="1:14">
      <c r="A48" s="315" t="str">
        <f t="shared" ca="1" si="10"/>
        <v/>
      </c>
      <c r="B48" s="350" t="str">
        <f ca="1">IF(ROWS($1:35)&gt;COUNT(Dong11),"",OFFSET(TH!D$1,SMALL(Dong11,ROWS($1:35)),))</f>
        <v/>
      </c>
      <c r="C48" s="351" t="str">
        <f ca="1">IF(ROWS($1:35)&gt;COUNT(Dong11),"",OFFSET(TH!E$1,SMALL(Dong11,ROWS($1:35)),))</f>
        <v/>
      </c>
      <c r="D48" s="352" t="str">
        <f ca="1">IF(ROWS($1:35)&gt;COUNT(Dong11),"",OFFSET(TH!H$1,SMALL(Dong11,ROWS($1:35)),))</f>
        <v/>
      </c>
      <c r="E48" s="350" t="str">
        <f ca="1">IF(ROWS($1:35)&gt;COUNT(Dong11),"",IF(OFFSET(TH!L$1,SMALL(Dong11,ROWS($1:35)),)=$G$7,OFFSET(TH!M$1,SMALL(Dong11,ROWS($1:35)),),OFFSET(TH!L$1,SMALL(Dong11,ROWS($1:35)),)))</f>
        <v/>
      </c>
      <c r="F48" s="353">
        <f ca="1">IF(ROWS($1:35)&gt;COUNT(Dong11),0,OFFSET(TH!J$1,SMALL(Dong11,ROWS($1:35)),))</f>
        <v>0</v>
      </c>
      <c r="G48" s="353">
        <f ca="1">IF(ROWS($1:35)&gt;COUNT(Dong11),0,IF(MID(OFFSET(TH!D$1,SMALL(Dong11,ROWS($1:35)),),4,1)="N",OFFSET(TH!I$1,SMALL(Dong11,ROWS($1:35)),),0))</f>
        <v>0</v>
      </c>
      <c r="H48" s="354">
        <f t="shared" ca="1" si="11"/>
        <v>0</v>
      </c>
      <c r="I48" s="353">
        <f ca="1">IF(ROWS($1:35)&gt;COUNT(Dong11),0,IF(MID(OFFSET(TH!D$1,SMALL(Dong11,ROWS($1:35)),),4,1)="X",OFFSET(TH!I$1,SMALL(Dong11,ROWS($1:35)),),0))</f>
        <v>0</v>
      </c>
      <c r="J48" s="354">
        <f t="shared" ca="1" si="12"/>
        <v>0</v>
      </c>
      <c r="K48" s="354">
        <f t="shared" ca="1" si="13"/>
        <v>0</v>
      </c>
      <c r="L48" s="354">
        <f t="shared" ca="1" si="14"/>
        <v>0</v>
      </c>
      <c r="M48" s="354"/>
      <c r="N48" s="344"/>
    </row>
    <row r="49" spans="1:14">
      <c r="A49" s="315" t="str">
        <f t="shared" ca="1" si="10"/>
        <v/>
      </c>
      <c r="B49" s="350" t="str">
        <f ca="1">IF(ROWS($1:36)&gt;COUNT(Dong11),"",OFFSET(TH!D$1,SMALL(Dong11,ROWS($1:36)),))</f>
        <v/>
      </c>
      <c r="C49" s="351" t="str">
        <f ca="1">IF(ROWS($1:36)&gt;COUNT(Dong11),"",OFFSET(TH!E$1,SMALL(Dong11,ROWS($1:36)),))</f>
        <v/>
      </c>
      <c r="D49" s="352" t="str">
        <f ca="1">IF(ROWS($1:36)&gt;COUNT(Dong11),"",OFFSET(TH!H$1,SMALL(Dong11,ROWS($1:36)),))</f>
        <v/>
      </c>
      <c r="E49" s="350" t="str">
        <f ca="1">IF(ROWS($1:36)&gt;COUNT(Dong11),"",IF(OFFSET(TH!L$1,SMALL(Dong11,ROWS($1:36)),)=$G$7,OFFSET(TH!M$1,SMALL(Dong11,ROWS($1:36)),),OFFSET(TH!L$1,SMALL(Dong11,ROWS($1:36)),)))</f>
        <v/>
      </c>
      <c r="F49" s="353">
        <f ca="1">IF(ROWS($1:36)&gt;COUNT(Dong11),0,OFFSET(TH!J$1,SMALL(Dong11,ROWS($1:36)),))</f>
        <v>0</v>
      </c>
      <c r="G49" s="353">
        <f ca="1">IF(ROWS($1:36)&gt;COUNT(Dong11),0,IF(MID(OFFSET(TH!D$1,SMALL(Dong11,ROWS($1:36)),),4,1)="N",OFFSET(TH!I$1,SMALL(Dong11,ROWS($1:36)),),0))</f>
        <v>0</v>
      </c>
      <c r="H49" s="354">
        <f t="shared" ca="1" si="11"/>
        <v>0</v>
      </c>
      <c r="I49" s="353">
        <f ca="1">IF(ROWS($1:36)&gt;COUNT(Dong11),0,IF(MID(OFFSET(TH!D$1,SMALL(Dong11,ROWS($1:36)),),4,1)="X",OFFSET(TH!I$1,SMALL(Dong11,ROWS($1:36)),),0))</f>
        <v>0</v>
      </c>
      <c r="J49" s="354">
        <f t="shared" ca="1" si="12"/>
        <v>0</v>
      </c>
      <c r="K49" s="354">
        <f t="shared" ca="1" si="13"/>
        <v>0</v>
      </c>
      <c r="L49" s="354">
        <f t="shared" ca="1" si="14"/>
        <v>0</v>
      </c>
      <c r="M49" s="354"/>
      <c r="N49" s="344"/>
    </row>
    <row r="50" spans="1:14">
      <c r="A50" s="315" t="str">
        <f t="shared" ca="1" si="10"/>
        <v/>
      </c>
      <c r="B50" s="350" t="str">
        <f ca="1">IF(ROWS($1:37)&gt;COUNT(Dong11),"",OFFSET(TH!D$1,SMALL(Dong11,ROWS($1:37)),))</f>
        <v/>
      </c>
      <c r="C50" s="351" t="str">
        <f ca="1">IF(ROWS($1:37)&gt;COUNT(Dong11),"",OFFSET(TH!E$1,SMALL(Dong11,ROWS($1:37)),))</f>
        <v/>
      </c>
      <c r="D50" s="352" t="str">
        <f ca="1">IF(ROWS($1:37)&gt;COUNT(Dong11),"",OFFSET(TH!H$1,SMALL(Dong11,ROWS($1:37)),))</f>
        <v/>
      </c>
      <c r="E50" s="350" t="str">
        <f ca="1">IF(ROWS($1:37)&gt;COUNT(Dong11),"",IF(OFFSET(TH!L$1,SMALL(Dong11,ROWS($1:37)),)=$G$7,OFFSET(TH!M$1,SMALL(Dong11,ROWS($1:37)),),OFFSET(TH!L$1,SMALL(Dong11,ROWS($1:37)),)))</f>
        <v/>
      </c>
      <c r="F50" s="353">
        <f ca="1">IF(ROWS($1:37)&gt;COUNT(Dong11),0,OFFSET(TH!J$1,SMALL(Dong11,ROWS($1:37)),))</f>
        <v>0</v>
      </c>
      <c r="G50" s="353">
        <f ca="1">IF(ROWS($1:37)&gt;COUNT(Dong11),0,IF(MID(OFFSET(TH!D$1,SMALL(Dong11,ROWS($1:37)),),4,1)="N",OFFSET(TH!I$1,SMALL(Dong11,ROWS($1:37)),),0))</f>
        <v>0</v>
      </c>
      <c r="H50" s="354">
        <f t="shared" ca="1" si="11"/>
        <v>0</v>
      </c>
      <c r="I50" s="353">
        <f ca="1">IF(ROWS($1:37)&gt;COUNT(Dong11),0,IF(MID(OFFSET(TH!D$1,SMALL(Dong11,ROWS($1:37)),),4,1)="X",OFFSET(TH!I$1,SMALL(Dong11,ROWS($1:37)),),0))</f>
        <v>0</v>
      </c>
      <c r="J50" s="354">
        <f t="shared" ca="1" si="12"/>
        <v>0</v>
      </c>
      <c r="K50" s="354">
        <f t="shared" ca="1" si="13"/>
        <v>0</v>
      </c>
      <c r="L50" s="354">
        <f t="shared" ca="1" si="14"/>
        <v>0</v>
      </c>
      <c r="M50" s="354"/>
      <c r="N50" s="344"/>
    </row>
    <row r="51" spans="1:14">
      <c r="A51" s="315" t="str">
        <f t="shared" ca="1" si="10"/>
        <v/>
      </c>
      <c r="B51" s="350" t="str">
        <f ca="1">IF(ROWS($1:38)&gt;COUNT(Dong11),"",OFFSET(TH!D$1,SMALL(Dong11,ROWS($1:38)),))</f>
        <v/>
      </c>
      <c r="C51" s="351" t="str">
        <f ca="1">IF(ROWS($1:38)&gt;COUNT(Dong11),"",OFFSET(TH!E$1,SMALL(Dong11,ROWS($1:38)),))</f>
        <v/>
      </c>
      <c r="D51" s="352" t="str">
        <f ca="1">IF(ROWS($1:38)&gt;COUNT(Dong11),"",OFFSET(TH!H$1,SMALL(Dong11,ROWS($1:38)),))</f>
        <v/>
      </c>
      <c r="E51" s="350" t="str">
        <f ca="1">IF(ROWS($1:38)&gt;COUNT(Dong11),"",IF(OFFSET(TH!L$1,SMALL(Dong11,ROWS($1:38)),)=$G$7,OFFSET(TH!M$1,SMALL(Dong11,ROWS($1:38)),),OFFSET(TH!L$1,SMALL(Dong11,ROWS($1:38)),)))</f>
        <v/>
      </c>
      <c r="F51" s="353">
        <f ca="1">IF(ROWS($1:38)&gt;COUNT(Dong11),0,OFFSET(TH!J$1,SMALL(Dong11,ROWS($1:38)),))</f>
        <v>0</v>
      </c>
      <c r="G51" s="353">
        <f ca="1">IF(ROWS($1:38)&gt;COUNT(Dong11),0,IF(MID(OFFSET(TH!D$1,SMALL(Dong11,ROWS($1:38)),),4,1)="N",OFFSET(TH!I$1,SMALL(Dong11,ROWS($1:38)),),0))</f>
        <v>0</v>
      </c>
      <c r="H51" s="354">
        <f t="shared" ca="1" si="11"/>
        <v>0</v>
      </c>
      <c r="I51" s="353">
        <f ca="1">IF(ROWS($1:38)&gt;COUNT(Dong11),0,IF(MID(OFFSET(TH!D$1,SMALL(Dong11,ROWS($1:38)),),4,1)="X",OFFSET(TH!I$1,SMALL(Dong11,ROWS($1:38)),),0))</f>
        <v>0</v>
      </c>
      <c r="J51" s="354">
        <f t="shared" ca="1" si="12"/>
        <v>0</v>
      </c>
      <c r="K51" s="354">
        <f t="shared" ca="1" si="13"/>
        <v>0</v>
      </c>
      <c r="L51" s="354">
        <f t="shared" ca="1" si="14"/>
        <v>0</v>
      </c>
      <c r="M51" s="354"/>
      <c r="N51" s="344"/>
    </row>
    <row r="52" spans="1:14">
      <c r="A52" s="315" t="str">
        <f t="shared" ca="1" si="10"/>
        <v/>
      </c>
      <c r="B52" s="350" t="str">
        <f ca="1">IF(ROWS($1:39)&gt;COUNT(Dong11),"",OFFSET(TH!D$1,SMALL(Dong11,ROWS($1:39)),))</f>
        <v/>
      </c>
      <c r="C52" s="351" t="str">
        <f ca="1">IF(ROWS($1:39)&gt;COUNT(Dong11),"",OFFSET(TH!E$1,SMALL(Dong11,ROWS($1:39)),))</f>
        <v/>
      </c>
      <c r="D52" s="352" t="str">
        <f ca="1">IF(ROWS($1:39)&gt;COUNT(Dong11),"",OFFSET(TH!H$1,SMALL(Dong11,ROWS($1:39)),))</f>
        <v/>
      </c>
      <c r="E52" s="350" t="str">
        <f ca="1">IF(ROWS($1:39)&gt;COUNT(Dong11),"",IF(OFFSET(TH!L$1,SMALL(Dong11,ROWS($1:39)),)=$G$7,OFFSET(TH!M$1,SMALL(Dong11,ROWS($1:39)),),OFFSET(TH!L$1,SMALL(Dong11,ROWS($1:39)),)))</f>
        <v/>
      </c>
      <c r="F52" s="353">
        <f ca="1">IF(ROWS($1:39)&gt;COUNT(Dong11),0,OFFSET(TH!J$1,SMALL(Dong11,ROWS($1:39)),))</f>
        <v>0</v>
      </c>
      <c r="G52" s="353">
        <f ca="1">IF(ROWS($1:39)&gt;COUNT(Dong11),0,IF(MID(OFFSET(TH!D$1,SMALL(Dong11,ROWS($1:39)),),4,1)="N",OFFSET(TH!I$1,SMALL(Dong11,ROWS($1:39)),),0))</f>
        <v>0</v>
      </c>
      <c r="H52" s="354">
        <f t="shared" ca="1" si="11"/>
        <v>0</v>
      </c>
      <c r="I52" s="353">
        <f ca="1">IF(ROWS($1:39)&gt;COUNT(Dong11),0,IF(MID(OFFSET(TH!D$1,SMALL(Dong11,ROWS($1:39)),),4,1)="X",OFFSET(TH!I$1,SMALL(Dong11,ROWS($1:39)),),0))</f>
        <v>0</v>
      </c>
      <c r="J52" s="354">
        <f t="shared" ca="1" si="12"/>
        <v>0</v>
      </c>
      <c r="K52" s="354">
        <f t="shared" ca="1" si="13"/>
        <v>0</v>
      </c>
      <c r="L52" s="354">
        <f t="shared" ca="1" si="14"/>
        <v>0</v>
      </c>
      <c r="M52" s="354"/>
      <c r="N52" s="344"/>
    </row>
    <row r="53" spans="1:14">
      <c r="A53" s="315" t="str">
        <f t="shared" ca="1" si="10"/>
        <v/>
      </c>
      <c r="B53" s="350" t="str">
        <f ca="1">IF(ROWS($1:40)&gt;COUNT(Dong11),"",OFFSET(TH!D$1,SMALL(Dong11,ROWS($1:40)),))</f>
        <v/>
      </c>
      <c r="C53" s="351" t="str">
        <f ca="1">IF(ROWS($1:40)&gt;COUNT(Dong11),"",OFFSET(TH!E$1,SMALL(Dong11,ROWS($1:40)),))</f>
        <v/>
      </c>
      <c r="D53" s="352" t="str">
        <f ca="1">IF(ROWS($1:40)&gt;COUNT(Dong11),"",OFFSET(TH!H$1,SMALL(Dong11,ROWS($1:40)),))</f>
        <v/>
      </c>
      <c r="E53" s="350" t="str">
        <f ca="1">IF(ROWS($1:40)&gt;COUNT(Dong11),"",IF(OFFSET(TH!L$1,SMALL(Dong11,ROWS($1:40)),)=$G$7,OFFSET(TH!M$1,SMALL(Dong11,ROWS($1:40)),),OFFSET(TH!L$1,SMALL(Dong11,ROWS($1:40)),)))</f>
        <v/>
      </c>
      <c r="F53" s="353">
        <f ca="1">IF(ROWS($1:40)&gt;COUNT(Dong11),0,OFFSET(TH!J$1,SMALL(Dong11,ROWS($1:40)),))</f>
        <v>0</v>
      </c>
      <c r="G53" s="353">
        <f ca="1">IF(ROWS($1:40)&gt;COUNT(Dong11),0,IF(MID(OFFSET(TH!D$1,SMALL(Dong11,ROWS($1:40)),),4,1)="N",OFFSET(TH!I$1,SMALL(Dong11,ROWS($1:40)),),0))</f>
        <v>0</v>
      </c>
      <c r="H53" s="354">
        <f t="shared" ca="1" si="11"/>
        <v>0</v>
      </c>
      <c r="I53" s="353">
        <f ca="1">IF(ROWS($1:40)&gt;COUNT(Dong11),0,IF(MID(OFFSET(TH!D$1,SMALL(Dong11,ROWS($1:40)),),4,1)="X",OFFSET(TH!I$1,SMALL(Dong11,ROWS($1:40)),),0))</f>
        <v>0</v>
      </c>
      <c r="J53" s="354">
        <f t="shared" ca="1" si="12"/>
        <v>0</v>
      </c>
      <c r="K53" s="354">
        <f t="shared" ca="1" si="13"/>
        <v>0</v>
      </c>
      <c r="L53" s="354">
        <f t="shared" ca="1" si="14"/>
        <v>0</v>
      </c>
      <c r="M53" s="354"/>
      <c r="N53" s="344"/>
    </row>
    <row r="54" spans="1:14">
      <c r="A54" s="315" t="str">
        <f t="shared" ca="1" si="10"/>
        <v/>
      </c>
      <c r="B54" s="350" t="str">
        <f ca="1">IF(ROWS($1:41)&gt;COUNT(Dong11),"",OFFSET(TH!D$1,SMALL(Dong11,ROWS($1:41)),))</f>
        <v/>
      </c>
      <c r="C54" s="351" t="str">
        <f ca="1">IF(ROWS($1:41)&gt;COUNT(Dong11),"",OFFSET(TH!E$1,SMALL(Dong11,ROWS($1:41)),))</f>
        <v/>
      </c>
      <c r="D54" s="352" t="str">
        <f ca="1">IF(ROWS($1:41)&gt;COUNT(Dong11),"",OFFSET(TH!H$1,SMALL(Dong11,ROWS($1:41)),))</f>
        <v/>
      </c>
      <c r="E54" s="350" t="str">
        <f ca="1">IF(ROWS($1:41)&gt;COUNT(Dong11),"",IF(OFFSET(TH!L$1,SMALL(Dong11,ROWS($1:41)),)=$G$7,OFFSET(TH!M$1,SMALL(Dong11,ROWS($1:41)),),OFFSET(TH!L$1,SMALL(Dong11,ROWS($1:41)),)))</f>
        <v/>
      </c>
      <c r="F54" s="353">
        <f ca="1">IF(ROWS($1:41)&gt;COUNT(Dong11),0,OFFSET(TH!J$1,SMALL(Dong11,ROWS($1:41)),))</f>
        <v>0</v>
      </c>
      <c r="G54" s="353">
        <f ca="1">IF(ROWS($1:41)&gt;COUNT(Dong11),0,IF(MID(OFFSET(TH!D$1,SMALL(Dong11,ROWS($1:41)),),4,1)="N",OFFSET(TH!I$1,SMALL(Dong11,ROWS($1:41)),),0))</f>
        <v>0</v>
      </c>
      <c r="H54" s="354">
        <f t="shared" ca="1" si="11"/>
        <v>0</v>
      </c>
      <c r="I54" s="353">
        <f ca="1">IF(ROWS($1:41)&gt;COUNT(Dong11),0,IF(MID(OFFSET(TH!D$1,SMALL(Dong11,ROWS($1:41)),),4,1)="X",OFFSET(TH!I$1,SMALL(Dong11,ROWS($1:41)),),0))</f>
        <v>0</v>
      </c>
      <c r="J54" s="354">
        <f t="shared" ca="1" si="12"/>
        <v>0</v>
      </c>
      <c r="K54" s="354">
        <f t="shared" ca="1" si="13"/>
        <v>0</v>
      </c>
      <c r="L54" s="354">
        <f t="shared" ca="1" si="14"/>
        <v>0</v>
      </c>
      <c r="M54" s="354"/>
      <c r="N54" s="344"/>
    </row>
    <row r="55" spans="1:14">
      <c r="A55" s="315" t="str">
        <f t="shared" ca="1" si="10"/>
        <v/>
      </c>
      <c r="B55" s="350" t="str">
        <f ca="1">IF(ROWS($1:42)&gt;COUNT(Dong11),"",OFFSET(TH!D$1,SMALL(Dong11,ROWS($1:42)),))</f>
        <v/>
      </c>
      <c r="C55" s="351" t="str">
        <f ca="1">IF(ROWS($1:42)&gt;COUNT(Dong11),"",OFFSET(TH!E$1,SMALL(Dong11,ROWS($1:42)),))</f>
        <v/>
      </c>
      <c r="D55" s="352" t="str">
        <f ca="1">IF(ROWS($1:42)&gt;COUNT(Dong11),"",OFFSET(TH!H$1,SMALL(Dong11,ROWS($1:42)),))</f>
        <v/>
      </c>
      <c r="E55" s="350" t="str">
        <f ca="1">IF(ROWS($1:42)&gt;COUNT(Dong11),"",IF(OFFSET(TH!L$1,SMALL(Dong11,ROWS($1:42)),)=$G$7,OFFSET(TH!M$1,SMALL(Dong11,ROWS($1:42)),),OFFSET(TH!L$1,SMALL(Dong11,ROWS($1:42)),)))</f>
        <v/>
      </c>
      <c r="F55" s="353">
        <f ca="1">IF(ROWS($1:42)&gt;COUNT(Dong11),0,OFFSET(TH!J$1,SMALL(Dong11,ROWS($1:42)),))</f>
        <v>0</v>
      </c>
      <c r="G55" s="353">
        <f ca="1">IF(ROWS($1:42)&gt;COUNT(Dong11),0,IF(MID(OFFSET(TH!D$1,SMALL(Dong11,ROWS($1:42)),),4,1)="N",OFFSET(TH!I$1,SMALL(Dong11,ROWS($1:42)),),0))</f>
        <v>0</v>
      </c>
      <c r="H55" s="354">
        <f t="shared" ca="1" si="11"/>
        <v>0</v>
      </c>
      <c r="I55" s="353">
        <f ca="1">IF(ROWS($1:42)&gt;COUNT(Dong11),0,IF(MID(OFFSET(TH!D$1,SMALL(Dong11,ROWS($1:42)),),4,1)="X",OFFSET(TH!I$1,SMALL(Dong11,ROWS($1:42)),),0))</f>
        <v>0</v>
      </c>
      <c r="J55" s="354">
        <f t="shared" ca="1" si="12"/>
        <v>0</v>
      </c>
      <c r="K55" s="354">
        <f t="shared" ca="1" si="13"/>
        <v>0</v>
      </c>
      <c r="L55" s="354">
        <f t="shared" ca="1" si="14"/>
        <v>0</v>
      </c>
      <c r="M55" s="354"/>
      <c r="N55" s="344"/>
    </row>
    <row r="56" spans="1:14">
      <c r="A56" s="315" t="str">
        <f t="shared" ca="1" si="10"/>
        <v/>
      </c>
      <c r="B56" s="350" t="str">
        <f ca="1">IF(ROWS($1:43)&gt;COUNT(Dong11),"",OFFSET(TH!D$1,SMALL(Dong11,ROWS($1:43)),))</f>
        <v/>
      </c>
      <c r="C56" s="351" t="str">
        <f ca="1">IF(ROWS($1:43)&gt;COUNT(Dong11),"",OFFSET(TH!E$1,SMALL(Dong11,ROWS($1:43)),))</f>
        <v/>
      </c>
      <c r="D56" s="352" t="str">
        <f ca="1">IF(ROWS($1:43)&gt;COUNT(Dong11),"",OFFSET(TH!H$1,SMALL(Dong11,ROWS($1:43)),))</f>
        <v/>
      </c>
      <c r="E56" s="350" t="str">
        <f ca="1">IF(ROWS($1:43)&gt;COUNT(Dong11),"",IF(OFFSET(TH!L$1,SMALL(Dong11,ROWS($1:43)),)=$G$7,OFFSET(TH!M$1,SMALL(Dong11,ROWS($1:43)),),OFFSET(TH!L$1,SMALL(Dong11,ROWS($1:43)),)))</f>
        <v/>
      </c>
      <c r="F56" s="353">
        <f ca="1">IF(ROWS($1:43)&gt;COUNT(Dong11),0,OFFSET(TH!J$1,SMALL(Dong11,ROWS($1:43)),))</f>
        <v>0</v>
      </c>
      <c r="G56" s="353">
        <f ca="1">IF(ROWS($1:43)&gt;COUNT(Dong11),0,IF(MID(OFFSET(TH!D$1,SMALL(Dong11,ROWS($1:43)),),4,1)="N",OFFSET(TH!I$1,SMALL(Dong11,ROWS($1:43)),),0))</f>
        <v>0</v>
      </c>
      <c r="H56" s="354">
        <f t="shared" ca="1" si="11"/>
        <v>0</v>
      </c>
      <c r="I56" s="353">
        <f ca="1">IF(ROWS($1:43)&gt;COUNT(Dong11),0,IF(MID(OFFSET(TH!D$1,SMALL(Dong11,ROWS($1:43)),),4,1)="X",OFFSET(TH!I$1,SMALL(Dong11,ROWS($1:43)),),0))</f>
        <v>0</v>
      </c>
      <c r="J56" s="354">
        <f t="shared" ca="1" si="12"/>
        <v>0</v>
      </c>
      <c r="K56" s="354">
        <f t="shared" ca="1" si="13"/>
        <v>0</v>
      </c>
      <c r="L56" s="354">
        <f t="shared" ca="1" si="14"/>
        <v>0</v>
      </c>
      <c r="M56" s="354"/>
      <c r="N56" s="344"/>
    </row>
    <row r="57" spans="1:14">
      <c r="A57" s="315" t="str">
        <f t="shared" ca="1" si="10"/>
        <v/>
      </c>
      <c r="B57" s="350" t="str">
        <f ca="1">IF(ROWS($1:44)&gt;COUNT(Dong11),"",OFFSET(TH!D$1,SMALL(Dong11,ROWS($1:44)),))</f>
        <v/>
      </c>
      <c r="C57" s="351" t="str">
        <f ca="1">IF(ROWS($1:44)&gt;COUNT(Dong11),"",OFFSET(TH!E$1,SMALL(Dong11,ROWS($1:44)),))</f>
        <v/>
      </c>
      <c r="D57" s="352" t="str">
        <f ca="1">IF(ROWS($1:44)&gt;COUNT(Dong11),"",OFFSET(TH!H$1,SMALL(Dong11,ROWS($1:44)),))</f>
        <v/>
      </c>
      <c r="E57" s="350" t="str">
        <f ca="1">IF(ROWS($1:44)&gt;COUNT(Dong11),"",IF(OFFSET(TH!L$1,SMALL(Dong11,ROWS($1:44)),)=$G$7,OFFSET(TH!M$1,SMALL(Dong11,ROWS($1:44)),),OFFSET(TH!L$1,SMALL(Dong11,ROWS($1:44)),)))</f>
        <v/>
      </c>
      <c r="F57" s="353">
        <f ca="1">IF(ROWS($1:44)&gt;COUNT(Dong11),0,OFFSET(TH!J$1,SMALL(Dong11,ROWS($1:44)),))</f>
        <v>0</v>
      </c>
      <c r="G57" s="353">
        <f ca="1">IF(ROWS($1:44)&gt;COUNT(Dong11),0,IF(MID(OFFSET(TH!D$1,SMALL(Dong11,ROWS($1:44)),),4,1)="N",OFFSET(TH!I$1,SMALL(Dong11,ROWS($1:44)),),0))</f>
        <v>0</v>
      </c>
      <c r="H57" s="354">
        <f t="shared" ca="1" si="11"/>
        <v>0</v>
      </c>
      <c r="I57" s="353">
        <f ca="1">IF(ROWS($1:44)&gt;COUNT(Dong11),0,IF(MID(OFFSET(TH!D$1,SMALL(Dong11,ROWS($1:44)),),4,1)="X",OFFSET(TH!I$1,SMALL(Dong11,ROWS($1:44)),),0))</f>
        <v>0</v>
      </c>
      <c r="J57" s="354">
        <f t="shared" ca="1" si="12"/>
        <v>0</v>
      </c>
      <c r="K57" s="354">
        <f t="shared" ca="1" si="13"/>
        <v>0</v>
      </c>
      <c r="L57" s="354">
        <f t="shared" ca="1" si="14"/>
        <v>0</v>
      </c>
      <c r="M57" s="354"/>
      <c r="N57" s="344"/>
    </row>
    <row r="58" spans="1:14">
      <c r="A58" s="315" t="str">
        <f t="shared" ca="1" si="10"/>
        <v/>
      </c>
      <c r="B58" s="350" t="str">
        <f ca="1">IF(ROWS($1:45)&gt;COUNT(Dong11),"",OFFSET(TH!D$1,SMALL(Dong11,ROWS($1:45)),))</f>
        <v/>
      </c>
      <c r="C58" s="351" t="str">
        <f ca="1">IF(ROWS($1:45)&gt;COUNT(Dong11),"",OFFSET(TH!E$1,SMALL(Dong11,ROWS($1:45)),))</f>
        <v/>
      </c>
      <c r="D58" s="352" t="str">
        <f ca="1">IF(ROWS($1:45)&gt;COUNT(Dong11),"",OFFSET(TH!H$1,SMALL(Dong11,ROWS($1:45)),))</f>
        <v/>
      </c>
      <c r="E58" s="350" t="str">
        <f ca="1">IF(ROWS($1:45)&gt;COUNT(Dong11),"",IF(OFFSET(TH!L$1,SMALL(Dong11,ROWS($1:45)),)=$G$7,OFFSET(TH!M$1,SMALL(Dong11,ROWS($1:45)),),OFFSET(TH!L$1,SMALL(Dong11,ROWS($1:45)),)))</f>
        <v/>
      </c>
      <c r="F58" s="353">
        <f ca="1">IF(ROWS($1:45)&gt;COUNT(Dong11),0,OFFSET(TH!J$1,SMALL(Dong11,ROWS($1:45)),))</f>
        <v>0</v>
      </c>
      <c r="G58" s="353">
        <f ca="1">IF(ROWS($1:45)&gt;COUNT(Dong11),0,IF(MID(OFFSET(TH!D$1,SMALL(Dong11,ROWS($1:45)),),4,1)="N",OFFSET(TH!I$1,SMALL(Dong11,ROWS($1:45)),),0))</f>
        <v>0</v>
      </c>
      <c r="H58" s="354">
        <f t="shared" ca="1" si="11"/>
        <v>0</v>
      </c>
      <c r="I58" s="353">
        <f ca="1">IF(ROWS($1:45)&gt;COUNT(Dong11),0,IF(MID(OFFSET(TH!D$1,SMALL(Dong11,ROWS($1:45)),),4,1)="X",OFFSET(TH!I$1,SMALL(Dong11,ROWS($1:45)),),0))</f>
        <v>0</v>
      </c>
      <c r="J58" s="354">
        <f t="shared" ca="1" si="12"/>
        <v>0</v>
      </c>
      <c r="K58" s="354">
        <f t="shared" ca="1" si="13"/>
        <v>0</v>
      </c>
      <c r="L58" s="354">
        <f t="shared" ca="1" si="14"/>
        <v>0</v>
      </c>
      <c r="M58" s="354"/>
      <c r="N58" s="344"/>
    </row>
    <row r="59" spans="1:14">
      <c r="A59" s="315" t="str">
        <f t="shared" ca="1" si="10"/>
        <v/>
      </c>
      <c r="B59" s="350" t="str">
        <f ca="1">IF(ROWS($1:46)&gt;COUNT(Dong11),"",OFFSET(TH!D$1,SMALL(Dong11,ROWS($1:46)),))</f>
        <v/>
      </c>
      <c r="C59" s="351" t="str">
        <f ca="1">IF(ROWS($1:46)&gt;COUNT(Dong11),"",OFFSET(TH!E$1,SMALL(Dong11,ROWS($1:46)),))</f>
        <v/>
      </c>
      <c r="D59" s="352" t="str">
        <f ca="1">IF(ROWS($1:46)&gt;COUNT(Dong11),"",OFFSET(TH!H$1,SMALL(Dong11,ROWS($1:46)),))</f>
        <v/>
      </c>
      <c r="E59" s="350" t="str">
        <f ca="1">IF(ROWS($1:46)&gt;COUNT(Dong11),"",IF(OFFSET(TH!L$1,SMALL(Dong11,ROWS($1:46)),)=$G$7,OFFSET(TH!M$1,SMALL(Dong11,ROWS($1:46)),),OFFSET(TH!L$1,SMALL(Dong11,ROWS($1:46)),)))</f>
        <v/>
      </c>
      <c r="F59" s="353">
        <f ca="1">IF(ROWS($1:46)&gt;COUNT(Dong11),0,OFFSET(TH!J$1,SMALL(Dong11,ROWS($1:46)),))</f>
        <v>0</v>
      </c>
      <c r="G59" s="353">
        <f ca="1">IF(ROWS($1:46)&gt;COUNT(Dong11),0,IF(MID(OFFSET(TH!D$1,SMALL(Dong11,ROWS($1:46)),),4,1)="N",OFFSET(TH!I$1,SMALL(Dong11,ROWS($1:46)),),0))</f>
        <v>0</v>
      </c>
      <c r="H59" s="354">
        <f t="shared" ca="1" si="11"/>
        <v>0</v>
      </c>
      <c r="I59" s="353">
        <f ca="1">IF(ROWS($1:46)&gt;COUNT(Dong11),0,IF(MID(OFFSET(TH!D$1,SMALL(Dong11,ROWS($1:46)),),4,1)="X",OFFSET(TH!I$1,SMALL(Dong11,ROWS($1:46)),),0))</f>
        <v>0</v>
      </c>
      <c r="J59" s="354">
        <f t="shared" ca="1" si="12"/>
        <v>0</v>
      </c>
      <c r="K59" s="354">
        <f t="shared" ca="1" si="13"/>
        <v>0</v>
      </c>
      <c r="L59" s="354">
        <f t="shared" ca="1" si="14"/>
        <v>0</v>
      </c>
      <c r="M59" s="354"/>
      <c r="N59" s="344"/>
    </row>
    <row r="60" spans="1:14">
      <c r="A60" s="315" t="str">
        <f t="shared" ca="1" si="10"/>
        <v/>
      </c>
      <c r="B60" s="350" t="str">
        <f ca="1">IF(ROWS($1:47)&gt;COUNT(Dong11),"",OFFSET(TH!D$1,SMALL(Dong11,ROWS($1:47)),))</f>
        <v/>
      </c>
      <c r="C60" s="351" t="str">
        <f ca="1">IF(ROWS($1:47)&gt;COUNT(Dong11),"",OFFSET(TH!E$1,SMALL(Dong11,ROWS($1:47)),))</f>
        <v/>
      </c>
      <c r="D60" s="352" t="str">
        <f ca="1">IF(ROWS($1:47)&gt;COUNT(Dong11),"",OFFSET(TH!H$1,SMALL(Dong11,ROWS($1:47)),))</f>
        <v/>
      </c>
      <c r="E60" s="350" t="str">
        <f ca="1">IF(ROWS($1:47)&gt;COUNT(Dong11),"",IF(OFFSET(TH!L$1,SMALL(Dong11,ROWS($1:47)),)=$G$7,OFFSET(TH!M$1,SMALL(Dong11,ROWS($1:47)),),OFFSET(TH!L$1,SMALL(Dong11,ROWS($1:47)),)))</f>
        <v/>
      </c>
      <c r="F60" s="353">
        <f ca="1">IF(ROWS($1:47)&gt;COUNT(Dong11),0,OFFSET(TH!J$1,SMALL(Dong11,ROWS($1:47)),))</f>
        <v>0</v>
      </c>
      <c r="G60" s="353">
        <f ca="1">IF(ROWS($1:47)&gt;COUNT(Dong11),0,IF(MID(OFFSET(TH!D$1,SMALL(Dong11,ROWS($1:47)),),4,1)="N",OFFSET(TH!I$1,SMALL(Dong11,ROWS($1:47)),),0))</f>
        <v>0</v>
      </c>
      <c r="H60" s="354">
        <f t="shared" ca="1" si="11"/>
        <v>0</v>
      </c>
      <c r="I60" s="353">
        <f ca="1">IF(ROWS($1:47)&gt;COUNT(Dong11),0,IF(MID(OFFSET(TH!D$1,SMALL(Dong11,ROWS($1:47)),),4,1)="X",OFFSET(TH!I$1,SMALL(Dong11,ROWS($1:47)),),0))</f>
        <v>0</v>
      </c>
      <c r="J60" s="354">
        <f t="shared" ca="1" si="12"/>
        <v>0</v>
      </c>
      <c r="K60" s="354">
        <f t="shared" ca="1" si="13"/>
        <v>0</v>
      </c>
      <c r="L60" s="354">
        <f t="shared" ca="1" si="14"/>
        <v>0</v>
      </c>
      <c r="M60" s="354"/>
      <c r="N60" s="344"/>
    </row>
    <row r="61" spans="1:14">
      <c r="A61" s="315" t="str">
        <f t="shared" ca="1" si="10"/>
        <v/>
      </c>
      <c r="B61" s="350" t="str">
        <f ca="1">IF(ROWS($1:48)&gt;COUNT(Dong11),"",OFFSET(TH!D$1,SMALL(Dong11,ROWS($1:48)),))</f>
        <v/>
      </c>
      <c r="C61" s="351" t="str">
        <f ca="1">IF(ROWS($1:48)&gt;COUNT(Dong11),"",OFFSET(TH!E$1,SMALL(Dong11,ROWS($1:48)),))</f>
        <v/>
      </c>
      <c r="D61" s="352" t="str">
        <f ca="1">IF(ROWS($1:48)&gt;COUNT(Dong11),"",OFFSET(TH!H$1,SMALL(Dong11,ROWS($1:48)),))</f>
        <v/>
      </c>
      <c r="E61" s="350" t="str">
        <f ca="1">IF(ROWS($1:48)&gt;COUNT(Dong11),"",IF(OFFSET(TH!L$1,SMALL(Dong11,ROWS($1:48)),)=$G$7,OFFSET(TH!M$1,SMALL(Dong11,ROWS($1:48)),),OFFSET(TH!L$1,SMALL(Dong11,ROWS($1:48)),)))</f>
        <v/>
      </c>
      <c r="F61" s="353">
        <f ca="1">IF(ROWS($1:48)&gt;COUNT(Dong11),0,OFFSET(TH!J$1,SMALL(Dong11,ROWS($1:48)),))</f>
        <v>0</v>
      </c>
      <c r="G61" s="353">
        <f ca="1">IF(ROWS($1:48)&gt;COUNT(Dong11),0,IF(MID(OFFSET(TH!D$1,SMALL(Dong11,ROWS($1:48)),),4,1)="N",OFFSET(TH!I$1,SMALL(Dong11,ROWS($1:48)),),0))</f>
        <v>0</v>
      </c>
      <c r="H61" s="354">
        <f t="shared" ca="1" si="11"/>
        <v>0</v>
      </c>
      <c r="I61" s="353">
        <f ca="1">IF(ROWS($1:48)&gt;COUNT(Dong11),0,IF(MID(OFFSET(TH!D$1,SMALL(Dong11,ROWS($1:48)),),4,1)="X",OFFSET(TH!I$1,SMALL(Dong11,ROWS($1:48)),),0))</f>
        <v>0</v>
      </c>
      <c r="J61" s="354">
        <f t="shared" ca="1" si="12"/>
        <v>0</v>
      </c>
      <c r="K61" s="354">
        <f t="shared" ca="1" si="13"/>
        <v>0</v>
      </c>
      <c r="L61" s="354">
        <f t="shared" ca="1" si="14"/>
        <v>0</v>
      </c>
      <c r="M61" s="354"/>
      <c r="N61" s="344"/>
    </row>
    <row r="62" spans="1:14">
      <c r="A62" s="315" t="str">
        <f t="shared" ca="1" si="10"/>
        <v/>
      </c>
      <c r="B62" s="350" t="str">
        <f ca="1">IF(ROWS($1:49)&gt;COUNT(Dong11),"",OFFSET(TH!D$1,SMALL(Dong11,ROWS($1:49)),))</f>
        <v/>
      </c>
      <c r="C62" s="351" t="str">
        <f ca="1">IF(ROWS($1:49)&gt;COUNT(Dong11),"",OFFSET(TH!E$1,SMALL(Dong11,ROWS($1:49)),))</f>
        <v/>
      </c>
      <c r="D62" s="352" t="str">
        <f ca="1">IF(ROWS($1:49)&gt;COUNT(Dong11),"",OFFSET(TH!H$1,SMALL(Dong11,ROWS($1:49)),))</f>
        <v/>
      </c>
      <c r="E62" s="350" t="str">
        <f ca="1">IF(ROWS($1:49)&gt;COUNT(Dong11),"",IF(OFFSET(TH!L$1,SMALL(Dong11,ROWS($1:49)),)=$G$7,OFFSET(TH!M$1,SMALL(Dong11,ROWS($1:49)),),OFFSET(TH!L$1,SMALL(Dong11,ROWS($1:49)),)))</f>
        <v/>
      </c>
      <c r="F62" s="353">
        <f ca="1">IF(ROWS($1:49)&gt;COUNT(Dong11),0,OFFSET(TH!J$1,SMALL(Dong11,ROWS($1:49)),))</f>
        <v>0</v>
      </c>
      <c r="G62" s="353">
        <f ca="1">IF(ROWS($1:49)&gt;COUNT(Dong11),0,IF(MID(OFFSET(TH!D$1,SMALL(Dong11,ROWS($1:49)),),4,1)="N",OFFSET(TH!I$1,SMALL(Dong11,ROWS($1:49)),),0))</f>
        <v>0</v>
      </c>
      <c r="H62" s="354">
        <f t="shared" ca="1" si="11"/>
        <v>0</v>
      </c>
      <c r="I62" s="353">
        <f ca="1">IF(ROWS($1:49)&gt;COUNT(Dong11),0,IF(MID(OFFSET(TH!D$1,SMALL(Dong11,ROWS($1:49)),),4,1)="X",OFFSET(TH!I$1,SMALL(Dong11,ROWS($1:49)),),0))</f>
        <v>0</v>
      </c>
      <c r="J62" s="354">
        <f t="shared" ca="1" si="12"/>
        <v>0</v>
      </c>
      <c r="K62" s="354">
        <f t="shared" ca="1" si="13"/>
        <v>0</v>
      </c>
      <c r="L62" s="354">
        <f t="shared" ca="1" si="14"/>
        <v>0</v>
      </c>
      <c r="M62" s="354"/>
      <c r="N62" s="344"/>
    </row>
    <row r="63" spans="1:14">
      <c r="A63" s="315" t="str">
        <f t="shared" ref="A63:A72" ca="1" si="15">IF(B63="","",A62+1)</f>
        <v/>
      </c>
      <c r="B63" s="350" t="str">
        <f ca="1">IF(ROWS($1:50)&gt;COUNT(Dong11),"",OFFSET(TH!D$1,SMALL(Dong11,ROWS($1:50)),))</f>
        <v/>
      </c>
      <c r="C63" s="351" t="str">
        <f ca="1">IF(ROWS($1:50)&gt;COUNT(Dong11),"",OFFSET(TH!E$1,SMALL(Dong11,ROWS($1:50)),))</f>
        <v/>
      </c>
      <c r="D63" s="352" t="str">
        <f ca="1">IF(ROWS($1:50)&gt;COUNT(Dong11),"",OFFSET(TH!H$1,SMALL(Dong11,ROWS($1:50)),))</f>
        <v/>
      </c>
      <c r="E63" s="350" t="str">
        <f ca="1">IF(ROWS($1:50)&gt;COUNT(Dong11),"",IF(OFFSET(TH!L$1,SMALL(Dong11,ROWS($1:50)),)=$G$7,OFFSET(TH!M$1,SMALL(Dong11,ROWS($1:50)),),OFFSET(TH!L$1,SMALL(Dong11,ROWS($1:50)),)))</f>
        <v/>
      </c>
      <c r="F63" s="353">
        <f ca="1">IF(ROWS($1:50)&gt;COUNT(Dong11),0,OFFSET(TH!J$1,SMALL(Dong11,ROWS($1:50)),))</f>
        <v>0</v>
      </c>
      <c r="G63" s="353">
        <f ca="1">IF(ROWS($1:50)&gt;COUNT(Dong11),0,IF(MID(OFFSET(TH!D$1,SMALL(Dong11,ROWS($1:50)),),4,1)="N",OFFSET(TH!I$1,SMALL(Dong11,ROWS($1:50)),),0))</f>
        <v>0</v>
      </c>
      <c r="H63" s="354">
        <f t="shared" ref="H63:H72" ca="1" si="16">ROUND(F63*G63,0)</f>
        <v>0</v>
      </c>
      <c r="I63" s="353">
        <f ca="1">IF(ROWS($1:50)&gt;COUNT(Dong11),0,IF(MID(OFFSET(TH!D$1,SMALL(Dong11,ROWS($1:50)),),4,1)="X",OFFSET(TH!I$1,SMALL(Dong11,ROWS($1:50)),),0))</f>
        <v>0</v>
      </c>
      <c r="J63" s="354">
        <f t="shared" ref="J63:J72" ca="1" si="17">ROUND(F63*I63,0)</f>
        <v>0</v>
      </c>
      <c r="K63" s="354">
        <f t="shared" ref="K63:K72" ca="1" si="18">IF(D63&lt;&gt;"",K62+G63-I63,0)</f>
        <v>0</v>
      </c>
      <c r="L63" s="354">
        <f t="shared" ref="L63:L72" ca="1" si="19">IF(D63&lt;&gt;"",L62+H63-J63,0)</f>
        <v>0</v>
      </c>
      <c r="M63" s="354"/>
      <c r="N63" s="344"/>
    </row>
    <row r="64" spans="1:14">
      <c r="A64" s="315" t="str">
        <f t="shared" ca="1" si="15"/>
        <v/>
      </c>
      <c r="B64" s="350" t="str">
        <f ca="1">IF(ROWS($1:51)&gt;COUNT(Dong11),"",OFFSET(TH!D$1,SMALL(Dong11,ROWS($1:51)),))</f>
        <v/>
      </c>
      <c r="C64" s="351" t="str">
        <f ca="1">IF(ROWS($1:51)&gt;COUNT(Dong11),"",OFFSET(TH!E$1,SMALL(Dong11,ROWS($1:51)),))</f>
        <v/>
      </c>
      <c r="D64" s="352" t="str">
        <f ca="1">IF(ROWS($1:51)&gt;COUNT(Dong11),"",OFFSET(TH!H$1,SMALL(Dong11,ROWS($1:51)),))</f>
        <v/>
      </c>
      <c r="E64" s="350" t="str">
        <f ca="1">IF(ROWS($1:51)&gt;COUNT(Dong11),"",IF(OFFSET(TH!L$1,SMALL(Dong11,ROWS($1:51)),)=$G$7,OFFSET(TH!M$1,SMALL(Dong11,ROWS($1:51)),),OFFSET(TH!L$1,SMALL(Dong11,ROWS($1:51)),)))</f>
        <v/>
      </c>
      <c r="F64" s="353">
        <f ca="1">IF(ROWS($1:51)&gt;COUNT(Dong11),0,OFFSET(TH!J$1,SMALL(Dong11,ROWS($1:51)),))</f>
        <v>0</v>
      </c>
      <c r="G64" s="353">
        <f ca="1">IF(ROWS($1:51)&gt;COUNT(Dong11),0,IF(MID(OFFSET(TH!D$1,SMALL(Dong11,ROWS($1:51)),),4,1)="N",OFFSET(TH!I$1,SMALL(Dong11,ROWS($1:51)),),0))</f>
        <v>0</v>
      </c>
      <c r="H64" s="354">
        <f t="shared" ca="1" si="16"/>
        <v>0</v>
      </c>
      <c r="I64" s="353">
        <f ca="1">IF(ROWS($1:51)&gt;COUNT(Dong11),0,IF(MID(OFFSET(TH!D$1,SMALL(Dong11,ROWS($1:51)),),4,1)="X",OFFSET(TH!I$1,SMALL(Dong11,ROWS($1:51)),),0))</f>
        <v>0</v>
      </c>
      <c r="J64" s="354">
        <f t="shared" ca="1" si="17"/>
        <v>0</v>
      </c>
      <c r="K64" s="354">
        <f t="shared" ca="1" si="18"/>
        <v>0</v>
      </c>
      <c r="L64" s="354">
        <f t="shared" ca="1" si="19"/>
        <v>0</v>
      </c>
      <c r="M64" s="354"/>
      <c r="N64" s="344"/>
    </row>
    <row r="65" spans="1:14">
      <c r="A65" s="315" t="str">
        <f t="shared" ca="1" si="15"/>
        <v/>
      </c>
      <c r="B65" s="350" t="str">
        <f ca="1">IF(ROWS($1:52)&gt;COUNT(Dong11),"",OFFSET(TH!D$1,SMALL(Dong11,ROWS($1:52)),))</f>
        <v/>
      </c>
      <c r="C65" s="351" t="str">
        <f ca="1">IF(ROWS($1:52)&gt;COUNT(Dong11),"",OFFSET(TH!E$1,SMALL(Dong11,ROWS($1:52)),))</f>
        <v/>
      </c>
      <c r="D65" s="352" t="str">
        <f ca="1">IF(ROWS($1:52)&gt;COUNT(Dong11),"",OFFSET(TH!H$1,SMALL(Dong11,ROWS($1:52)),))</f>
        <v/>
      </c>
      <c r="E65" s="350" t="str">
        <f ca="1">IF(ROWS($1:52)&gt;COUNT(Dong11),"",IF(OFFSET(TH!L$1,SMALL(Dong11,ROWS($1:52)),)=$G$7,OFFSET(TH!M$1,SMALL(Dong11,ROWS($1:52)),),OFFSET(TH!L$1,SMALL(Dong11,ROWS($1:52)),)))</f>
        <v/>
      </c>
      <c r="F65" s="353">
        <f ca="1">IF(ROWS($1:52)&gt;COUNT(Dong11),0,OFFSET(TH!J$1,SMALL(Dong11,ROWS($1:52)),))</f>
        <v>0</v>
      </c>
      <c r="G65" s="353">
        <f ca="1">IF(ROWS($1:52)&gt;COUNT(Dong11),0,IF(MID(OFFSET(TH!D$1,SMALL(Dong11,ROWS($1:52)),),4,1)="N",OFFSET(TH!I$1,SMALL(Dong11,ROWS($1:52)),),0))</f>
        <v>0</v>
      </c>
      <c r="H65" s="354">
        <f t="shared" ca="1" si="16"/>
        <v>0</v>
      </c>
      <c r="I65" s="353">
        <f ca="1">IF(ROWS($1:52)&gt;COUNT(Dong11),0,IF(MID(OFFSET(TH!D$1,SMALL(Dong11,ROWS($1:52)),),4,1)="X",OFFSET(TH!I$1,SMALL(Dong11,ROWS($1:52)),),0))</f>
        <v>0</v>
      </c>
      <c r="J65" s="354">
        <f t="shared" ca="1" si="17"/>
        <v>0</v>
      </c>
      <c r="K65" s="354">
        <f t="shared" ca="1" si="18"/>
        <v>0</v>
      </c>
      <c r="L65" s="354">
        <f t="shared" ca="1" si="19"/>
        <v>0</v>
      </c>
      <c r="M65" s="354"/>
      <c r="N65" s="344"/>
    </row>
    <row r="66" spans="1:14">
      <c r="A66" s="315" t="str">
        <f t="shared" ca="1" si="15"/>
        <v/>
      </c>
      <c r="B66" s="350" t="str">
        <f ca="1">IF(ROWS($1:53)&gt;COUNT(Dong11),"",OFFSET(TH!D$1,SMALL(Dong11,ROWS($1:53)),))</f>
        <v/>
      </c>
      <c r="C66" s="351" t="str">
        <f ca="1">IF(ROWS($1:53)&gt;COUNT(Dong11),"",OFFSET(TH!E$1,SMALL(Dong11,ROWS($1:53)),))</f>
        <v/>
      </c>
      <c r="D66" s="352" t="str">
        <f ca="1">IF(ROWS($1:53)&gt;COUNT(Dong11),"",OFFSET(TH!H$1,SMALL(Dong11,ROWS($1:53)),))</f>
        <v/>
      </c>
      <c r="E66" s="350" t="str">
        <f ca="1">IF(ROWS($1:53)&gt;COUNT(Dong11),"",IF(OFFSET(TH!L$1,SMALL(Dong11,ROWS($1:53)),)=$G$7,OFFSET(TH!M$1,SMALL(Dong11,ROWS($1:53)),),OFFSET(TH!L$1,SMALL(Dong11,ROWS($1:53)),)))</f>
        <v/>
      </c>
      <c r="F66" s="353">
        <f ca="1">IF(ROWS($1:53)&gt;COUNT(Dong11),0,OFFSET(TH!J$1,SMALL(Dong11,ROWS($1:53)),))</f>
        <v>0</v>
      </c>
      <c r="G66" s="353">
        <f ca="1">IF(ROWS($1:53)&gt;COUNT(Dong11),0,IF(MID(OFFSET(TH!D$1,SMALL(Dong11,ROWS($1:53)),),4,1)="N",OFFSET(TH!I$1,SMALL(Dong11,ROWS($1:53)),),0))</f>
        <v>0</v>
      </c>
      <c r="H66" s="354">
        <f t="shared" ca="1" si="16"/>
        <v>0</v>
      </c>
      <c r="I66" s="353">
        <f ca="1">IF(ROWS($1:53)&gt;COUNT(Dong11),0,IF(MID(OFFSET(TH!D$1,SMALL(Dong11,ROWS($1:53)),),4,1)="X",OFFSET(TH!I$1,SMALL(Dong11,ROWS($1:53)),),0))</f>
        <v>0</v>
      </c>
      <c r="J66" s="354">
        <f t="shared" ca="1" si="17"/>
        <v>0</v>
      </c>
      <c r="K66" s="354">
        <f t="shared" ca="1" si="18"/>
        <v>0</v>
      </c>
      <c r="L66" s="354">
        <f t="shared" ca="1" si="19"/>
        <v>0</v>
      </c>
      <c r="M66" s="354"/>
      <c r="N66" s="344"/>
    </row>
    <row r="67" spans="1:14">
      <c r="A67" s="315" t="str">
        <f t="shared" ca="1" si="15"/>
        <v/>
      </c>
      <c r="B67" s="350" t="str">
        <f ca="1">IF(ROWS($1:54)&gt;COUNT(Dong11),"",OFFSET(TH!D$1,SMALL(Dong11,ROWS($1:54)),))</f>
        <v/>
      </c>
      <c r="C67" s="351" t="str">
        <f ca="1">IF(ROWS($1:54)&gt;COUNT(Dong11),"",OFFSET(TH!E$1,SMALL(Dong11,ROWS($1:54)),))</f>
        <v/>
      </c>
      <c r="D67" s="352" t="str">
        <f ca="1">IF(ROWS($1:54)&gt;COUNT(Dong11),"",OFFSET(TH!H$1,SMALL(Dong11,ROWS($1:54)),))</f>
        <v/>
      </c>
      <c r="E67" s="350" t="str">
        <f ca="1">IF(ROWS($1:54)&gt;COUNT(Dong11),"",IF(OFFSET(TH!L$1,SMALL(Dong11,ROWS($1:54)),)=$G$7,OFFSET(TH!M$1,SMALL(Dong11,ROWS($1:54)),),OFFSET(TH!L$1,SMALL(Dong11,ROWS($1:54)),)))</f>
        <v/>
      </c>
      <c r="F67" s="353">
        <f ca="1">IF(ROWS($1:54)&gt;COUNT(Dong11),0,OFFSET(TH!J$1,SMALL(Dong11,ROWS($1:54)),))</f>
        <v>0</v>
      </c>
      <c r="G67" s="353">
        <f ca="1">IF(ROWS($1:54)&gt;COUNT(Dong11),0,IF(MID(OFFSET(TH!D$1,SMALL(Dong11,ROWS($1:54)),),4,1)="N",OFFSET(TH!I$1,SMALL(Dong11,ROWS($1:54)),),0))</f>
        <v>0</v>
      </c>
      <c r="H67" s="354">
        <f t="shared" ca="1" si="16"/>
        <v>0</v>
      </c>
      <c r="I67" s="353">
        <f ca="1">IF(ROWS($1:54)&gt;COUNT(Dong11),0,IF(MID(OFFSET(TH!D$1,SMALL(Dong11,ROWS($1:54)),),4,1)="X",OFFSET(TH!I$1,SMALL(Dong11,ROWS($1:54)),),0))</f>
        <v>0</v>
      </c>
      <c r="J67" s="354">
        <f t="shared" ca="1" si="17"/>
        <v>0</v>
      </c>
      <c r="K67" s="354">
        <f t="shared" ca="1" si="18"/>
        <v>0</v>
      </c>
      <c r="L67" s="354">
        <f t="shared" ca="1" si="19"/>
        <v>0</v>
      </c>
      <c r="M67" s="354"/>
      <c r="N67" s="344"/>
    </row>
    <row r="68" spans="1:14">
      <c r="A68" s="315" t="str">
        <f t="shared" ca="1" si="15"/>
        <v/>
      </c>
      <c r="B68" s="350" t="str">
        <f ca="1">IF(ROWS($1:55)&gt;COUNT(Dong11),"",OFFSET(TH!D$1,SMALL(Dong11,ROWS($1:55)),))</f>
        <v/>
      </c>
      <c r="C68" s="351" t="str">
        <f ca="1">IF(ROWS($1:55)&gt;COUNT(Dong11),"",OFFSET(TH!E$1,SMALL(Dong11,ROWS($1:55)),))</f>
        <v/>
      </c>
      <c r="D68" s="352" t="str">
        <f ca="1">IF(ROWS($1:55)&gt;COUNT(Dong11),"",OFFSET(TH!H$1,SMALL(Dong11,ROWS($1:55)),))</f>
        <v/>
      </c>
      <c r="E68" s="350" t="str">
        <f ca="1">IF(ROWS($1:55)&gt;COUNT(Dong11),"",IF(OFFSET(TH!L$1,SMALL(Dong11,ROWS($1:55)),)=$G$7,OFFSET(TH!M$1,SMALL(Dong11,ROWS($1:55)),),OFFSET(TH!L$1,SMALL(Dong11,ROWS($1:55)),)))</f>
        <v/>
      </c>
      <c r="F68" s="353">
        <f ca="1">IF(ROWS($1:55)&gt;COUNT(Dong11),0,OFFSET(TH!J$1,SMALL(Dong11,ROWS($1:55)),))</f>
        <v>0</v>
      </c>
      <c r="G68" s="353">
        <f ca="1">IF(ROWS($1:55)&gt;COUNT(Dong11),0,IF(MID(OFFSET(TH!D$1,SMALL(Dong11,ROWS($1:55)),),4,1)="N",OFFSET(TH!I$1,SMALL(Dong11,ROWS($1:55)),),0))</f>
        <v>0</v>
      </c>
      <c r="H68" s="354">
        <f t="shared" ca="1" si="16"/>
        <v>0</v>
      </c>
      <c r="I68" s="353">
        <f ca="1">IF(ROWS($1:55)&gt;COUNT(Dong11),0,IF(MID(OFFSET(TH!D$1,SMALL(Dong11,ROWS($1:55)),),4,1)="X",OFFSET(TH!I$1,SMALL(Dong11,ROWS($1:55)),),0))</f>
        <v>0</v>
      </c>
      <c r="J68" s="354">
        <f t="shared" ca="1" si="17"/>
        <v>0</v>
      </c>
      <c r="K68" s="354">
        <f t="shared" ca="1" si="18"/>
        <v>0</v>
      </c>
      <c r="L68" s="354">
        <f t="shared" ca="1" si="19"/>
        <v>0</v>
      </c>
      <c r="M68" s="354"/>
      <c r="N68" s="344"/>
    </row>
    <row r="69" spans="1:14">
      <c r="A69" s="315" t="str">
        <f t="shared" ca="1" si="15"/>
        <v/>
      </c>
      <c r="B69" s="350" t="str">
        <f ca="1">IF(ROWS($1:56)&gt;COUNT(Dong11),"",OFFSET(TH!D$1,SMALL(Dong11,ROWS($1:56)),))</f>
        <v/>
      </c>
      <c r="C69" s="351" t="str">
        <f ca="1">IF(ROWS($1:56)&gt;COUNT(Dong11),"",OFFSET(TH!E$1,SMALL(Dong11,ROWS($1:56)),))</f>
        <v/>
      </c>
      <c r="D69" s="352" t="str">
        <f ca="1">IF(ROWS($1:56)&gt;COUNT(Dong11),"",OFFSET(TH!H$1,SMALL(Dong11,ROWS($1:56)),))</f>
        <v/>
      </c>
      <c r="E69" s="350" t="str">
        <f ca="1">IF(ROWS($1:56)&gt;COUNT(Dong11),"",IF(OFFSET(TH!L$1,SMALL(Dong11,ROWS($1:56)),)=$G$7,OFFSET(TH!M$1,SMALL(Dong11,ROWS($1:56)),),OFFSET(TH!L$1,SMALL(Dong11,ROWS($1:56)),)))</f>
        <v/>
      </c>
      <c r="F69" s="353">
        <f ca="1">IF(ROWS($1:56)&gt;COUNT(Dong11),0,OFFSET(TH!J$1,SMALL(Dong11,ROWS($1:56)),))</f>
        <v>0</v>
      </c>
      <c r="G69" s="353">
        <f ca="1">IF(ROWS($1:56)&gt;COUNT(Dong11),0,IF(MID(OFFSET(TH!D$1,SMALL(Dong11,ROWS($1:56)),),4,1)="N",OFFSET(TH!I$1,SMALL(Dong11,ROWS($1:56)),),0))</f>
        <v>0</v>
      </c>
      <c r="H69" s="354">
        <f t="shared" ca="1" si="16"/>
        <v>0</v>
      </c>
      <c r="I69" s="353">
        <f ca="1">IF(ROWS($1:56)&gt;COUNT(Dong11),0,IF(MID(OFFSET(TH!D$1,SMALL(Dong11,ROWS($1:56)),),4,1)="X",OFFSET(TH!I$1,SMALL(Dong11,ROWS($1:56)),),0))</f>
        <v>0</v>
      </c>
      <c r="J69" s="354">
        <f t="shared" ca="1" si="17"/>
        <v>0</v>
      </c>
      <c r="K69" s="354">
        <f t="shared" ca="1" si="18"/>
        <v>0</v>
      </c>
      <c r="L69" s="354">
        <f t="shared" ca="1" si="19"/>
        <v>0</v>
      </c>
      <c r="M69" s="354"/>
      <c r="N69" s="344"/>
    </row>
    <row r="70" spans="1:14">
      <c r="A70" s="315" t="str">
        <f t="shared" ca="1" si="15"/>
        <v/>
      </c>
      <c r="B70" s="350" t="str">
        <f ca="1">IF(ROWS($1:57)&gt;COUNT(Dong11),"",OFFSET(TH!D$1,SMALL(Dong11,ROWS($1:57)),))</f>
        <v/>
      </c>
      <c r="C70" s="351" t="str">
        <f ca="1">IF(ROWS($1:57)&gt;COUNT(Dong11),"",OFFSET(TH!E$1,SMALL(Dong11,ROWS($1:57)),))</f>
        <v/>
      </c>
      <c r="D70" s="352" t="str">
        <f ca="1">IF(ROWS($1:57)&gt;COUNT(Dong11),"",OFFSET(TH!H$1,SMALL(Dong11,ROWS($1:57)),))</f>
        <v/>
      </c>
      <c r="E70" s="350" t="str">
        <f ca="1">IF(ROWS($1:57)&gt;COUNT(Dong11),"",IF(OFFSET(TH!L$1,SMALL(Dong11,ROWS($1:57)),)=$G$7,OFFSET(TH!M$1,SMALL(Dong11,ROWS($1:57)),),OFFSET(TH!L$1,SMALL(Dong11,ROWS($1:57)),)))</f>
        <v/>
      </c>
      <c r="F70" s="353">
        <f ca="1">IF(ROWS($1:57)&gt;COUNT(Dong11),0,OFFSET(TH!J$1,SMALL(Dong11,ROWS($1:57)),))</f>
        <v>0</v>
      </c>
      <c r="G70" s="353">
        <f ca="1">IF(ROWS($1:57)&gt;COUNT(Dong11),0,IF(MID(OFFSET(TH!D$1,SMALL(Dong11,ROWS($1:57)),),4,1)="N",OFFSET(TH!I$1,SMALL(Dong11,ROWS($1:57)),),0))</f>
        <v>0</v>
      </c>
      <c r="H70" s="354">
        <f t="shared" ca="1" si="16"/>
        <v>0</v>
      </c>
      <c r="I70" s="353">
        <f ca="1">IF(ROWS($1:57)&gt;COUNT(Dong11),0,IF(MID(OFFSET(TH!D$1,SMALL(Dong11,ROWS($1:57)),),4,1)="X",OFFSET(TH!I$1,SMALL(Dong11,ROWS($1:57)),),0))</f>
        <v>0</v>
      </c>
      <c r="J70" s="354">
        <f t="shared" ca="1" si="17"/>
        <v>0</v>
      </c>
      <c r="K70" s="354">
        <f t="shared" ca="1" si="18"/>
        <v>0</v>
      </c>
      <c r="L70" s="354">
        <f t="shared" ca="1" si="19"/>
        <v>0</v>
      </c>
      <c r="M70" s="354"/>
      <c r="N70" s="344"/>
    </row>
    <row r="71" spans="1:14">
      <c r="A71" s="315" t="str">
        <f t="shared" ca="1" si="15"/>
        <v/>
      </c>
      <c r="B71" s="350" t="str">
        <f ca="1">IF(ROWS($1:58)&gt;COUNT(Dong11),"",OFFSET(TH!D$1,SMALL(Dong11,ROWS($1:58)),))</f>
        <v/>
      </c>
      <c r="C71" s="351" t="str">
        <f ca="1">IF(ROWS($1:58)&gt;COUNT(Dong11),"",OFFSET(TH!E$1,SMALL(Dong11,ROWS($1:58)),))</f>
        <v/>
      </c>
      <c r="D71" s="352" t="str">
        <f ca="1">IF(ROWS($1:58)&gt;COUNT(Dong11),"",OFFSET(TH!H$1,SMALL(Dong11,ROWS($1:58)),))</f>
        <v/>
      </c>
      <c r="E71" s="350" t="str">
        <f ca="1">IF(ROWS($1:58)&gt;COUNT(Dong11),"",IF(OFFSET(TH!L$1,SMALL(Dong11,ROWS($1:58)),)=$G$7,OFFSET(TH!M$1,SMALL(Dong11,ROWS($1:58)),),OFFSET(TH!L$1,SMALL(Dong11,ROWS($1:58)),)))</f>
        <v/>
      </c>
      <c r="F71" s="353">
        <f ca="1">IF(ROWS($1:58)&gt;COUNT(Dong11),0,OFFSET(TH!J$1,SMALL(Dong11,ROWS($1:58)),))</f>
        <v>0</v>
      </c>
      <c r="G71" s="353">
        <f ca="1">IF(ROWS($1:58)&gt;COUNT(Dong11),0,IF(MID(OFFSET(TH!D$1,SMALL(Dong11,ROWS($1:58)),),4,1)="N",OFFSET(TH!I$1,SMALL(Dong11,ROWS($1:58)),),0))</f>
        <v>0</v>
      </c>
      <c r="H71" s="354">
        <f t="shared" ca="1" si="16"/>
        <v>0</v>
      </c>
      <c r="I71" s="353">
        <f ca="1">IF(ROWS($1:58)&gt;COUNT(Dong11),0,IF(MID(OFFSET(TH!D$1,SMALL(Dong11,ROWS($1:58)),),4,1)="X",OFFSET(TH!I$1,SMALL(Dong11,ROWS($1:58)),),0))</f>
        <v>0</v>
      </c>
      <c r="J71" s="354">
        <f t="shared" ca="1" si="17"/>
        <v>0</v>
      </c>
      <c r="K71" s="354">
        <f t="shared" ca="1" si="18"/>
        <v>0</v>
      </c>
      <c r="L71" s="354">
        <f t="shared" ca="1" si="19"/>
        <v>0</v>
      </c>
      <c r="M71" s="354"/>
      <c r="N71" s="344"/>
    </row>
    <row r="72" spans="1:14">
      <c r="A72" s="315" t="str">
        <f t="shared" ca="1" si="15"/>
        <v/>
      </c>
      <c r="B72" s="350" t="str">
        <f ca="1">IF(ROWS($1:59)&gt;COUNT(Dong11),"",OFFSET(TH!D$1,SMALL(Dong11,ROWS($1:59)),))</f>
        <v/>
      </c>
      <c r="C72" s="351" t="str">
        <f ca="1">IF(ROWS($1:59)&gt;COUNT(Dong11),"",OFFSET(TH!E$1,SMALL(Dong11,ROWS($1:59)),))</f>
        <v/>
      </c>
      <c r="D72" s="352" t="str">
        <f ca="1">IF(ROWS($1:59)&gt;COUNT(Dong11),"",OFFSET(TH!H$1,SMALL(Dong11,ROWS($1:59)),))</f>
        <v/>
      </c>
      <c r="E72" s="350" t="str">
        <f ca="1">IF(ROWS($1:59)&gt;COUNT(Dong11),"",IF(OFFSET(TH!L$1,SMALL(Dong11,ROWS($1:59)),)=$G$7,OFFSET(TH!M$1,SMALL(Dong11,ROWS($1:59)),),OFFSET(TH!L$1,SMALL(Dong11,ROWS($1:59)),)))</f>
        <v/>
      </c>
      <c r="F72" s="353">
        <f ca="1">IF(ROWS($1:59)&gt;COUNT(Dong11),0,OFFSET(TH!J$1,SMALL(Dong11,ROWS($1:59)),))</f>
        <v>0</v>
      </c>
      <c r="G72" s="353">
        <f ca="1">IF(ROWS($1:59)&gt;COUNT(Dong11),0,IF(MID(OFFSET(TH!D$1,SMALL(Dong11,ROWS($1:59)),),4,1)="N",OFFSET(TH!I$1,SMALL(Dong11,ROWS($1:59)),),0))</f>
        <v>0</v>
      </c>
      <c r="H72" s="354">
        <f t="shared" ca="1" si="16"/>
        <v>0</v>
      </c>
      <c r="I72" s="353">
        <f ca="1">IF(ROWS($1:59)&gt;COUNT(Dong11),0,IF(MID(OFFSET(TH!D$1,SMALL(Dong11,ROWS($1:59)),),4,1)="X",OFFSET(TH!I$1,SMALL(Dong11,ROWS($1:59)),),0))</f>
        <v>0</v>
      </c>
      <c r="J72" s="354">
        <f t="shared" ca="1" si="17"/>
        <v>0</v>
      </c>
      <c r="K72" s="354">
        <f t="shared" ca="1" si="18"/>
        <v>0</v>
      </c>
      <c r="L72" s="354">
        <f t="shared" ca="1" si="19"/>
        <v>0</v>
      </c>
      <c r="M72" s="354"/>
      <c r="N72" s="344"/>
    </row>
    <row r="73" spans="1:14">
      <c r="A73" s="315" t="str">
        <f>IF(B73="","",#REF!+1)</f>
        <v/>
      </c>
      <c r="B73" s="357"/>
      <c r="C73" s="358"/>
      <c r="D73" s="352"/>
      <c r="E73" s="359"/>
      <c r="F73" s="360"/>
      <c r="G73" s="346"/>
      <c r="H73" s="346"/>
      <c r="I73" s="346"/>
      <c r="J73" s="346"/>
      <c r="K73" s="346"/>
      <c r="L73" s="346"/>
      <c r="M73" s="361"/>
      <c r="N73" s="344"/>
    </row>
    <row r="74" spans="1:14">
      <c r="A74" s="362"/>
      <c r="B74" s="362"/>
      <c r="C74" s="362"/>
      <c r="D74" s="362" t="s">
        <v>231</v>
      </c>
      <c r="E74" s="342" t="s">
        <v>19</v>
      </c>
      <c r="F74" s="342" t="s">
        <v>19</v>
      </c>
      <c r="G74" s="363">
        <f ca="1">SUM(G14:G73)</f>
        <v>0</v>
      </c>
      <c r="H74" s="363">
        <f ca="1">SUM(H14:H73)</f>
        <v>0</v>
      </c>
      <c r="I74" s="363">
        <f ca="1">SUM(I14:I73)</f>
        <v>0</v>
      </c>
      <c r="J74" s="363">
        <f ca="1">SUM(J14:J73)</f>
        <v>0</v>
      </c>
      <c r="K74" s="363" t="e">
        <f ca="1">K13+G74-I74</f>
        <v>#N/A</v>
      </c>
      <c r="L74" s="363" t="e">
        <f ca="1">L13+H74-J74</f>
        <v>#N/A</v>
      </c>
      <c r="M74" s="362"/>
      <c r="N74" s="344"/>
    </row>
    <row r="75" spans="1:14">
      <c r="B75" s="364" t="s">
        <v>232</v>
      </c>
      <c r="G75" s="356"/>
      <c r="N75" s="344"/>
    </row>
    <row r="76" spans="1:14">
      <c r="B76" s="365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6"/>
      <c r="I76" s="356"/>
      <c r="N76" s="344"/>
    </row>
    <row r="77" spans="1:14">
      <c r="B77" s="331"/>
      <c r="C77" s="331"/>
      <c r="D77" s="331"/>
      <c r="F77" s="331"/>
      <c r="G77" s="366"/>
      <c r="H77" s="332"/>
      <c r="I77" s="367"/>
      <c r="J77" s="1023" t="e">
        <f ca="1">"Ngày 31 tháng  12  năm  "&amp;YEAR($A$14)</f>
        <v>#VALUE!</v>
      </c>
      <c r="K77" s="1023"/>
      <c r="L77" s="1023"/>
      <c r="M77" s="1023"/>
      <c r="N77" s="344"/>
    </row>
    <row r="78" spans="1:14">
      <c r="C78" s="331"/>
      <c r="D78" s="563" t="s">
        <v>11</v>
      </c>
      <c r="E78" s="1023" t="s">
        <v>12</v>
      </c>
      <c r="F78" s="1023"/>
      <c r="G78" s="1023"/>
      <c r="H78" s="1023"/>
      <c r="I78" s="1023"/>
      <c r="J78" s="1023" t="s">
        <v>109</v>
      </c>
      <c r="K78" s="1023"/>
      <c r="L78" s="1023"/>
      <c r="M78" s="1023"/>
      <c r="N78" s="344"/>
    </row>
    <row r="79" spans="1:14">
      <c r="C79" s="331"/>
      <c r="D79" s="563" t="s">
        <v>13</v>
      </c>
      <c r="E79" s="1023" t="s">
        <v>13</v>
      </c>
      <c r="F79" s="1023"/>
      <c r="G79" s="1023"/>
      <c r="H79" s="1023" t="s">
        <v>136</v>
      </c>
      <c r="I79" s="1023"/>
      <c r="J79" s="1023" t="s">
        <v>136</v>
      </c>
      <c r="K79" s="1023"/>
      <c r="L79" s="1023"/>
      <c r="M79" s="1023"/>
      <c r="N79" s="344"/>
    </row>
    <row r="80" spans="1:14">
      <c r="N80" s="368"/>
    </row>
    <row r="81" spans="4:14">
      <c r="E81" s="319"/>
    </row>
    <row r="83" spans="4:14" customFormat="1" ht="12.75">
      <c r="E83" s="369"/>
    </row>
    <row r="88" spans="4:14">
      <c r="D88" s="591" t="s">
        <v>151</v>
      </c>
      <c r="E88" s="591"/>
      <c r="J88" s="1019" t="s">
        <v>103</v>
      </c>
      <c r="K88" s="1019"/>
      <c r="L88" s="1019"/>
      <c r="M88" s="1019"/>
      <c r="N88" s="592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3" customWidth="1"/>
    <col min="2" max="2" width="9.140625" style="373"/>
    <col min="3" max="3" width="9.140625" style="432" customWidth="1"/>
    <col min="4" max="4" width="10.85546875" style="432" customWidth="1"/>
    <col min="5" max="5" width="39.42578125" style="433" customWidth="1"/>
    <col min="6" max="6" width="10.85546875" style="434" customWidth="1"/>
    <col min="7" max="7" width="9" style="435" customWidth="1"/>
    <col min="8" max="8" width="9.5703125" style="435" customWidth="1"/>
    <col min="9" max="9" width="10" style="435" customWidth="1"/>
    <col min="10" max="10" width="8" style="373" customWidth="1"/>
    <col min="11" max="11" width="2.42578125" style="373" customWidth="1"/>
    <col min="12" max="12" width="6.5703125" style="373" customWidth="1"/>
    <col min="13" max="16384" width="9.140625" style="373"/>
  </cols>
  <sheetData>
    <row r="1" spans="1:12" ht="15" customHeight="1">
      <c r="A1" s="370" t="str">
        <f>TH!A1</f>
        <v>Đơn vị: CÔNG TY TNHH MỘT THÀNH VIÊN KHỞI NGUYÊN AN</v>
      </c>
      <c r="B1" s="371"/>
      <c r="C1" s="371"/>
      <c r="D1" s="371"/>
      <c r="E1" s="372"/>
      <c r="F1" s="1032" t="s">
        <v>233</v>
      </c>
      <c r="G1" s="1032"/>
      <c r="H1" s="1032"/>
      <c r="I1" s="1032"/>
      <c r="J1" s="1032"/>
      <c r="K1" s="374"/>
      <c r="L1" s="375"/>
    </row>
    <row r="2" spans="1:12" ht="15" customHeight="1">
      <c r="A2" s="624" t="str">
        <f>TH!A2</f>
        <v>Địa chỉ: Thửa đất số 144, tờ bản đồ số 12TĐH.1, tổ 1, khu phố Đông Tác, Phường Tân Đông Hiệp, Thị Xã Dĩ An, Tỉnh Bình Dương, Việt Nam</v>
      </c>
      <c r="B2" s="376"/>
      <c r="C2" s="376"/>
      <c r="D2" s="376"/>
      <c r="E2" s="377"/>
      <c r="F2" s="1031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31"/>
      <c r="H2" s="1031"/>
      <c r="I2" s="1031"/>
      <c r="J2" s="1031"/>
      <c r="K2" s="374"/>
    </row>
    <row r="3" spans="1:12" ht="15">
      <c r="A3" s="376"/>
      <c r="B3" s="376"/>
      <c r="C3" s="376"/>
      <c r="D3" s="376"/>
      <c r="E3" s="377"/>
      <c r="F3" s="1031"/>
      <c r="G3" s="1031"/>
      <c r="H3" s="1031"/>
      <c r="I3" s="1031"/>
      <c r="J3" s="1031"/>
      <c r="K3" s="374"/>
    </row>
    <row r="4" spans="1:12" ht="18.75" customHeight="1">
      <c r="A4" s="379"/>
      <c r="B4" s="379"/>
      <c r="C4" s="379"/>
      <c r="D4" s="379"/>
      <c r="E4" s="380" t="s">
        <v>234</v>
      </c>
      <c r="F4" s="379"/>
      <c r="G4" s="379"/>
      <c r="H4" s="379"/>
      <c r="I4" s="379"/>
      <c r="J4" s="374"/>
      <c r="K4" s="374"/>
    </row>
    <row r="5" spans="1:12" ht="15">
      <c r="A5" s="381"/>
      <c r="B5" s="381"/>
      <c r="C5" s="381"/>
      <c r="D5" s="381"/>
      <c r="E5" s="382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1"/>
      <c r="G5" s="381"/>
      <c r="H5" s="381"/>
      <c r="I5" s="381"/>
      <c r="J5" s="374"/>
      <c r="K5" s="374"/>
    </row>
    <row r="6" spans="1:12" ht="15">
      <c r="A6" s="381"/>
      <c r="B6" s="381"/>
      <c r="C6" s="381"/>
      <c r="D6" s="381"/>
      <c r="E6" s="382" t="s">
        <v>235</v>
      </c>
      <c r="F6" s="381"/>
      <c r="G6" s="381"/>
      <c r="H6" s="381"/>
      <c r="I6" s="381"/>
      <c r="J6" s="374"/>
      <c r="K6" s="374"/>
    </row>
    <row r="7" spans="1:12" ht="15">
      <c r="A7" s="365" t="s">
        <v>236</v>
      </c>
      <c r="B7" s="365"/>
      <c r="C7" s="383"/>
      <c r="D7" s="383"/>
      <c r="E7" s="384" t="s">
        <v>383</v>
      </c>
      <c r="F7" s="378"/>
      <c r="G7" s="385"/>
      <c r="H7" s="385"/>
      <c r="I7" s="385"/>
      <c r="J7" s="374"/>
      <c r="K7" s="374"/>
    </row>
    <row r="8" spans="1:12" ht="15">
      <c r="A8" s="365" t="s">
        <v>237</v>
      </c>
      <c r="B8" s="365"/>
      <c r="C8" s="374" t="e">
        <f>VLOOKUP($E$7,NXT!$C$12:$L$356,2,0)</f>
        <v>#N/A</v>
      </c>
      <c r="D8" s="365"/>
      <c r="E8" s="384"/>
      <c r="F8" s="378"/>
      <c r="G8" s="385"/>
      <c r="H8" s="385"/>
      <c r="I8" s="385"/>
      <c r="J8" s="374"/>
      <c r="K8" s="374"/>
    </row>
    <row r="9" spans="1:12" ht="15">
      <c r="A9" s="1033" t="s">
        <v>238</v>
      </c>
      <c r="B9" s="1034"/>
      <c r="C9" s="1034"/>
      <c r="D9" s="1034"/>
      <c r="E9" s="384"/>
      <c r="F9" s="378"/>
      <c r="G9" s="385"/>
      <c r="H9" s="385"/>
      <c r="I9" s="385"/>
      <c r="J9" s="386"/>
      <c r="K9" s="386"/>
    </row>
    <row r="10" spans="1:12" ht="19.5" customHeight="1">
      <c r="A10" s="1035" t="s">
        <v>239</v>
      </c>
      <c r="B10" s="1036" t="s">
        <v>240</v>
      </c>
      <c r="C10" s="1038" t="s">
        <v>15</v>
      </c>
      <c r="D10" s="1039"/>
      <c r="E10" s="1040" t="s">
        <v>0</v>
      </c>
      <c r="F10" s="1049" t="s">
        <v>241</v>
      </c>
      <c r="G10" s="1043" t="s">
        <v>210</v>
      </c>
      <c r="H10" s="1043"/>
      <c r="I10" s="1039"/>
      <c r="J10" s="1044" t="s">
        <v>242</v>
      </c>
      <c r="K10" s="387"/>
      <c r="L10" s="388" t="s">
        <v>227</v>
      </c>
    </row>
    <row r="11" spans="1:12" ht="19.5" customHeight="1">
      <c r="A11" s="1035"/>
      <c r="B11" s="1037"/>
      <c r="C11" s="389" t="s">
        <v>224</v>
      </c>
      <c r="D11" s="389" t="s">
        <v>225</v>
      </c>
      <c r="E11" s="1041"/>
      <c r="F11" s="1050"/>
      <c r="G11" s="390" t="s">
        <v>224</v>
      </c>
      <c r="H11" s="390" t="s">
        <v>225</v>
      </c>
      <c r="I11" s="390" t="s">
        <v>226</v>
      </c>
      <c r="J11" s="1045"/>
      <c r="K11" s="387"/>
    </row>
    <row r="12" spans="1:12" ht="15">
      <c r="A12" s="391" t="s">
        <v>2</v>
      </c>
      <c r="B12" s="392" t="s">
        <v>3</v>
      </c>
      <c r="C12" s="393" t="s">
        <v>4</v>
      </c>
      <c r="D12" s="393" t="s">
        <v>5</v>
      </c>
      <c r="E12" s="394" t="s">
        <v>6</v>
      </c>
      <c r="F12" s="392" t="s">
        <v>130</v>
      </c>
      <c r="G12" s="395">
        <v>1</v>
      </c>
      <c r="H12" s="395">
        <v>2</v>
      </c>
      <c r="I12" s="395">
        <v>3</v>
      </c>
      <c r="J12" s="393" t="s">
        <v>131</v>
      </c>
      <c r="K12" s="396"/>
    </row>
    <row r="13" spans="1:12" ht="16.5" customHeight="1">
      <c r="A13" s="397"/>
      <c r="B13" s="398"/>
      <c r="C13" s="399"/>
      <c r="D13" s="399"/>
      <c r="E13" s="400" t="s">
        <v>201</v>
      </c>
      <c r="F13" s="398"/>
      <c r="G13" s="401"/>
      <c r="H13" s="401"/>
      <c r="I13" s="402" t="e">
        <f>VLOOKUP($E$7,NXT!$C$12:$L$356,3,0)</f>
        <v>#N/A</v>
      </c>
      <c r="J13" s="397"/>
      <c r="K13" s="403"/>
    </row>
    <row r="14" spans="1:12" ht="16.5" customHeight="1">
      <c r="A14" s="404" t="str">
        <f ca="1">IF(B14&lt;&gt;"",ROW()-(ROW()-1),"")</f>
        <v/>
      </c>
      <c r="B14" s="405" t="str">
        <f ca="1">IF(ROWS($1:1)&gt;COUNT(Dong12),"",OFFSET(TH!E$1,SMALL(Dong12,ROWS($1:1)),))</f>
        <v/>
      </c>
      <c r="C14" s="469" t="str">
        <f ca="1">IF(ROWS($1:1)&gt;COUNT(Dong12),"",IF(MID(OFFSET(TH!D$1,SMALL(Dong12,ROWS($1:1)),),4,1)="N",OFFSET(TH!D$1,SMALL(Dong12,ROWS($1:1)),),""))</f>
        <v/>
      </c>
      <c r="D14" s="405" t="str">
        <f ca="1">IF(ROWS($1:1)&gt;COUNT(Dong12),"",IF(MID(OFFSET(TH!D$1,SMALL(Dong12,ROWS($1:1)),),4,1)="X",OFFSET(TH!D$1,SMALL(Dong12,ROWS($1:1)),),""))</f>
        <v/>
      </c>
      <c r="E14" s="672" t="str">
        <f ca="1">IF(ROWS($1:1)&gt;COUNT(Dong12),"",OFFSET(TH!H$1,SMALL(Dong12,ROWS($1:1)),))</f>
        <v/>
      </c>
      <c r="F14" s="405" t="str">
        <f ca="1">B14</f>
        <v/>
      </c>
      <c r="G14" s="406">
        <f ca="1">IF(ROWS($1:1)&gt;COUNT(Dong12),0,IF(MID(OFFSET(TH!D$1,SMALL(Dong12,ROWS($1:1)),),4,1)="N",OFFSET(TH!I$1,SMALL(Dong12,ROWS($1:1)),),0))</f>
        <v>0</v>
      </c>
      <c r="H14" s="406">
        <f ca="1">IF(ROWS($1:1)&gt;COUNT(Dong12),0,IF(MID(OFFSET(TH!D$1,SMALL(Dong12,ROWS($1:1)),),4,1)="X",OFFSET(TH!I$1,SMALL(Dong12,ROWS($1:1)),),0))</f>
        <v>0</v>
      </c>
      <c r="I14" s="407">
        <f ca="1">IF(E14&lt;&gt;"",I13+G14-H14,0)</f>
        <v>0</v>
      </c>
      <c r="J14" s="408"/>
      <c r="K14" s="409"/>
    </row>
    <row r="15" spans="1:12" ht="16.5" customHeight="1">
      <c r="A15" s="410" t="str">
        <f ca="1">IF(B15&lt;&gt;"",A14+1,"")</f>
        <v/>
      </c>
      <c r="B15" s="405" t="str">
        <f ca="1">IF(ROWS($1:2)&gt;COUNT(Dong12),"",OFFSET(TH!E$1,SMALL(Dong12,ROWS($1:2)),))</f>
        <v/>
      </c>
      <c r="C15" s="469" t="str">
        <f ca="1">IF(ROWS($1:2)&gt;COUNT(Dong12),"",IF(MID(OFFSET(TH!D$1,SMALL(Dong12,ROWS($1:2)),),4,1)="N",OFFSET(TH!D$1,SMALL(Dong12,ROWS($1:2)),),""))</f>
        <v/>
      </c>
      <c r="D15" s="405" t="str">
        <f ca="1">IF(ROWS($1:2)&gt;COUNT(Dong12),"",IF(MID(OFFSET(TH!D$1,SMALL(Dong12,ROWS($1:2)),),4,1)="X",OFFSET(TH!D$1,SMALL(Dong12,ROWS($1:2)),),""))</f>
        <v/>
      </c>
      <c r="E15" s="672" t="str">
        <f ca="1">IF(ROWS($1:2)&gt;COUNT(Dong12),"",OFFSET(TH!H$1,SMALL(Dong12,ROWS($1:2)),))</f>
        <v/>
      </c>
      <c r="F15" s="405" t="str">
        <f t="shared" ref="F15:F30" ca="1" si="0">B15</f>
        <v/>
      </c>
      <c r="G15" s="406">
        <f ca="1">IF(ROWS($1:2)&gt;COUNT(Dong12),0,IF(MID(OFFSET(TH!D$1,SMALL(Dong12,ROWS($1:2)),),4,1)="N",OFFSET(TH!I$1,SMALL(Dong12,ROWS($1:2)),),0))</f>
        <v>0</v>
      </c>
      <c r="H15" s="406">
        <f ca="1">IF(ROWS($1:2)&gt;COUNT(Dong12),0,IF(MID(OFFSET(TH!D$1,SMALL(Dong12,ROWS($1:2)),),4,1)="X",OFFSET(TH!I$1,SMALL(Dong12,ROWS($1:2)),),0))</f>
        <v>0</v>
      </c>
      <c r="I15" s="407">
        <f t="shared" ref="I15:I30" ca="1" si="1">IF(E15&lt;&gt;"",I14+G15-H15,0)</f>
        <v>0</v>
      </c>
      <c r="J15" s="408"/>
      <c r="K15" s="409"/>
    </row>
    <row r="16" spans="1:12" ht="16.5" customHeight="1">
      <c r="A16" s="410" t="str">
        <f t="shared" ref="A16:A30" ca="1" si="2">IF(B16&lt;&gt;"",A15+1,"")</f>
        <v/>
      </c>
      <c r="B16" s="405" t="str">
        <f ca="1">IF(ROWS($1:3)&gt;COUNT(Dong12),"",OFFSET(TH!E$1,SMALL(Dong12,ROWS($1:3)),))</f>
        <v/>
      </c>
      <c r="C16" s="469" t="str">
        <f ca="1">IF(ROWS($1:3)&gt;COUNT(Dong12),"",IF(MID(OFFSET(TH!D$1,SMALL(Dong12,ROWS($1:3)),),4,1)="N",OFFSET(TH!D$1,SMALL(Dong12,ROWS($1:3)),),""))</f>
        <v/>
      </c>
      <c r="D16" s="405" t="str">
        <f ca="1">IF(ROWS($1:3)&gt;COUNT(Dong12),"",IF(MID(OFFSET(TH!D$1,SMALL(Dong12,ROWS($1:3)),),4,1)="X",OFFSET(TH!D$1,SMALL(Dong12,ROWS($1:3)),),""))</f>
        <v/>
      </c>
      <c r="E16" s="672" t="str">
        <f ca="1">IF(ROWS($1:3)&gt;COUNT(Dong12),"",OFFSET(TH!H$1,SMALL(Dong12,ROWS($1:3)),))</f>
        <v/>
      </c>
      <c r="F16" s="405" t="str">
        <f t="shared" ca="1" si="0"/>
        <v/>
      </c>
      <c r="G16" s="406">
        <f ca="1">IF(ROWS($1:3)&gt;COUNT(Dong12),0,IF(MID(OFFSET(TH!D$1,SMALL(Dong12,ROWS($1:3)),),4,1)="N",OFFSET(TH!I$1,SMALL(Dong12,ROWS($1:3)),),0))</f>
        <v>0</v>
      </c>
      <c r="H16" s="406">
        <f ca="1">IF(ROWS($1:3)&gt;COUNT(Dong12),0,IF(MID(OFFSET(TH!D$1,SMALL(Dong12,ROWS($1:3)),),4,1)="X",OFFSET(TH!I$1,SMALL(Dong12,ROWS($1:3)),),0))</f>
        <v>0</v>
      </c>
      <c r="I16" s="407">
        <f t="shared" ca="1" si="1"/>
        <v>0</v>
      </c>
      <c r="J16" s="408"/>
      <c r="K16" s="409"/>
    </row>
    <row r="17" spans="1:11" ht="16.5" customHeight="1">
      <c r="A17" s="410" t="str">
        <f t="shared" ca="1" si="2"/>
        <v/>
      </c>
      <c r="B17" s="405" t="str">
        <f ca="1">IF(ROWS($1:4)&gt;COUNT(Dong12),"",OFFSET(TH!E$1,SMALL(Dong12,ROWS($1:4)),))</f>
        <v/>
      </c>
      <c r="C17" s="469" t="str">
        <f ca="1">IF(ROWS($1:4)&gt;COUNT(Dong12),"",IF(MID(OFFSET(TH!D$1,SMALL(Dong12,ROWS($1:4)),),4,1)="N",OFFSET(TH!D$1,SMALL(Dong12,ROWS($1:4)),),""))</f>
        <v/>
      </c>
      <c r="D17" s="405" t="str">
        <f ca="1">IF(ROWS($1:4)&gt;COUNT(Dong12),"",IF(MID(OFFSET(TH!D$1,SMALL(Dong12,ROWS($1:4)),),4,1)="X",OFFSET(TH!D$1,SMALL(Dong12,ROWS($1:4)),),""))</f>
        <v/>
      </c>
      <c r="E17" s="672" t="str">
        <f ca="1">IF(ROWS($1:4)&gt;COUNT(Dong12),"",OFFSET(TH!H$1,SMALL(Dong12,ROWS($1:4)),))</f>
        <v/>
      </c>
      <c r="F17" s="405" t="str">
        <f t="shared" ca="1" si="0"/>
        <v/>
      </c>
      <c r="G17" s="406">
        <f ca="1">IF(ROWS($1:4)&gt;COUNT(Dong12),0,IF(MID(OFFSET(TH!D$1,SMALL(Dong12,ROWS($1:4)),),4,1)="N",OFFSET(TH!I$1,SMALL(Dong12,ROWS($1:4)),),0))</f>
        <v>0</v>
      </c>
      <c r="H17" s="406">
        <f ca="1">IF(ROWS($1:4)&gt;COUNT(Dong12),0,IF(MID(OFFSET(TH!D$1,SMALL(Dong12,ROWS($1:4)),),4,1)="X",OFFSET(TH!I$1,SMALL(Dong12,ROWS($1:4)),),0))</f>
        <v>0</v>
      </c>
      <c r="I17" s="407">
        <f t="shared" ca="1" si="1"/>
        <v>0</v>
      </c>
      <c r="J17" s="408"/>
      <c r="K17" s="409"/>
    </row>
    <row r="18" spans="1:11" ht="16.5" customHeight="1">
      <c r="A18" s="410" t="str">
        <f t="shared" ca="1" si="2"/>
        <v/>
      </c>
      <c r="B18" s="405" t="str">
        <f ca="1">IF(ROWS($1:5)&gt;COUNT(Dong12),"",OFFSET(TH!E$1,SMALL(Dong12,ROWS($1:5)),))</f>
        <v/>
      </c>
      <c r="C18" s="469" t="str">
        <f ca="1">IF(ROWS($1:5)&gt;COUNT(Dong12),"",IF(MID(OFFSET(TH!D$1,SMALL(Dong12,ROWS($1:5)),),4,1)="N",OFFSET(TH!D$1,SMALL(Dong12,ROWS($1:5)),),""))</f>
        <v/>
      </c>
      <c r="D18" s="405" t="str">
        <f ca="1">IF(ROWS($1:5)&gt;COUNT(Dong12),"",IF(MID(OFFSET(TH!D$1,SMALL(Dong12,ROWS($1:5)),),4,1)="X",OFFSET(TH!D$1,SMALL(Dong12,ROWS($1:5)),),""))</f>
        <v/>
      </c>
      <c r="E18" s="672" t="str">
        <f ca="1">IF(ROWS($1:5)&gt;COUNT(Dong12),"",OFFSET(TH!H$1,SMALL(Dong12,ROWS($1:5)),))</f>
        <v/>
      </c>
      <c r="F18" s="405" t="str">
        <f t="shared" ca="1" si="0"/>
        <v/>
      </c>
      <c r="G18" s="406">
        <f ca="1">IF(ROWS($1:5)&gt;COUNT(Dong12),0,IF(MID(OFFSET(TH!D$1,SMALL(Dong12,ROWS($1:5)),),4,1)="N",OFFSET(TH!I$1,SMALL(Dong12,ROWS($1:5)),),0))</f>
        <v>0</v>
      </c>
      <c r="H18" s="406">
        <f ca="1">IF(ROWS($1:5)&gt;COUNT(Dong12),0,IF(MID(OFFSET(TH!D$1,SMALL(Dong12,ROWS($1:5)),),4,1)="X",OFFSET(TH!I$1,SMALL(Dong12,ROWS($1:5)),),0))</f>
        <v>0</v>
      </c>
      <c r="I18" s="407">
        <f t="shared" ca="1" si="1"/>
        <v>0</v>
      </c>
      <c r="J18" s="408"/>
      <c r="K18" s="409"/>
    </row>
    <row r="19" spans="1:11" ht="16.5" customHeight="1">
      <c r="A19" s="410" t="str">
        <f t="shared" ca="1" si="2"/>
        <v/>
      </c>
      <c r="B19" s="405" t="str">
        <f ca="1">IF(ROWS($1:6)&gt;COUNT(Dong12),"",OFFSET(TH!E$1,SMALL(Dong12,ROWS($1:6)),))</f>
        <v/>
      </c>
      <c r="C19" s="469" t="str">
        <f ca="1">IF(ROWS($1:6)&gt;COUNT(Dong12),"",IF(MID(OFFSET(TH!D$1,SMALL(Dong12,ROWS($1:6)),),4,1)="N",OFFSET(TH!D$1,SMALL(Dong12,ROWS($1:6)),),""))</f>
        <v/>
      </c>
      <c r="D19" s="405" t="str">
        <f ca="1">IF(ROWS($1:6)&gt;COUNT(Dong12),"",IF(MID(OFFSET(TH!D$1,SMALL(Dong12,ROWS($1:6)),),4,1)="X",OFFSET(TH!D$1,SMALL(Dong12,ROWS($1:6)),),""))</f>
        <v/>
      </c>
      <c r="E19" s="672" t="str">
        <f ca="1">IF(ROWS($1:6)&gt;COUNT(Dong12),"",OFFSET(TH!H$1,SMALL(Dong12,ROWS($1:6)),))</f>
        <v/>
      </c>
      <c r="F19" s="405" t="str">
        <f t="shared" ca="1" si="0"/>
        <v/>
      </c>
      <c r="G19" s="406">
        <f ca="1">IF(ROWS($1:6)&gt;COUNT(Dong12),0,IF(MID(OFFSET(TH!D$1,SMALL(Dong12,ROWS($1:6)),),4,1)="N",OFFSET(TH!I$1,SMALL(Dong12,ROWS($1:6)),),0))</f>
        <v>0</v>
      </c>
      <c r="H19" s="406">
        <f ca="1">IF(ROWS($1:6)&gt;COUNT(Dong12),0,IF(MID(OFFSET(TH!D$1,SMALL(Dong12,ROWS($1:6)),),4,1)="X",OFFSET(TH!I$1,SMALL(Dong12,ROWS($1:6)),),0))</f>
        <v>0</v>
      </c>
      <c r="I19" s="407">
        <f t="shared" ca="1" si="1"/>
        <v>0</v>
      </c>
      <c r="J19" s="408"/>
      <c r="K19" s="409"/>
    </row>
    <row r="20" spans="1:11" ht="16.5" customHeight="1">
      <c r="A20" s="410" t="str">
        <f t="shared" ca="1" si="2"/>
        <v/>
      </c>
      <c r="B20" s="405" t="str">
        <f ca="1">IF(ROWS($1:7)&gt;COUNT(Dong12),"",OFFSET(TH!E$1,SMALL(Dong12,ROWS($1:7)),))</f>
        <v/>
      </c>
      <c r="C20" s="469" t="str">
        <f ca="1">IF(ROWS($1:7)&gt;COUNT(Dong12),"",IF(MID(OFFSET(TH!D$1,SMALL(Dong12,ROWS($1:7)),),4,1)="N",OFFSET(TH!D$1,SMALL(Dong12,ROWS($1:7)),),""))</f>
        <v/>
      </c>
      <c r="D20" s="405" t="str">
        <f ca="1">IF(ROWS($1:7)&gt;COUNT(Dong12),"",IF(MID(OFFSET(TH!D$1,SMALL(Dong12,ROWS($1:7)),),4,1)="X",OFFSET(TH!D$1,SMALL(Dong12,ROWS($1:7)),),""))</f>
        <v/>
      </c>
      <c r="E20" s="672" t="str">
        <f ca="1">IF(ROWS($1:7)&gt;COUNT(Dong12),"",OFFSET(TH!H$1,SMALL(Dong12,ROWS($1:7)),))</f>
        <v/>
      </c>
      <c r="F20" s="405" t="str">
        <f t="shared" ca="1" si="0"/>
        <v/>
      </c>
      <c r="G20" s="406">
        <f ca="1">IF(ROWS($1:7)&gt;COUNT(Dong12),0,IF(MID(OFFSET(TH!D$1,SMALL(Dong12,ROWS($1:7)),),4,1)="N",OFFSET(TH!I$1,SMALL(Dong12,ROWS($1:7)),),0))</f>
        <v>0</v>
      </c>
      <c r="H20" s="406">
        <f ca="1">IF(ROWS($1:7)&gt;COUNT(Dong12),0,IF(MID(OFFSET(TH!D$1,SMALL(Dong12,ROWS($1:7)),),4,1)="X",OFFSET(TH!I$1,SMALL(Dong12,ROWS($1:7)),),0))</f>
        <v>0</v>
      </c>
      <c r="I20" s="407">
        <f t="shared" ca="1" si="1"/>
        <v>0</v>
      </c>
      <c r="J20" s="408"/>
      <c r="K20" s="409"/>
    </row>
    <row r="21" spans="1:11" ht="16.5" customHeight="1">
      <c r="A21" s="410" t="str">
        <f t="shared" ca="1" si="2"/>
        <v/>
      </c>
      <c r="B21" s="405" t="str">
        <f ca="1">IF(ROWS($1:8)&gt;COUNT(Dong12),"",OFFSET(TH!E$1,SMALL(Dong12,ROWS($1:8)),))</f>
        <v/>
      </c>
      <c r="C21" s="469" t="str">
        <f ca="1">IF(ROWS($1:8)&gt;COUNT(Dong12),"",IF(MID(OFFSET(TH!D$1,SMALL(Dong12,ROWS($1:8)),),4,1)="N",OFFSET(TH!D$1,SMALL(Dong12,ROWS($1:8)),),""))</f>
        <v/>
      </c>
      <c r="D21" s="405" t="str">
        <f ca="1">IF(ROWS($1:8)&gt;COUNT(Dong12),"",IF(MID(OFFSET(TH!D$1,SMALL(Dong12,ROWS($1:8)),),4,1)="X",OFFSET(TH!D$1,SMALL(Dong12,ROWS($1:8)),),""))</f>
        <v/>
      </c>
      <c r="E21" s="672" t="str">
        <f ca="1">IF(ROWS($1:8)&gt;COUNT(Dong12),"",OFFSET(TH!H$1,SMALL(Dong12,ROWS($1:8)),))</f>
        <v/>
      </c>
      <c r="F21" s="405" t="str">
        <f t="shared" ca="1" si="0"/>
        <v/>
      </c>
      <c r="G21" s="406">
        <f ca="1">IF(ROWS($1:8)&gt;COUNT(Dong12),0,IF(MID(OFFSET(TH!D$1,SMALL(Dong12,ROWS($1:8)),),4,1)="N",OFFSET(TH!I$1,SMALL(Dong12,ROWS($1:8)),),0))</f>
        <v>0</v>
      </c>
      <c r="H21" s="406">
        <f ca="1">IF(ROWS($1:8)&gt;COUNT(Dong12),0,IF(MID(OFFSET(TH!D$1,SMALL(Dong12,ROWS($1:8)),),4,1)="X",OFFSET(TH!I$1,SMALL(Dong12,ROWS($1:8)),),0))</f>
        <v>0</v>
      </c>
      <c r="I21" s="407">
        <f t="shared" ca="1" si="1"/>
        <v>0</v>
      </c>
      <c r="J21" s="408"/>
      <c r="K21" s="409"/>
    </row>
    <row r="22" spans="1:11" ht="16.5" customHeight="1">
      <c r="A22" s="410" t="str">
        <f t="shared" ca="1" si="2"/>
        <v/>
      </c>
      <c r="B22" s="405" t="str">
        <f ca="1">IF(ROWS($1:9)&gt;COUNT(Dong12),"",OFFSET(TH!E$1,SMALL(Dong12,ROWS($1:9)),))</f>
        <v/>
      </c>
      <c r="C22" s="469" t="str">
        <f ca="1">IF(ROWS($1:9)&gt;COUNT(Dong12),"",IF(MID(OFFSET(TH!D$1,SMALL(Dong12,ROWS($1:9)),),4,1)="N",OFFSET(TH!D$1,SMALL(Dong12,ROWS($1:9)),),""))</f>
        <v/>
      </c>
      <c r="D22" s="405" t="str">
        <f ca="1">IF(ROWS($1:9)&gt;COUNT(Dong12),"",IF(MID(OFFSET(TH!D$1,SMALL(Dong12,ROWS($1:9)),),4,1)="X",OFFSET(TH!D$1,SMALL(Dong12,ROWS($1:9)),),""))</f>
        <v/>
      </c>
      <c r="E22" s="672" t="str">
        <f ca="1">IF(ROWS($1:9)&gt;COUNT(Dong12),"",OFFSET(TH!H$1,SMALL(Dong12,ROWS($1:9)),))</f>
        <v/>
      </c>
      <c r="F22" s="405" t="str">
        <f t="shared" ca="1" si="0"/>
        <v/>
      </c>
      <c r="G22" s="406">
        <f ca="1">IF(ROWS($1:9)&gt;COUNT(Dong12),0,IF(MID(OFFSET(TH!D$1,SMALL(Dong12,ROWS($1:9)),),4,1)="N",OFFSET(TH!I$1,SMALL(Dong12,ROWS($1:9)),),0))</f>
        <v>0</v>
      </c>
      <c r="H22" s="406">
        <f ca="1">IF(ROWS($1:9)&gt;COUNT(Dong12),0,IF(MID(OFFSET(TH!D$1,SMALL(Dong12,ROWS($1:9)),),4,1)="X",OFFSET(TH!I$1,SMALL(Dong12,ROWS($1:9)),),0))</f>
        <v>0</v>
      </c>
      <c r="I22" s="407">
        <f t="shared" ca="1" si="1"/>
        <v>0</v>
      </c>
      <c r="J22" s="408"/>
      <c r="K22" s="409"/>
    </row>
    <row r="23" spans="1:11" ht="16.5" customHeight="1">
      <c r="A23" s="410" t="str">
        <f t="shared" ca="1" si="2"/>
        <v/>
      </c>
      <c r="B23" s="405" t="str">
        <f ca="1">IF(ROWS($1:10)&gt;COUNT(Dong12),"",OFFSET(TH!E$1,SMALL(Dong12,ROWS($1:10)),))</f>
        <v/>
      </c>
      <c r="C23" s="469" t="str">
        <f ca="1">IF(ROWS($1:10)&gt;COUNT(Dong12),"",IF(MID(OFFSET(TH!D$1,SMALL(Dong12,ROWS($1:10)),),4,1)="N",OFFSET(TH!D$1,SMALL(Dong12,ROWS($1:10)),),""))</f>
        <v/>
      </c>
      <c r="D23" s="405" t="str">
        <f ca="1">IF(ROWS($1:10)&gt;COUNT(Dong12),"",IF(MID(OFFSET(TH!D$1,SMALL(Dong12,ROWS($1:10)),),4,1)="X",OFFSET(TH!D$1,SMALL(Dong12,ROWS($1:10)),),""))</f>
        <v/>
      </c>
      <c r="E23" s="672" t="str">
        <f ca="1">IF(ROWS($1:10)&gt;COUNT(Dong12),"",OFFSET(TH!H$1,SMALL(Dong12,ROWS($1:10)),))</f>
        <v/>
      </c>
      <c r="F23" s="405" t="str">
        <f t="shared" ca="1" si="0"/>
        <v/>
      </c>
      <c r="G23" s="406">
        <f ca="1">IF(ROWS($1:10)&gt;COUNT(Dong12),0,IF(MID(OFFSET(TH!D$1,SMALL(Dong12,ROWS($1:10)),),4,1)="N",OFFSET(TH!I$1,SMALL(Dong12,ROWS($1:10)),),0))</f>
        <v>0</v>
      </c>
      <c r="H23" s="406">
        <f ca="1">IF(ROWS($1:10)&gt;COUNT(Dong12),0,IF(MID(OFFSET(TH!D$1,SMALL(Dong12,ROWS($1:10)),),4,1)="X",OFFSET(TH!I$1,SMALL(Dong12,ROWS($1:10)),),0))</f>
        <v>0</v>
      </c>
      <c r="I23" s="407">
        <f t="shared" ca="1" si="1"/>
        <v>0</v>
      </c>
      <c r="J23" s="408"/>
      <c r="K23" s="409"/>
    </row>
    <row r="24" spans="1:11" ht="16.5" customHeight="1">
      <c r="A24" s="410" t="str">
        <f t="shared" ca="1" si="2"/>
        <v/>
      </c>
      <c r="B24" s="405" t="str">
        <f ca="1">IF(ROWS($1:11)&gt;COUNT(Dong12),"",OFFSET(TH!E$1,SMALL(Dong12,ROWS($1:11)),))</f>
        <v/>
      </c>
      <c r="C24" s="469" t="str">
        <f ca="1">IF(ROWS($1:11)&gt;COUNT(Dong12),"",IF(MID(OFFSET(TH!D$1,SMALL(Dong12,ROWS($1:11)),),4,1)="N",OFFSET(TH!D$1,SMALL(Dong12,ROWS($1:11)),),""))</f>
        <v/>
      </c>
      <c r="D24" s="405" t="str">
        <f ca="1">IF(ROWS($1:11)&gt;COUNT(Dong12),"",IF(MID(OFFSET(TH!D$1,SMALL(Dong12,ROWS($1:11)),),4,1)="X",OFFSET(TH!D$1,SMALL(Dong12,ROWS($1:11)),),""))</f>
        <v/>
      </c>
      <c r="E24" s="672" t="str">
        <f ca="1">IF(ROWS($1:11)&gt;COUNT(Dong12),"",OFFSET(TH!H$1,SMALL(Dong12,ROWS($1:11)),))</f>
        <v/>
      </c>
      <c r="F24" s="405" t="str">
        <f t="shared" ca="1" si="0"/>
        <v/>
      </c>
      <c r="G24" s="406">
        <f ca="1">IF(ROWS($1:11)&gt;COUNT(Dong12),0,IF(MID(OFFSET(TH!D$1,SMALL(Dong12,ROWS($1:11)),),4,1)="N",OFFSET(TH!I$1,SMALL(Dong12,ROWS($1:11)),),0))</f>
        <v>0</v>
      </c>
      <c r="H24" s="406">
        <f ca="1">IF(ROWS($1:11)&gt;COUNT(Dong12),0,IF(MID(OFFSET(TH!D$1,SMALL(Dong12,ROWS($1:11)),),4,1)="X",OFFSET(TH!I$1,SMALL(Dong12,ROWS($1:11)),),0))</f>
        <v>0</v>
      </c>
      <c r="I24" s="407">
        <f t="shared" ca="1" si="1"/>
        <v>0</v>
      </c>
      <c r="J24" s="408"/>
      <c r="K24" s="409"/>
    </row>
    <row r="25" spans="1:11" ht="16.5" customHeight="1">
      <c r="A25" s="410" t="str">
        <f t="shared" ca="1" si="2"/>
        <v/>
      </c>
      <c r="B25" s="405" t="str">
        <f ca="1">IF(ROWS($1:12)&gt;COUNT(Dong12),"",OFFSET(TH!E$1,SMALL(Dong12,ROWS($1:12)),))</f>
        <v/>
      </c>
      <c r="C25" s="469" t="str">
        <f ca="1">IF(ROWS($1:12)&gt;COUNT(Dong12),"",IF(MID(OFFSET(TH!D$1,SMALL(Dong12,ROWS($1:12)),),4,1)="N",OFFSET(TH!D$1,SMALL(Dong12,ROWS($1:12)),),""))</f>
        <v/>
      </c>
      <c r="D25" s="405" t="str">
        <f ca="1">IF(ROWS($1:12)&gt;COUNT(Dong12),"",IF(MID(OFFSET(TH!D$1,SMALL(Dong12,ROWS($1:12)),),4,1)="X",OFFSET(TH!D$1,SMALL(Dong12,ROWS($1:12)),),""))</f>
        <v/>
      </c>
      <c r="E25" s="672" t="str">
        <f ca="1">IF(ROWS($1:12)&gt;COUNT(Dong12),"",OFFSET(TH!H$1,SMALL(Dong12,ROWS($1:12)),))</f>
        <v/>
      </c>
      <c r="F25" s="405" t="str">
        <f t="shared" ca="1" si="0"/>
        <v/>
      </c>
      <c r="G25" s="406">
        <f ca="1">IF(ROWS($1:12)&gt;COUNT(Dong12),0,IF(MID(OFFSET(TH!D$1,SMALL(Dong12,ROWS($1:12)),),4,1)="N",OFFSET(TH!I$1,SMALL(Dong12,ROWS($1:12)),),0))</f>
        <v>0</v>
      </c>
      <c r="H25" s="406">
        <f ca="1">IF(ROWS($1:12)&gt;COUNT(Dong12),0,IF(MID(OFFSET(TH!D$1,SMALL(Dong12,ROWS($1:12)),),4,1)="X",OFFSET(TH!I$1,SMALL(Dong12,ROWS($1:12)),),0))</f>
        <v>0</v>
      </c>
      <c r="I25" s="407">
        <f t="shared" ca="1" si="1"/>
        <v>0</v>
      </c>
      <c r="J25" s="408"/>
      <c r="K25" s="409"/>
    </row>
    <row r="26" spans="1:11" ht="16.5" customHeight="1">
      <c r="A26" s="410" t="str">
        <f t="shared" ca="1" si="2"/>
        <v/>
      </c>
      <c r="B26" s="405" t="str">
        <f ca="1">IF(ROWS($1:13)&gt;COUNT(Dong12),"",OFFSET(TH!E$1,SMALL(Dong12,ROWS($1:13)),))</f>
        <v/>
      </c>
      <c r="C26" s="469" t="str">
        <f ca="1">IF(ROWS($1:13)&gt;COUNT(Dong12),"",IF(MID(OFFSET(TH!D$1,SMALL(Dong12,ROWS($1:13)),),4,1)="N",OFFSET(TH!D$1,SMALL(Dong12,ROWS($1:13)),),""))</f>
        <v/>
      </c>
      <c r="D26" s="405" t="str">
        <f ca="1">IF(ROWS($1:13)&gt;COUNT(Dong12),"",IF(MID(OFFSET(TH!D$1,SMALL(Dong12,ROWS($1:13)),),4,1)="X",OFFSET(TH!D$1,SMALL(Dong12,ROWS($1:13)),),""))</f>
        <v/>
      </c>
      <c r="E26" s="672" t="str">
        <f ca="1">IF(ROWS($1:13)&gt;COUNT(Dong12),"",OFFSET(TH!H$1,SMALL(Dong12,ROWS($1:13)),))</f>
        <v/>
      </c>
      <c r="F26" s="405" t="str">
        <f t="shared" ca="1" si="0"/>
        <v/>
      </c>
      <c r="G26" s="406">
        <f ca="1">IF(ROWS($1:13)&gt;COUNT(Dong12),0,IF(MID(OFFSET(TH!D$1,SMALL(Dong12,ROWS($1:13)),),4,1)="N",OFFSET(TH!I$1,SMALL(Dong12,ROWS($1:13)),),0))</f>
        <v>0</v>
      </c>
      <c r="H26" s="406">
        <f ca="1">IF(ROWS($1:13)&gt;COUNT(Dong12),0,IF(MID(OFFSET(TH!D$1,SMALL(Dong12,ROWS($1:13)),),4,1)="X",OFFSET(TH!I$1,SMALL(Dong12,ROWS($1:13)),),0))</f>
        <v>0</v>
      </c>
      <c r="I26" s="407">
        <f t="shared" ca="1" si="1"/>
        <v>0</v>
      </c>
      <c r="J26" s="408"/>
      <c r="K26" s="409"/>
    </row>
    <row r="27" spans="1:11" ht="16.5" customHeight="1">
      <c r="A27" s="410" t="str">
        <f t="shared" ca="1" si="2"/>
        <v/>
      </c>
      <c r="B27" s="405" t="str">
        <f ca="1">IF(ROWS($1:14)&gt;COUNT(Dong12),"",OFFSET(TH!E$1,SMALL(Dong12,ROWS($1:14)),))</f>
        <v/>
      </c>
      <c r="C27" s="469" t="str">
        <f ca="1">IF(ROWS($1:14)&gt;COUNT(Dong12),"",IF(MID(OFFSET(TH!D$1,SMALL(Dong12,ROWS($1:14)),),4,1)="N",OFFSET(TH!D$1,SMALL(Dong12,ROWS($1:14)),),""))</f>
        <v/>
      </c>
      <c r="D27" s="405" t="str">
        <f ca="1">IF(ROWS($1:14)&gt;COUNT(Dong12),"",IF(MID(OFFSET(TH!D$1,SMALL(Dong12,ROWS($1:14)),),4,1)="X",OFFSET(TH!D$1,SMALL(Dong12,ROWS($1:14)),),""))</f>
        <v/>
      </c>
      <c r="E27" s="672" t="str">
        <f ca="1">IF(ROWS($1:14)&gt;COUNT(Dong12),"",OFFSET(TH!H$1,SMALL(Dong12,ROWS($1:14)),))</f>
        <v/>
      </c>
      <c r="F27" s="405" t="str">
        <f t="shared" ca="1" si="0"/>
        <v/>
      </c>
      <c r="G27" s="406">
        <f ca="1">IF(ROWS($1:14)&gt;COUNT(Dong12),0,IF(MID(OFFSET(TH!D$1,SMALL(Dong12,ROWS($1:14)),),4,1)="N",OFFSET(TH!I$1,SMALL(Dong12,ROWS($1:14)),),0))</f>
        <v>0</v>
      </c>
      <c r="H27" s="406">
        <f ca="1">IF(ROWS($1:14)&gt;COUNT(Dong12),0,IF(MID(OFFSET(TH!D$1,SMALL(Dong12,ROWS($1:14)),),4,1)="X",OFFSET(TH!I$1,SMALL(Dong12,ROWS($1:14)),),0))</f>
        <v>0</v>
      </c>
      <c r="I27" s="407">
        <f t="shared" ca="1" si="1"/>
        <v>0</v>
      </c>
      <c r="J27" s="408"/>
      <c r="K27" s="409"/>
    </row>
    <row r="28" spans="1:11" ht="16.5" customHeight="1">
      <c r="A28" s="410" t="str">
        <f t="shared" ca="1" si="2"/>
        <v/>
      </c>
      <c r="B28" s="405" t="str">
        <f ca="1">IF(ROWS($1:15)&gt;COUNT(Dong12),"",OFFSET(TH!E$1,SMALL(Dong12,ROWS($1:15)),))</f>
        <v/>
      </c>
      <c r="C28" s="469" t="str">
        <f ca="1">IF(ROWS($1:15)&gt;COUNT(Dong12),"",IF(MID(OFFSET(TH!D$1,SMALL(Dong12,ROWS($1:15)),),4,1)="N",OFFSET(TH!D$1,SMALL(Dong12,ROWS($1:15)),),""))</f>
        <v/>
      </c>
      <c r="D28" s="405" t="str">
        <f ca="1">IF(ROWS($1:15)&gt;COUNT(Dong12),"",IF(MID(OFFSET(TH!D$1,SMALL(Dong12,ROWS($1:15)),),4,1)="X",OFFSET(TH!D$1,SMALL(Dong12,ROWS($1:15)),),""))</f>
        <v/>
      </c>
      <c r="E28" s="672" t="str">
        <f ca="1">IF(ROWS($1:15)&gt;COUNT(Dong12),"",OFFSET(TH!H$1,SMALL(Dong12,ROWS($1:15)),))</f>
        <v/>
      </c>
      <c r="F28" s="405" t="str">
        <f t="shared" ca="1" si="0"/>
        <v/>
      </c>
      <c r="G28" s="406">
        <f ca="1">IF(ROWS($1:15)&gt;COUNT(Dong12),0,IF(MID(OFFSET(TH!D$1,SMALL(Dong12,ROWS($1:15)),),4,1)="N",OFFSET(TH!I$1,SMALL(Dong12,ROWS($1:15)),),0))</f>
        <v>0</v>
      </c>
      <c r="H28" s="406">
        <f ca="1">IF(ROWS($1:15)&gt;COUNT(Dong12),0,IF(MID(OFFSET(TH!D$1,SMALL(Dong12,ROWS($1:15)),),4,1)="X",OFFSET(TH!I$1,SMALL(Dong12,ROWS($1:15)),),0))</f>
        <v>0</v>
      </c>
      <c r="I28" s="407">
        <f t="shared" ca="1" si="1"/>
        <v>0</v>
      </c>
      <c r="J28" s="408"/>
      <c r="K28" s="409"/>
    </row>
    <row r="29" spans="1:11" ht="16.5" customHeight="1">
      <c r="A29" s="410" t="str">
        <f t="shared" ca="1" si="2"/>
        <v/>
      </c>
      <c r="B29" s="405" t="str">
        <f ca="1">IF(ROWS($1:16)&gt;COUNT(Dong12),"",OFFSET(TH!E$1,SMALL(Dong12,ROWS($1:16)),))</f>
        <v/>
      </c>
      <c r="C29" s="469" t="str">
        <f ca="1">IF(ROWS($1:16)&gt;COUNT(Dong12),"",IF(MID(OFFSET(TH!D$1,SMALL(Dong12,ROWS($1:16)),),4,1)="N",OFFSET(TH!D$1,SMALL(Dong12,ROWS($1:16)),),""))</f>
        <v/>
      </c>
      <c r="D29" s="405" t="str">
        <f ca="1">IF(ROWS($1:16)&gt;COUNT(Dong12),"",IF(MID(OFFSET(TH!D$1,SMALL(Dong12,ROWS($1:16)),),4,1)="X",OFFSET(TH!D$1,SMALL(Dong12,ROWS($1:16)),),""))</f>
        <v/>
      </c>
      <c r="E29" s="672" t="str">
        <f ca="1">IF(ROWS($1:16)&gt;COUNT(Dong12),"",OFFSET(TH!H$1,SMALL(Dong12,ROWS($1:16)),))</f>
        <v/>
      </c>
      <c r="F29" s="405" t="str">
        <f t="shared" ca="1" si="0"/>
        <v/>
      </c>
      <c r="G29" s="406">
        <f ca="1">IF(ROWS($1:16)&gt;COUNT(Dong12),0,IF(MID(OFFSET(TH!D$1,SMALL(Dong12,ROWS($1:16)),),4,1)="N",OFFSET(TH!I$1,SMALL(Dong12,ROWS($1:16)),),0))</f>
        <v>0</v>
      </c>
      <c r="H29" s="406">
        <f ca="1">IF(ROWS($1:16)&gt;COUNT(Dong12),0,IF(MID(OFFSET(TH!D$1,SMALL(Dong12,ROWS($1:16)),),4,1)="X",OFFSET(TH!I$1,SMALL(Dong12,ROWS($1:16)),),0))</f>
        <v>0</v>
      </c>
      <c r="I29" s="407">
        <f t="shared" ca="1" si="1"/>
        <v>0</v>
      </c>
      <c r="J29" s="408"/>
      <c r="K29" s="409"/>
    </row>
    <row r="30" spans="1:11" ht="16.5" customHeight="1">
      <c r="A30" s="410" t="str">
        <f t="shared" ca="1" si="2"/>
        <v/>
      </c>
      <c r="B30" s="405" t="str">
        <f ca="1">IF(ROWS($1:17)&gt;COUNT(Dong12),"",OFFSET(TH!E$1,SMALL(Dong12,ROWS($1:17)),))</f>
        <v/>
      </c>
      <c r="C30" s="469" t="str">
        <f ca="1">IF(ROWS($1:17)&gt;COUNT(Dong12),"",IF(MID(OFFSET(TH!D$1,SMALL(Dong12,ROWS($1:17)),),4,1)="N",OFFSET(TH!D$1,SMALL(Dong12,ROWS($1:17)),),""))</f>
        <v/>
      </c>
      <c r="D30" s="405" t="str">
        <f ca="1">IF(ROWS($1:17)&gt;COUNT(Dong12),"",IF(MID(OFFSET(TH!D$1,SMALL(Dong12,ROWS($1:17)),),4,1)="X",OFFSET(TH!D$1,SMALL(Dong12,ROWS($1:17)),),""))</f>
        <v/>
      </c>
      <c r="E30" s="672" t="str">
        <f ca="1">IF(ROWS($1:17)&gt;COUNT(Dong12),"",OFFSET(TH!H$1,SMALL(Dong12,ROWS($1:17)),))</f>
        <v/>
      </c>
      <c r="F30" s="405" t="str">
        <f t="shared" ca="1" si="0"/>
        <v/>
      </c>
      <c r="G30" s="406">
        <f ca="1">IF(ROWS($1:17)&gt;COUNT(Dong12),0,IF(MID(OFFSET(TH!D$1,SMALL(Dong12,ROWS($1:17)),),4,1)="N",OFFSET(TH!I$1,SMALL(Dong12,ROWS($1:17)),),0))</f>
        <v>0</v>
      </c>
      <c r="H30" s="406">
        <f ca="1">IF(ROWS($1:17)&gt;COUNT(Dong12),0,IF(MID(OFFSET(TH!D$1,SMALL(Dong12,ROWS($1:17)),),4,1)="X",OFFSET(TH!I$1,SMALL(Dong12,ROWS($1:17)),),0))</f>
        <v>0</v>
      </c>
      <c r="I30" s="407">
        <f t="shared" ca="1" si="1"/>
        <v>0</v>
      </c>
      <c r="J30" s="408"/>
      <c r="K30" s="409"/>
    </row>
    <row r="31" spans="1:11" ht="16.5" customHeight="1">
      <c r="A31" s="411" t="str">
        <f>IF(D31&lt;&gt;"",A21+1,"")</f>
        <v/>
      </c>
      <c r="B31" s="412"/>
      <c r="C31" s="413"/>
      <c r="D31" s="413"/>
      <c r="E31" s="673"/>
      <c r="F31" s="412"/>
      <c r="G31" s="414"/>
      <c r="H31" s="414"/>
      <c r="I31" s="414"/>
      <c r="J31" s="415"/>
      <c r="K31" s="409"/>
    </row>
    <row r="32" spans="1:11" ht="16.5" customHeight="1">
      <c r="A32" s="399"/>
      <c r="B32" s="416"/>
      <c r="C32" s="399"/>
      <c r="D32" s="399"/>
      <c r="E32" s="400" t="s">
        <v>243</v>
      </c>
      <c r="F32" s="417" t="s">
        <v>19</v>
      </c>
      <c r="G32" s="418">
        <f ca="1">SUM(G14:G31)</f>
        <v>0</v>
      </c>
      <c r="H32" s="418">
        <f ca="1">SUM(H14:H31)</f>
        <v>0</v>
      </c>
      <c r="I32" s="418" t="e">
        <f ca="1">I13+G32-H32</f>
        <v>#N/A</v>
      </c>
      <c r="J32" s="399" t="s">
        <v>19</v>
      </c>
      <c r="K32" s="419"/>
    </row>
    <row r="33" spans="1:11" ht="12.75" customHeight="1">
      <c r="A33" s="420"/>
      <c r="B33" s="378"/>
      <c r="C33" s="420"/>
      <c r="D33" s="420"/>
      <c r="E33" s="384"/>
      <c r="F33" s="378"/>
      <c r="G33" s="385"/>
      <c r="H33" s="385"/>
      <c r="I33" s="385"/>
      <c r="J33" s="374"/>
      <c r="K33" s="374"/>
    </row>
    <row r="34" spans="1:11" ht="15">
      <c r="A34" s="421" t="s">
        <v>244</v>
      </c>
      <c r="B34" s="421"/>
      <c r="C34" s="422"/>
      <c r="D34" s="422"/>
      <c r="E34" s="384"/>
      <c r="F34" s="378"/>
      <c r="G34" s="385"/>
      <c r="H34" s="385"/>
      <c r="I34" s="385"/>
      <c r="J34" s="374"/>
      <c r="K34" s="374"/>
    </row>
    <row r="35" spans="1:11" ht="15">
      <c r="A35" s="104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47"/>
      <c r="C35" s="1047"/>
      <c r="D35" s="1047"/>
      <c r="E35" s="1047"/>
      <c r="F35" s="378"/>
      <c r="G35" s="385"/>
      <c r="H35" s="385"/>
      <c r="I35" s="385"/>
      <c r="J35" s="374"/>
      <c r="K35" s="374"/>
    </row>
    <row r="36" spans="1:11" ht="15">
      <c r="A36" s="423"/>
      <c r="B36" s="424"/>
      <c r="C36" s="425"/>
      <c r="D36" s="420"/>
      <c r="E36" s="384"/>
      <c r="F36" s="378"/>
      <c r="H36" s="306"/>
      <c r="I36" s="562" t="e">
        <f ca="1">"Ngày 31 tháng  12  năm  "&amp;YEAR($B$14)</f>
        <v>#VALUE!</v>
      </c>
      <c r="J36" s="306"/>
      <c r="K36" s="307"/>
    </row>
    <row r="37" spans="1:11" ht="15" customHeight="1">
      <c r="A37" s="423"/>
      <c r="C37" s="426" t="s">
        <v>245</v>
      </c>
      <c r="D37" s="420"/>
      <c r="E37" s="1048" t="s">
        <v>12</v>
      </c>
      <c r="F37" s="1048"/>
      <c r="G37" s="385"/>
      <c r="I37" s="595" t="s">
        <v>109</v>
      </c>
      <c r="J37" s="376"/>
      <c r="K37" s="423"/>
    </row>
    <row r="38" spans="1:11" ht="15" customHeight="1">
      <c r="A38" s="427"/>
      <c r="C38" s="428" t="s">
        <v>13</v>
      </c>
      <c r="D38" s="429"/>
      <c r="E38" s="1042" t="s">
        <v>13</v>
      </c>
      <c r="F38" s="1042"/>
      <c r="G38" s="385"/>
      <c r="I38" s="596" t="s">
        <v>136</v>
      </c>
      <c r="J38" s="594"/>
      <c r="K38" s="427"/>
    </row>
    <row r="39" spans="1:11" ht="15">
      <c r="A39" s="427"/>
      <c r="C39" s="428"/>
      <c r="D39" s="420"/>
      <c r="E39" s="430"/>
      <c r="F39" s="431"/>
      <c r="G39" s="385"/>
      <c r="H39" s="427"/>
      <c r="I39" s="427"/>
      <c r="J39" s="427"/>
      <c r="K39" s="427"/>
    </row>
    <row r="40" spans="1:11" ht="15">
      <c r="A40" s="427"/>
      <c r="B40" s="428"/>
      <c r="C40" s="427"/>
      <c r="D40" s="420"/>
      <c r="E40" s="430"/>
      <c r="F40" s="431"/>
      <c r="G40" s="385"/>
      <c r="H40" s="427"/>
      <c r="I40" s="427"/>
      <c r="J40" s="427"/>
      <c r="K40" s="427"/>
    </row>
    <row r="41" spans="1:11" ht="15">
      <c r="A41" s="427"/>
      <c r="B41" s="428"/>
      <c r="C41" s="427"/>
      <c r="D41" s="420"/>
      <c r="E41" s="430"/>
      <c r="F41" s="431"/>
      <c r="G41" s="385"/>
      <c r="H41" s="427"/>
      <c r="I41" s="427"/>
      <c r="J41" s="427"/>
      <c r="K41" s="427"/>
    </row>
    <row r="46" spans="1:11" ht="15">
      <c r="C46" s="597" t="s">
        <v>348</v>
      </c>
      <c r="H46" s="593"/>
      <c r="I46" s="592" t="s">
        <v>103</v>
      </c>
      <c r="J46" s="593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54" customWidth="1"/>
    <col min="2" max="2" width="23.140625" style="754" customWidth="1"/>
    <col min="3" max="3" width="12.140625" style="754" customWidth="1"/>
    <col min="4" max="4" width="11" style="754" customWidth="1"/>
    <col min="5" max="5" width="9.7109375" style="754" customWidth="1"/>
    <col min="6" max="6" width="11.140625" style="754" customWidth="1"/>
    <col min="7" max="7" width="10.140625" style="754" customWidth="1"/>
    <col min="8" max="8" width="10.85546875" style="754" customWidth="1"/>
    <col min="9" max="9" width="9.7109375" style="754" customWidth="1"/>
    <col min="10" max="10" width="13.7109375" style="438" hidden="1" customWidth="1"/>
    <col min="11" max="11" width="12" style="754" customWidth="1"/>
    <col min="12" max="13" width="7.42578125" style="754" customWidth="1"/>
    <col min="14" max="14" width="7.140625" style="766" customWidth="1"/>
    <col min="15" max="15" width="2" style="766" customWidth="1"/>
    <col min="16" max="16" width="23" style="754" customWidth="1"/>
    <col min="17" max="17" width="10.140625" style="767" customWidth="1"/>
    <col min="18" max="18" width="6.42578125" style="768" customWidth="1"/>
    <col min="19" max="19" width="7" style="822" customWidth="1"/>
    <col min="20" max="20" width="7.5703125" style="289" customWidth="1"/>
    <col min="21" max="21" width="12.42578125" style="754" customWidth="1"/>
    <col min="22" max="22" width="15.85546875" style="754" customWidth="1"/>
    <col min="23" max="23" width="8.28515625" style="767" customWidth="1"/>
    <col min="24" max="24" width="7.5703125" style="289" customWidth="1"/>
    <col min="25" max="25" width="9" style="289" customWidth="1"/>
    <col min="26" max="26" width="9.7109375" style="754" customWidth="1"/>
    <col min="27" max="27" width="10.28515625" style="754" customWidth="1"/>
    <col min="28" max="16384" width="10.28515625" style="754"/>
  </cols>
  <sheetData>
    <row r="1" spans="1:28">
      <c r="B1" s="754">
        <v>1</v>
      </c>
      <c r="C1" s="754">
        <v>5</v>
      </c>
      <c r="D1" s="754">
        <v>6</v>
      </c>
      <c r="E1" s="754">
        <v>7</v>
      </c>
      <c r="F1" s="754">
        <v>8</v>
      </c>
      <c r="G1" s="754">
        <v>9</v>
      </c>
      <c r="H1" s="754">
        <v>10</v>
      </c>
      <c r="I1" s="754">
        <v>11</v>
      </c>
      <c r="J1" s="438">
        <v>12</v>
      </c>
      <c r="K1" s="754">
        <v>13</v>
      </c>
      <c r="L1" s="754">
        <v>14</v>
      </c>
      <c r="M1" s="754">
        <v>15</v>
      </c>
    </row>
    <row r="2" spans="1:28" ht="18" customHeight="1">
      <c r="A2" s="576" t="str">
        <f>TH!$A$1</f>
        <v>Đơn vị: CÔNG TY TNHH MỘT THÀNH VIÊN KHỞI NGUYÊN AN</v>
      </c>
      <c r="B2" s="755"/>
      <c r="C2" s="289"/>
      <c r="D2" s="289"/>
      <c r="E2" s="289"/>
      <c r="F2" s="289"/>
      <c r="G2" s="289"/>
      <c r="H2" s="289"/>
      <c r="I2" s="289"/>
      <c r="J2" s="439"/>
      <c r="K2" s="289"/>
      <c r="L2" s="604"/>
      <c r="M2" s="289"/>
      <c r="N2" s="769"/>
      <c r="O2" s="769"/>
      <c r="P2" s="289"/>
      <c r="Q2" s="748"/>
      <c r="V2" s="289"/>
      <c r="W2" s="748"/>
    </row>
    <row r="3" spans="1:28" ht="18.75" customHeight="1">
      <c r="A3" s="756" t="s">
        <v>551</v>
      </c>
      <c r="B3" s="756"/>
      <c r="C3" s="756"/>
      <c r="D3" s="756"/>
      <c r="E3" s="756"/>
      <c r="F3" s="756"/>
      <c r="G3" s="756"/>
      <c r="H3" s="756"/>
      <c r="I3" s="756"/>
      <c r="J3" s="440"/>
      <c r="K3" s="756"/>
      <c r="L3" s="756"/>
      <c r="M3" s="756"/>
      <c r="N3" s="769"/>
      <c r="O3" s="769"/>
      <c r="P3" s="289"/>
      <c r="Q3" s="748"/>
      <c r="V3" s="289"/>
      <c r="W3" s="748"/>
    </row>
    <row r="4" spans="1:28" ht="18.75" customHeight="1">
      <c r="A4" s="756"/>
      <c r="B4" s="757"/>
      <c r="C4" s="757"/>
      <c r="D4" s="757"/>
      <c r="E4" s="757"/>
      <c r="F4" s="757"/>
      <c r="G4" s="757"/>
      <c r="H4" s="757"/>
      <c r="I4" s="756"/>
      <c r="J4" s="441"/>
      <c r="K4" s="757"/>
      <c r="L4" s="770"/>
      <c r="M4" s="757"/>
      <c r="N4" s="769"/>
      <c r="O4" s="769"/>
      <c r="P4" s="289"/>
      <c r="Q4" s="748"/>
      <c r="V4" s="289"/>
      <c r="W4" s="748"/>
    </row>
    <row r="5" spans="1:28" ht="12.75" customHeight="1">
      <c r="A5" s="812"/>
      <c r="B5" s="804"/>
      <c r="C5" s="804"/>
      <c r="D5" s="804"/>
      <c r="E5" s="804"/>
      <c r="F5" s="804"/>
      <c r="G5" s="804"/>
      <c r="H5" s="804"/>
      <c r="I5" s="804"/>
      <c r="J5" s="442"/>
      <c r="K5" s="804"/>
      <c r="L5" s="771"/>
      <c r="M5" s="804"/>
      <c r="N5" s="769"/>
      <c r="O5" s="769"/>
      <c r="P5" s="764"/>
      <c r="Q5" s="812"/>
      <c r="R5" s="812"/>
      <c r="S5" s="823"/>
      <c r="T5" s="772"/>
      <c r="U5" s="812"/>
      <c r="V5" s="812"/>
      <c r="W5" s="812"/>
      <c r="X5" s="812"/>
      <c r="Y5" s="812"/>
      <c r="Z5" s="812"/>
      <c r="AA5" s="764"/>
      <c r="AB5" s="764"/>
    </row>
    <row r="6" spans="1:28" s="448" customFormat="1" ht="30.75" customHeight="1">
      <c r="A6" s="836" t="s">
        <v>35</v>
      </c>
      <c r="B6" s="443" t="s">
        <v>246</v>
      </c>
      <c r="C6" s="444" t="s">
        <v>250</v>
      </c>
      <c r="D6" s="444" t="s">
        <v>562</v>
      </c>
      <c r="E6" s="444" t="s">
        <v>251</v>
      </c>
      <c r="F6" s="444" t="s">
        <v>550</v>
      </c>
      <c r="G6" s="444" t="s">
        <v>252</v>
      </c>
      <c r="H6" s="445" t="s">
        <v>253</v>
      </c>
      <c r="I6" s="444" t="s">
        <v>549</v>
      </c>
      <c r="J6" s="445" t="s">
        <v>254</v>
      </c>
      <c r="K6" s="444" t="s">
        <v>255</v>
      </c>
      <c r="L6" s="446" t="s">
        <v>248</v>
      </c>
      <c r="M6" s="444" t="s">
        <v>256</v>
      </c>
      <c r="N6" s="447"/>
      <c r="O6" s="447"/>
      <c r="P6" s="443" t="s">
        <v>246</v>
      </c>
      <c r="Q6" s="444" t="s">
        <v>240</v>
      </c>
      <c r="R6" s="749" t="s">
        <v>247</v>
      </c>
      <c r="S6" s="824" t="s">
        <v>205</v>
      </c>
      <c r="T6" s="444" t="s">
        <v>249</v>
      </c>
      <c r="U6" s="444" t="s">
        <v>257</v>
      </c>
      <c r="V6" s="443" t="s">
        <v>246</v>
      </c>
      <c r="W6" s="444" t="s">
        <v>240</v>
      </c>
      <c r="X6" s="444" t="s">
        <v>205</v>
      </c>
      <c r="Y6" s="444" t="s">
        <v>249</v>
      </c>
      <c r="Z6" s="443" t="s">
        <v>257</v>
      </c>
    </row>
    <row r="7" spans="1:28">
      <c r="A7" s="758" t="str">
        <f>IF(B7&lt;&gt;"",ROW()-(ROW()-1),"")</f>
        <v/>
      </c>
      <c r="B7" s="293"/>
      <c r="C7" s="25">
        <f>U7</f>
        <v>0</v>
      </c>
      <c r="D7" s="759">
        <f t="shared" ref="D7:I8" si="0">IF($L$10&lt;&gt;0,D$10/$L$10*$L7,0)</f>
        <v>0</v>
      </c>
      <c r="E7" s="759">
        <f t="shared" si="0"/>
        <v>0</v>
      </c>
      <c r="F7" s="759">
        <f t="shared" si="0"/>
        <v>0</v>
      </c>
      <c r="G7" s="759">
        <f t="shared" si="0"/>
        <v>0</v>
      </c>
      <c r="H7" s="759">
        <f t="shared" si="0"/>
        <v>0</v>
      </c>
      <c r="I7" s="759">
        <f t="shared" si="0"/>
        <v>0</v>
      </c>
      <c r="J7" s="360"/>
      <c r="K7" s="25">
        <f>C7+E7+D7+G7+I7+H7+J7</f>
        <v>0</v>
      </c>
      <c r="L7" s="759"/>
      <c r="M7" s="759" t="str">
        <f>IF(L7&lt;&gt;"",K7/L7,"")</f>
        <v/>
      </c>
      <c r="N7" s="773"/>
      <c r="O7" s="773"/>
      <c r="P7" s="449"/>
      <c r="Q7" s="774"/>
      <c r="R7" s="775"/>
      <c r="S7" s="301"/>
      <c r="T7" s="808"/>
      <c r="U7" s="25">
        <f>ROUND(S7*T7,0)</f>
        <v>0</v>
      </c>
      <c r="V7" s="449"/>
      <c r="W7" s="774"/>
      <c r="X7" s="808"/>
      <c r="Y7" s="808"/>
      <c r="Z7" s="25">
        <f>X7*Y7</f>
        <v>0</v>
      </c>
    </row>
    <row r="8" spans="1:28">
      <c r="A8" s="758" t="str">
        <f>IF(B8&lt;&gt;"",A7+1,"")</f>
        <v/>
      </c>
      <c r="B8" s="293"/>
      <c r="C8" s="25">
        <f t="shared" ref="C8" si="1">U8</f>
        <v>0</v>
      </c>
      <c r="D8" s="759">
        <f t="shared" si="0"/>
        <v>0</v>
      </c>
      <c r="E8" s="759">
        <f t="shared" si="0"/>
        <v>0</v>
      </c>
      <c r="F8" s="759">
        <f t="shared" si="0"/>
        <v>0</v>
      </c>
      <c r="G8" s="759">
        <f t="shared" si="0"/>
        <v>0</v>
      </c>
      <c r="H8" s="759">
        <f t="shared" si="0"/>
        <v>0</v>
      </c>
      <c r="I8" s="759">
        <f t="shared" si="0"/>
        <v>0</v>
      </c>
      <c r="J8" s="360"/>
      <c r="K8" s="25">
        <f>C8+E8+D8+G8+I8+H8+J8</f>
        <v>0</v>
      </c>
      <c r="L8" s="254"/>
      <c r="M8" s="759" t="str">
        <f>IF(L8&lt;&gt;"",K8/L8,"")</f>
        <v/>
      </c>
      <c r="N8" s="773"/>
      <c r="O8" s="773"/>
      <c r="P8" s="451"/>
      <c r="Q8" s="776"/>
      <c r="R8" s="777"/>
      <c r="S8" s="825"/>
      <c r="T8" s="806"/>
      <c r="U8" s="8">
        <f t="shared" ref="U8" si="2">ROUND(S8*T8,0)</f>
        <v>0</v>
      </c>
      <c r="V8" s="451"/>
      <c r="W8" s="776"/>
      <c r="X8" s="806"/>
      <c r="Y8" s="806"/>
      <c r="Z8" s="8">
        <f t="shared" ref="Z8" si="3">X8*Y8</f>
        <v>0</v>
      </c>
    </row>
    <row r="9" spans="1:28" s="780" customFormat="1">
      <c r="A9" s="758"/>
      <c r="B9" s="293"/>
      <c r="C9" s="25"/>
      <c r="D9" s="759"/>
      <c r="E9" s="759"/>
      <c r="F9" s="759"/>
      <c r="G9" s="759"/>
      <c r="H9" s="759"/>
      <c r="I9" s="759"/>
      <c r="J9" s="360"/>
      <c r="K9" s="25"/>
      <c r="L9" s="254"/>
      <c r="M9" s="759"/>
      <c r="N9" s="671"/>
      <c r="O9" s="671"/>
      <c r="P9" s="778"/>
      <c r="Q9" s="776"/>
      <c r="R9" s="779"/>
      <c r="S9" s="826"/>
      <c r="T9" s="807"/>
      <c r="U9" s="807"/>
      <c r="V9" s="778"/>
      <c r="W9" s="776"/>
      <c r="X9" s="807"/>
      <c r="Y9" s="807"/>
      <c r="Z9" s="8"/>
    </row>
    <row r="10" spans="1:28" s="755" customFormat="1">
      <c r="A10" s="760"/>
      <c r="B10" s="761" t="s">
        <v>258</v>
      </c>
      <c r="C10" s="538">
        <f>SUM(C7:C9)</f>
        <v>0</v>
      </c>
      <c r="D10" s="538"/>
      <c r="E10" s="538">
        <f>$Z$10</f>
        <v>0</v>
      </c>
      <c r="F10" s="538"/>
      <c r="G10" s="538"/>
      <c r="H10" s="538"/>
      <c r="I10" s="538"/>
      <c r="J10" s="452">
        <f>ROUND(SUM(J7:J9),0)</f>
        <v>0</v>
      </c>
      <c r="K10" s="538">
        <f>ROUND(SUM(K7:K9),0)</f>
        <v>0</v>
      </c>
      <c r="L10" s="538">
        <f>ROUND(SUM(L7:L9),0)</f>
        <v>0</v>
      </c>
      <c r="M10" s="538"/>
      <c r="N10" s="769"/>
      <c r="O10" s="769"/>
      <c r="P10" s="781"/>
      <c r="Q10" s="782"/>
      <c r="R10" s="783"/>
      <c r="S10" s="827">
        <f>SUM(S7:S9)</f>
        <v>0</v>
      </c>
      <c r="T10" s="47"/>
      <c r="U10" s="47">
        <f>SUM(U7:U9)</f>
        <v>0</v>
      </c>
      <c r="V10" s="781"/>
      <c r="W10" s="782"/>
      <c r="X10" s="795"/>
      <c r="Y10" s="27"/>
      <c r="Z10" s="47">
        <f>SUM(Z7:Z9)</f>
        <v>0</v>
      </c>
    </row>
    <row r="11" spans="1:28" s="755" customFormat="1">
      <c r="A11" s="762"/>
      <c r="B11" s="763"/>
      <c r="C11" s="756"/>
      <c r="D11" s="756"/>
      <c r="E11" s="756"/>
      <c r="F11" s="756"/>
      <c r="G11" s="756"/>
      <c r="H11" s="756"/>
      <c r="I11" s="756"/>
      <c r="J11" s="453"/>
      <c r="K11" s="756"/>
      <c r="L11" s="756"/>
      <c r="M11" s="756"/>
      <c r="N11" s="769"/>
      <c r="O11" s="769"/>
      <c r="P11" s="454"/>
      <c r="Q11" s="784"/>
      <c r="R11" s="785"/>
      <c r="S11" s="828"/>
      <c r="T11" s="772"/>
      <c r="U11" s="786"/>
      <c r="V11" s="454"/>
      <c r="W11" s="784"/>
      <c r="X11" s="772"/>
      <c r="Y11" s="772"/>
      <c r="Z11" s="754"/>
    </row>
    <row r="12" spans="1:28">
      <c r="C12" s="764"/>
      <c r="D12" s="764"/>
      <c r="E12" s="765"/>
      <c r="F12" s="765"/>
      <c r="K12" s="787"/>
      <c r="L12" s="756"/>
      <c r="P12" s="454"/>
      <c r="Q12" s="784"/>
      <c r="R12" s="785"/>
      <c r="S12" s="828"/>
      <c r="T12" s="772"/>
      <c r="U12" s="786"/>
      <c r="V12" s="454"/>
      <c r="W12" s="784"/>
      <c r="X12" s="772"/>
      <c r="Y12" s="772"/>
    </row>
    <row r="13" spans="1:28" ht="18" customHeight="1">
      <c r="A13" s="576" t="str">
        <f>TH!$A$1</f>
        <v>Đơn vị: CÔNG TY TNHH MỘT THÀNH VIÊN KHỞI NGUYÊN AN</v>
      </c>
      <c r="B13" s="755"/>
      <c r="C13" s="289"/>
      <c r="D13" s="289"/>
      <c r="E13" s="289"/>
      <c r="F13" s="289"/>
      <c r="G13" s="289"/>
      <c r="H13" s="289"/>
      <c r="I13" s="289"/>
      <c r="J13" s="439"/>
      <c r="K13" s="289"/>
      <c r="L13" s="604"/>
      <c r="M13" s="289"/>
      <c r="N13" s="769"/>
      <c r="O13" s="769"/>
      <c r="P13" s="454"/>
      <c r="Q13" s="784"/>
      <c r="R13" s="785"/>
      <c r="S13" s="828"/>
      <c r="T13" s="772"/>
      <c r="U13" s="786"/>
      <c r="V13" s="454"/>
      <c r="W13" s="784"/>
      <c r="X13" s="772"/>
      <c r="Y13" s="772"/>
      <c r="AA13" s="764"/>
    </row>
    <row r="14" spans="1:28" ht="18.75" customHeight="1">
      <c r="A14" s="756" t="s">
        <v>552</v>
      </c>
      <c r="B14" s="756"/>
      <c r="C14" s="756"/>
      <c r="D14" s="756"/>
      <c r="E14" s="756"/>
      <c r="F14" s="756"/>
      <c r="G14" s="756"/>
      <c r="H14" s="756"/>
      <c r="I14" s="756"/>
      <c r="J14" s="440"/>
      <c r="K14" s="756"/>
      <c r="L14" s="756"/>
      <c r="M14" s="756"/>
      <c r="N14" s="769"/>
      <c r="O14" s="769"/>
      <c r="P14" s="454"/>
      <c r="Q14" s="784"/>
      <c r="R14" s="785"/>
      <c r="S14" s="828"/>
      <c r="T14" s="772"/>
      <c r="U14" s="786"/>
      <c r="V14" s="454"/>
      <c r="W14" s="784"/>
      <c r="X14" s="772"/>
      <c r="Y14" s="772"/>
    </row>
    <row r="15" spans="1:28" ht="18.75" hidden="1" customHeight="1">
      <c r="A15" s="756"/>
      <c r="B15" s="757"/>
      <c r="C15" s="757"/>
      <c r="D15" s="757"/>
      <c r="E15" s="757"/>
      <c r="F15" s="757"/>
      <c r="G15" s="757"/>
      <c r="H15" s="757"/>
      <c r="I15" s="756"/>
      <c r="J15" s="441"/>
      <c r="K15" s="757"/>
      <c r="L15" s="770"/>
      <c r="M15" s="757"/>
      <c r="N15" s="769"/>
      <c r="O15" s="769"/>
      <c r="P15" s="454"/>
      <c r="Q15" s="784"/>
      <c r="R15" s="785"/>
      <c r="S15" s="828"/>
      <c r="T15" s="772"/>
      <c r="U15" s="786"/>
      <c r="V15" s="454"/>
      <c r="W15" s="784"/>
      <c r="X15" s="772"/>
      <c r="Y15" s="772"/>
    </row>
    <row r="16" spans="1:28" ht="12.75" hidden="1" customHeight="1">
      <c r="A16" s="812"/>
      <c r="B16" s="804"/>
      <c r="C16" s="804"/>
      <c r="D16" s="804"/>
      <c r="E16" s="804"/>
      <c r="F16" s="804"/>
      <c r="G16" s="804"/>
      <c r="H16" s="804"/>
      <c r="I16" s="804"/>
      <c r="J16" s="442"/>
      <c r="K16" s="804"/>
      <c r="L16" s="771"/>
      <c r="M16" s="804"/>
      <c r="N16" s="769"/>
      <c r="O16" s="769"/>
      <c r="P16" s="454"/>
      <c r="Q16" s="784"/>
      <c r="R16" s="785"/>
      <c r="S16" s="828"/>
      <c r="T16" s="772"/>
      <c r="U16" s="786"/>
      <c r="V16" s="454"/>
      <c r="W16" s="784"/>
      <c r="X16" s="772"/>
      <c r="Y16" s="772"/>
    </row>
    <row r="17" spans="1:26" s="448" customFormat="1" ht="30.75" customHeight="1">
      <c r="A17" s="836" t="s">
        <v>35</v>
      </c>
      <c r="B17" s="443" t="s">
        <v>246</v>
      </c>
      <c r="C17" s="444" t="s">
        <v>250</v>
      </c>
      <c r="D17" s="444" t="s">
        <v>562</v>
      </c>
      <c r="E17" s="444" t="s">
        <v>251</v>
      </c>
      <c r="F17" s="444" t="s">
        <v>550</v>
      </c>
      <c r="G17" s="444" t="s">
        <v>252</v>
      </c>
      <c r="H17" s="445" t="s">
        <v>253</v>
      </c>
      <c r="I17" s="444" t="s">
        <v>549</v>
      </c>
      <c r="J17" s="445" t="s">
        <v>254</v>
      </c>
      <c r="K17" s="444" t="s">
        <v>255</v>
      </c>
      <c r="L17" s="446" t="s">
        <v>248</v>
      </c>
      <c r="M17" s="444" t="s">
        <v>256</v>
      </c>
      <c r="N17" s="447"/>
      <c r="O17" s="447"/>
      <c r="P17" s="443" t="s">
        <v>246</v>
      </c>
      <c r="Q17" s="444" t="s">
        <v>240</v>
      </c>
      <c r="R17" s="749"/>
      <c r="S17" s="824" t="s">
        <v>205</v>
      </c>
      <c r="T17" s="444" t="s">
        <v>249</v>
      </c>
      <c r="U17" s="444" t="s">
        <v>257</v>
      </c>
      <c r="V17" s="443" t="s">
        <v>246</v>
      </c>
      <c r="W17" s="444" t="s">
        <v>240</v>
      </c>
      <c r="X17" s="444" t="s">
        <v>205</v>
      </c>
      <c r="Y17" s="444" t="s">
        <v>249</v>
      </c>
      <c r="Z17" s="443" t="s">
        <v>257</v>
      </c>
    </row>
    <row r="18" spans="1:26">
      <c r="A18" s="837">
        <f>IF(B18&lt;&gt;"",ROW()-17,"")</f>
        <v>1</v>
      </c>
      <c r="B18" s="835" t="s">
        <v>591</v>
      </c>
      <c r="C18" s="802">
        <f>U18</f>
        <v>1613276</v>
      </c>
      <c r="D18" s="802">
        <f t="shared" ref="D18:I27" si="4">IF($L$182&lt;&gt;0,D$182/$L$182*$L18,0)</f>
        <v>46699.591930132337</v>
      </c>
      <c r="E18" s="802">
        <f t="shared" si="4"/>
        <v>11642.195187063804</v>
      </c>
      <c r="F18" s="799">
        <f t="shared" si="4"/>
        <v>54043.705426947869</v>
      </c>
      <c r="G18" s="799">
        <f t="shared" si="4"/>
        <v>6215.1756225925783</v>
      </c>
      <c r="H18" s="799">
        <f t="shared" si="4"/>
        <v>2803.0967545097442</v>
      </c>
      <c r="I18" s="802">
        <f>IF($L$182&lt;&gt;0,I$182/$L$182*$L18,0)</f>
        <v>11828.48899736852</v>
      </c>
      <c r="J18" s="800"/>
      <c r="K18" s="802">
        <f>ROUND(SUM(C18:I18),0)-1</f>
        <v>1746507</v>
      </c>
      <c r="L18" s="802">
        <v>98</v>
      </c>
      <c r="M18" s="799">
        <f>IF(L18&lt;&gt;"",K18/L18,"")</f>
        <v>17821.5</v>
      </c>
      <c r="N18" s="671">
        <v>18940</v>
      </c>
      <c r="O18" s="671"/>
      <c r="P18" s="188" t="s">
        <v>409</v>
      </c>
      <c r="Q18" s="776">
        <v>40690</v>
      </c>
      <c r="R18" s="775"/>
      <c r="S18" s="301">
        <v>98</v>
      </c>
      <c r="T18" s="808">
        <v>16462</v>
      </c>
      <c r="U18" s="25">
        <f>S18*T18</f>
        <v>1613276</v>
      </c>
      <c r="V18" s="449" t="s">
        <v>383</v>
      </c>
      <c r="W18" s="774">
        <v>40644</v>
      </c>
      <c r="X18" s="808">
        <v>50</v>
      </c>
      <c r="Y18" s="808">
        <v>23500</v>
      </c>
      <c r="Z18" s="25">
        <f>X18*Y18</f>
        <v>1175000</v>
      </c>
    </row>
    <row r="19" spans="1:26">
      <c r="A19" s="813">
        <f>IF(B19&lt;&gt;"",A18+1,"")</f>
        <v>2</v>
      </c>
      <c r="B19" s="294" t="s">
        <v>592</v>
      </c>
      <c r="C19" s="834">
        <f t="shared" ref="C19:C82" si="5">U19</f>
        <v>2189250</v>
      </c>
      <c r="D19" s="537">
        <f t="shared" si="4"/>
        <v>84345.181343198201</v>
      </c>
      <c r="E19" s="537">
        <f t="shared" si="4"/>
        <v>21027.230082758095</v>
      </c>
      <c r="F19" s="537">
        <f t="shared" si="4"/>
        <v>97609.549597650752</v>
      </c>
      <c r="G19" s="537">
        <f t="shared" si="4"/>
        <v>11225.368216315168</v>
      </c>
      <c r="H19" s="537">
        <f t="shared" si="4"/>
        <v>5062.7359749818852</v>
      </c>
      <c r="I19" s="537">
        <f t="shared" si="4"/>
        <v>21363.699515655389</v>
      </c>
      <c r="J19" s="814"/>
      <c r="K19" s="802">
        <f t="shared" ref="K19:K26" si="6">ROUND(SUM(C19:I19),0)-1</f>
        <v>2429883</v>
      </c>
      <c r="L19" s="537">
        <v>177</v>
      </c>
      <c r="M19" s="537">
        <f t="shared" ref="M19:M20" si="7">IF(L19&lt;&gt;"",K19/L19,"")</f>
        <v>13728.152542372882</v>
      </c>
      <c r="N19" s="671">
        <v>15550</v>
      </c>
      <c r="O19" s="671"/>
      <c r="P19" s="188" t="s">
        <v>387</v>
      </c>
      <c r="Q19" s="776">
        <v>40690</v>
      </c>
      <c r="R19" s="775"/>
      <c r="S19" s="301">
        <v>90</v>
      </c>
      <c r="T19" s="808">
        <v>24325</v>
      </c>
      <c r="U19" s="25">
        <f t="shared" ref="U19" si="8">S19*T19</f>
        <v>2189250</v>
      </c>
      <c r="V19" s="451" t="s">
        <v>358</v>
      </c>
      <c r="W19" s="776">
        <v>40644</v>
      </c>
      <c r="X19" s="806">
        <v>20</v>
      </c>
      <c r="Y19" s="806">
        <v>42000</v>
      </c>
      <c r="Z19" s="8">
        <f t="shared" ref="Z19" si="9">X19*Y19</f>
        <v>840000</v>
      </c>
    </row>
    <row r="20" spans="1:26">
      <c r="A20" s="801">
        <f>IF(B20&lt;&gt;"",A19+1,"")</f>
        <v>3</v>
      </c>
      <c r="B20" s="293" t="s">
        <v>593</v>
      </c>
      <c r="C20" s="834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50"/>
      <c r="K20" s="802">
        <f t="shared" si="6"/>
        <v>3648824</v>
      </c>
      <c r="L20" s="254">
        <v>205</v>
      </c>
      <c r="M20" s="254">
        <f t="shared" si="7"/>
        <v>17799.141463414635</v>
      </c>
      <c r="N20" s="671">
        <v>19690</v>
      </c>
      <c r="O20" s="671"/>
      <c r="P20" s="293" t="s">
        <v>395</v>
      </c>
      <c r="Q20" s="776">
        <v>40690</v>
      </c>
      <c r="R20" s="775"/>
      <c r="S20" s="829">
        <v>209</v>
      </c>
      <c r="T20" s="253">
        <v>16125</v>
      </c>
      <c r="U20" s="8">
        <f t="shared" ref="U20" si="10">S20*T20</f>
        <v>3370125</v>
      </c>
      <c r="V20" s="451" t="s">
        <v>392</v>
      </c>
      <c r="W20" s="776">
        <v>40660</v>
      </c>
      <c r="X20" s="806">
        <v>5000</v>
      </c>
      <c r="Y20" s="806">
        <v>220</v>
      </c>
      <c r="Z20" s="8">
        <f t="shared" ref="Z20:Z21" si="11">X20*Y20</f>
        <v>1100000</v>
      </c>
    </row>
    <row r="21" spans="1:26">
      <c r="A21" s="801">
        <f t="shared" ref="A21:A22" si="12">IF(B21&lt;&gt;"",A20+1,"")</f>
        <v>4</v>
      </c>
      <c r="B21" s="293" t="s">
        <v>599</v>
      </c>
      <c r="C21" s="834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50"/>
      <c r="K21" s="802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71">
        <v>9760</v>
      </c>
      <c r="O21" s="671"/>
      <c r="P21" s="188" t="s">
        <v>426</v>
      </c>
      <c r="Q21" s="776">
        <v>40690</v>
      </c>
      <c r="R21" s="775"/>
      <c r="S21" s="301">
        <f>L21</f>
        <v>283</v>
      </c>
      <c r="T21" s="255">
        <v>7268</v>
      </c>
      <c r="U21" s="8">
        <f t="shared" ref="U21:U22" si="14">S21*T21</f>
        <v>2056844</v>
      </c>
      <c r="V21" s="451"/>
      <c r="W21" s="776"/>
      <c r="X21" s="806"/>
      <c r="Y21" s="806"/>
      <c r="Z21" s="8">
        <f t="shared" si="11"/>
        <v>0</v>
      </c>
    </row>
    <row r="22" spans="1:26">
      <c r="A22" s="801">
        <f t="shared" si="12"/>
        <v>5</v>
      </c>
      <c r="B22" s="293" t="s">
        <v>594</v>
      </c>
      <c r="C22" s="834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50"/>
      <c r="K22" s="802">
        <f t="shared" si="6"/>
        <v>3442567</v>
      </c>
      <c r="L22" s="254">
        <v>493</v>
      </c>
      <c r="M22" s="254">
        <f t="shared" si="13"/>
        <v>6982.8945233265722</v>
      </c>
      <c r="N22" s="671">
        <v>7160</v>
      </c>
      <c r="O22" s="671"/>
      <c r="P22" s="188" t="s">
        <v>413</v>
      </c>
      <c r="Q22" s="776">
        <v>40690</v>
      </c>
      <c r="R22" s="775"/>
      <c r="S22" s="829">
        <v>494</v>
      </c>
      <c r="T22" s="255">
        <v>5612</v>
      </c>
      <c r="U22" s="8">
        <f t="shared" si="14"/>
        <v>2772328</v>
      </c>
      <c r="V22" s="451"/>
      <c r="W22" s="776"/>
      <c r="X22" s="806"/>
      <c r="Y22" s="806"/>
      <c r="Z22" s="8">
        <f t="shared" ref="Z22" si="15">X22*Y22</f>
        <v>0</v>
      </c>
    </row>
    <row r="23" spans="1:26">
      <c r="A23" s="758">
        <f t="shared" ref="A23:A52" si="16">IF(B23&lt;&gt;"",A22+1,"")</f>
        <v>6</v>
      </c>
      <c r="B23" s="293" t="s">
        <v>595</v>
      </c>
      <c r="C23" s="834">
        <f t="shared" si="5"/>
        <v>2320738</v>
      </c>
      <c r="D23" s="759">
        <f t="shared" si="4"/>
        <v>189657.52641012927</v>
      </c>
      <c r="E23" s="759">
        <f t="shared" si="4"/>
        <v>47281.568208687691</v>
      </c>
      <c r="F23" s="759">
        <f t="shared" si="4"/>
        <v>219483.61999923727</v>
      </c>
      <c r="G23" s="759">
        <f t="shared" si="4"/>
        <v>25241.223446855573</v>
      </c>
      <c r="H23" s="759">
        <f t="shared" si="4"/>
        <v>11384.005186682431</v>
      </c>
      <c r="I23" s="759">
        <f t="shared" si="4"/>
        <v>48038.149193394602</v>
      </c>
      <c r="J23" s="360"/>
      <c r="K23" s="802">
        <f t="shared" si="6"/>
        <v>2861823</v>
      </c>
      <c r="L23" s="759">
        <v>398</v>
      </c>
      <c r="M23" s="759">
        <f t="shared" ref="M23:M54" si="17">IF(L23&lt;&gt;"",K23/L23,"")</f>
        <v>7190.510050251256</v>
      </c>
      <c r="N23" s="671">
        <v>7360</v>
      </c>
      <c r="O23" s="671"/>
      <c r="P23" s="188" t="s">
        <v>414</v>
      </c>
      <c r="Q23" s="776">
        <v>40690</v>
      </c>
      <c r="R23" s="775"/>
      <c r="S23" s="829">
        <f>L23</f>
        <v>398</v>
      </c>
      <c r="T23" s="255">
        <v>5831</v>
      </c>
      <c r="U23" s="8">
        <f t="shared" ref="U23:U61" si="18">S23*T23</f>
        <v>2320738</v>
      </c>
      <c r="V23" s="451"/>
      <c r="W23" s="776"/>
      <c r="X23" s="806"/>
      <c r="Y23" s="806"/>
      <c r="Z23" s="8">
        <f t="shared" ref="Z23:Z54" si="19">X23*Y23</f>
        <v>0</v>
      </c>
    </row>
    <row r="24" spans="1:26">
      <c r="A24" s="758">
        <f t="shared" si="16"/>
        <v>7</v>
      </c>
      <c r="B24" s="293" t="s">
        <v>596</v>
      </c>
      <c r="C24" s="834">
        <f t="shared" si="5"/>
        <v>1212200</v>
      </c>
      <c r="D24" s="759">
        <f t="shared" si="4"/>
        <v>46699.591930132337</v>
      </c>
      <c r="E24" s="759">
        <f t="shared" si="4"/>
        <v>11642.195187063804</v>
      </c>
      <c r="F24" s="759">
        <f t="shared" si="4"/>
        <v>54043.705426947869</v>
      </c>
      <c r="G24" s="759">
        <f t="shared" si="4"/>
        <v>6215.1756225925783</v>
      </c>
      <c r="H24" s="759">
        <f t="shared" si="4"/>
        <v>2803.0967545097442</v>
      </c>
      <c r="I24" s="759">
        <f t="shared" si="4"/>
        <v>11828.48899736852</v>
      </c>
      <c r="J24" s="360"/>
      <c r="K24" s="802">
        <f t="shared" si="6"/>
        <v>1345431</v>
      </c>
      <c r="L24" s="759">
        <v>98</v>
      </c>
      <c r="M24" s="759">
        <f t="shared" si="17"/>
        <v>13728.887755102041</v>
      </c>
      <c r="N24" s="671">
        <v>15400</v>
      </c>
      <c r="O24" s="671"/>
      <c r="P24" s="188" t="s">
        <v>416</v>
      </c>
      <c r="Q24" s="776">
        <v>40690</v>
      </c>
      <c r="R24" s="775"/>
      <c r="S24" s="301">
        <v>100</v>
      </c>
      <c r="T24" s="255">
        <v>12122</v>
      </c>
      <c r="U24" s="8">
        <f t="shared" si="18"/>
        <v>1212200</v>
      </c>
      <c r="V24" s="451"/>
      <c r="W24" s="776"/>
      <c r="X24" s="806"/>
      <c r="Y24" s="806"/>
      <c r="Z24" s="8">
        <f t="shared" si="19"/>
        <v>0</v>
      </c>
    </row>
    <row r="25" spans="1:26">
      <c r="A25" s="758">
        <f t="shared" si="16"/>
        <v>8</v>
      </c>
      <c r="B25" s="293" t="s">
        <v>597</v>
      </c>
      <c r="C25" s="834">
        <f t="shared" si="5"/>
        <v>3042375</v>
      </c>
      <c r="D25" s="759">
        <f t="shared" si="4"/>
        <v>91016.551618931393</v>
      </c>
      <c r="E25" s="759">
        <f t="shared" si="4"/>
        <v>22690.40082376721</v>
      </c>
      <c r="F25" s="759">
        <f t="shared" si="4"/>
        <v>105330.07894435758</v>
      </c>
      <c r="G25" s="759">
        <f t="shared" si="4"/>
        <v>12113.250448114108</v>
      </c>
      <c r="H25" s="759">
        <f t="shared" si="4"/>
        <v>5463.1783684832772</v>
      </c>
      <c r="I25" s="759">
        <f t="shared" si="4"/>
        <v>23053.483658136607</v>
      </c>
      <c r="J25" s="360"/>
      <c r="K25" s="802">
        <f t="shared" si="6"/>
        <v>3302041</v>
      </c>
      <c r="L25" s="759">
        <v>191</v>
      </c>
      <c r="M25" s="759">
        <f t="shared" si="17"/>
        <v>17288.172774869108</v>
      </c>
      <c r="N25" s="671">
        <v>18480</v>
      </c>
      <c r="O25" s="671"/>
      <c r="P25" s="188" t="s">
        <v>400</v>
      </c>
      <c r="Q25" s="776">
        <v>40690</v>
      </c>
      <c r="R25" s="775"/>
      <c r="S25" s="829">
        <v>95</v>
      </c>
      <c r="T25" s="255">
        <v>32025</v>
      </c>
      <c r="U25" s="8">
        <f t="shared" si="18"/>
        <v>3042375</v>
      </c>
      <c r="V25" s="451"/>
      <c r="W25" s="776"/>
      <c r="X25" s="806"/>
      <c r="Y25" s="806"/>
      <c r="Z25" s="8">
        <f t="shared" si="19"/>
        <v>0</v>
      </c>
    </row>
    <row r="26" spans="1:26">
      <c r="A26" s="758">
        <f t="shared" si="16"/>
        <v>9</v>
      </c>
      <c r="B26" s="293" t="s">
        <v>598</v>
      </c>
      <c r="C26" s="834">
        <f t="shared" si="5"/>
        <v>2780588</v>
      </c>
      <c r="D26" s="759">
        <f t="shared" si="4"/>
        <v>98164.448342931239</v>
      </c>
      <c r="E26" s="759">
        <f t="shared" si="4"/>
        <v>24472.369474848405</v>
      </c>
      <c r="F26" s="759">
        <f t="shared" si="4"/>
        <v>113602.07467297206</v>
      </c>
      <c r="G26" s="759">
        <f t="shared" si="4"/>
        <v>13064.552839327256</v>
      </c>
      <c r="H26" s="759">
        <f t="shared" si="4"/>
        <v>5892.2237900919117</v>
      </c>
      <c r="I26" s="759">
        <f t="shared" si="4"/>
        <v>24863.966667937912</v>
      </c>
      <c r="J26" s="360"/>
      <c r="K26" s="802">
        <f t="shared" si="6"/>
        <v>3060647</v>
      </c>
      <c r="L26" s="759">
        <v>206</v>
      </c>
      <c r="M26" s="759">
        <f t="shared" si="17"/>
        <v>14857.509708737864</v>
      </c>
      <c r="N26" s="671">
        <v>15230</v>
      </c>
      <c r="O26" s="671"/>
      <c r="P26" s="188" t="s">
        <v>412</v>
      </c>
      <c r="Q26" s="776">
        <v>40690</v>
      </c>
      <c r="R26" s="775"/>
      <c r="S26" s="301">
        <f>L26</f>
        <v>206</v>
      </c>
      <c r="T26" s="255">
        <v>13498</v>
      </c>
      <c r="U26" s="8">
        <f t="shared" si="18"/>
        <v>2780588</v>
      </c>
      <c r="V26" s="451"/>
      <c r="W26" s="776"/>
      <c r="X26" s="806"/>
      <c r="Y26" s="806"/>
      <c r="Z26" s="8">
        <f t="shared" si="19"/>
        <v>0</v>
      </c>
    </row>
    <row r="27" spans="1:26">
      <c r="A27" s="758">
        <f t="shared" si="16"/>
        <v>10</v>
      </c>
      <c r="B27" s="293" t="s">
        <v>600</v>
      </c>
      <c r="C27" s="834">
        <f t="shared" si="5"/>
        <v>541500</v>
      </c>
      <c r="D27" s="759">
        <f t="shared" si="4"/>
        <v>23826.322413332822</v>
      </c>
      <c r="E27" s="759">
        <f t="shared" si="4"/>
        <v>5939.8955036039815</v>
      </c>
      <c r="F27" s="759">
        <f t="shared" si="4"/>
        <v>27573.319095381565</v>
      </c>
      <c r="G27" s="759">
        <f t="shared" si="4"/>
        <v>3171.0079707104992</v>
      </c>
      <c r="H27" s="759">
        <f t="shared" si="4"/>
        <v>1430.1514053621145</v>
      </c>
      <c r="I27" s="759">
        <f t="shared" si="4"/>
        <v>6034.9433660043469</v>
      </c>
      <c r="J27" s="360"/>
      <c r="K27" s="802">
        <f>ROUND(SUM(C27:I27),0)-1</f>
        <v>609475</v>
      </c>
      <c r="L27" s="759">
        <v>50</v>
      </c>
      <c r="M27" s="759">
        <f t="shared" si="17"/>
        <v>12189.5</v>
      </c>
      <c r="N27" s="671">
        <v>13832</v>
      </c>
      <c r="O27" s="671"/>
      <c r="P27" s="188" t="s">
        <v>385</v>
      </c>
      <c r="Q27" s="776">
        <v>40690</v>
      </c>
      <c r="R27" s="775"/>
      <c r="S27" s="301">
        <v>50</v>
      </c>
      <c r="T27" s="253">
        <v>10830</v>
      </c>
      <c r="U27" s="8">
        <f t="shared" si="18"/>
        <v>541500</v>
      </c>
      <c r="V27" s="451"/>
      <c r="W27" s="776"/>
      <c r="X27" s="806"/>
      <c r="Y27" s="806"/>
      <c r="Z27" s="8">
        <f t="shared" si="19"/>
        <v>0</v>
      </c>
    </row>
    <row r="28" spans="1:26">
      <c r="A28" s="758">
        <f t="shared" si="16"/>
        <v>11</v>
      </c>
      <c r="B28" s="293" t="s">
        <v>543</v>
      </c>
      <c r="C28" s="834">
        <f t="shared" si="5"/>
        <v>333675</v>
      </c>
      <c r="D28" s="759">
        <f t="shared" ref="D28:I37" si="20">IF($L$182&lt;&gt;0,D$182/$L$182*$L28,0)</f>
        <v>142957.93447999694</v>
      </c>
      <c r="E28" s="759">
        <f t="shared" si="20"/>
        <v>35639.373021623891</v>
      </c>
      <c r="F28" s="759">
        <f t="shared" si="20"/>
        <v>165439.91457228939</v>
      </c>
      <c r="G28" s="759">
        <f t="shared" si="20"/>
        <v>19026.047824262994</v>
      </c>
      <c r="H28" s="759">
        <f t="shared" si="20"/>
        <v>8580.9084321726859</v>
      </c>
      <c r="I28" s="759">
        <f t="shared" si="20"/>
        <v>36209.660196026081</v>
      </c>
      <c r="J28" s="360"/>
      <c r="K28" s="802">
        <f t="shared" ref="K28:K82" si="21">ROUND(SUM(C28:I28),0)</f>
        <v>741529</v>
      </c>
      <c r="L28" s="759">
        <v>300</v>
      </c>
      <c r="M28" s="759">
        <f t="shared" si="17"/>
        <v>2471.7633333333333</v>
      </c>
      <c r="N28" s="671">
        <v>3500</v>
      </c>
      <c r="O28" s="671"/>
      <c r="P28" s="188" t="s">
        <v>382</v>
      </c>
      <c r="Q28" s="776">
        <v>40690</v>
      </c>
      <c r="R28" s="775"/>
      <c r="S28" s="301">
        <f>L28/4</f>
        <v>75</v>
      </c>
      <c r="T28" s="255">
        <v>4449</v>
      </c>
      <c r="U28" s="8">
        <f t="shared" si="18"/>
        <v>333675</v>
      </c>
      <c r="V28" s="451"/>
      <c r="W28" s="776"/>
      <c r="X28" s="806"/>
      <c r="Y28" s="806"/>
      <c r="Z28" s="8">
        <f t="shared" si="19"/>
        <v>0</v>
      </c>
    </row>
    <row r="29" spans="1:26">
      <c r="A29" s="758">
        <f t="shared" si="16"/>
        <v>12</v>
      </c>
      <c r="B29" s="293" t="s">
        <v>601</v>
      </c>
      <c r="C29" s="834">
        <f t="shared" si="5"/>
        <v>112875</v>
      </c>
      <c r="D29" s="759">
        <f t="shared" si="20"/>
        <v>3335.6851378665951</v>
      </c>
      <c r="E29" s="759">
        <f t="shared" si="20"/>
        <v>831.58537050455743</v>
      </c>
      <c r="F29" s="759">
        <f t="shared" si="20"/>
        <v>3860.2646733534193</v>
      </c>
      <c r="G29" s="759">
        <f t="shared" si="20"/>
        <v>443.94111589946988</v>
      </c>
      <c r="H29" s="759">
        <f t="shared" si="20"/>
        <v>200.22119675069601</v>
      </c>
      <c r="I29" s="759">
        <f t="shared" si="20"/>
        <v>844.89207124060863</v>
      </c>
      <c r="J29" s="360"/>
      <c r="K29" s="802">
        <f t="shared" si="21"/>
        <v>122392</v>
      </c>
      <c r="L29" s="759">
        <v>7</v>
      </c>
      <c r="M29" s="759">
        <f t="shared" si="17"/>
        <v>17484.571428571428</v>
      </c>
      <c r="N29" s="671">
        <v>19908</v>
      </c>
      <c r="O29" s="671"/>
      <c r="P29" s="293" t="s">
        <v>395</v>
      </c>
      <c r="Q29" s="776">
        <v>40690</v>
      </c>
      <c r="R29" s="775"/>
      <c r="S29" s="829">
        <f t="shared" ref="S29:S30" si="22">L29</f>
        <v>7</v>
      </c>
      <c r="T29" s="253">
        <v>16125</v>
      </c>
      <c r="U29" s="8">
        <f t="shared" si="18"/>
        <v>112875</v>
      </c>
      <c r="V29" s="451"/>
      <c r="W29" s="776"/>
      <c r="X29" s="806"/>
      <c r="Y29" s="806"/>
      <c r="Z29" s="8">
        <f t="shared" si="19"/>
        <v>0</v>
      </c>
    </row>
    <row r="30" spans="1:26">
      <c r="A30" s="758">
        <f t="shared" si="16"/>
        <v>13</v>
      </c>
      <c r="B30" s="293" t="s">
        <v>602</v>
      </c>
      <c r="C30" s="834">
        <f t="shared" si="5"/>
        <v>112875</v>
      </c>
      <c r="D30" s="759">
        <f t="shared" si="20"/>
        <v>3335.6851378665951</v>
      </c>
      <c r="E30" s="759">
        <f t="shared" si="20"/>
        <v>831.58537050455743</v>
      </c>
      <c r="F30" s="759">
        <f t="shared" si="20"/>
        <v>3860.2646733534193</v>
      </c>
      <c r="G30" s="759">
        <f t="shared" si="20"/>
        <v>443.94111589946988</v>
      </c>
      <c r="H30" s="759">
        <f t="shared" si="20"/>
        <v>200.22119675069601</v>
      </c>
      <c r="I30" s="759">
        <f t="shared" si="20"/>
        <v>844.89207124060863</v>
      </c>
      <c r="J30" s="360"/>
      <c r="K30" s="802">
        <f t="shared" si="21"/>
        <v>122392</v>
      </c>
      <c r="L30" s="759">
        <v>7</v>
      </c>
      <c r="M30" s="759">
        <f t="shared" si="17"/>
        <v>17484.571428571428</v>
      </c>
      <c r="N30" s="671">
        <v>19285</v>
      </c>
      <c r="O30" s="671"/>
      <c r="P30" s="293" t="s">
        <v>395</v>
      </c>
      <c r="Q30" s="776">
        <v>40690</v>
      </c>
      <c r="R30" s="775"/>
      <c r="S30" s="829">
        <f t="shared" si="22"/>
        <v>7</v>
      </c>
      <c r="T30" s="253">
        <v>16125</v>
      </c>
      <c r="U30" s="8">
        <f t="shared" si="18"/>
        <v>112875</v>
      </c>
      <c r="V30" s="451"/>
      <c r="W30" s="776"/>
      <c r="X30" s="806"/>
      <c r="Y30" s="806"/>
      <c r="Z30" s="8">
        <f t="shared" si="19"/>
        <v>0</v>
      </c>
    </row>
    <row r="31" spans="1:26">
      <c r="A31" s="758">
        <f t="shared" si="16"/>
        <v>14</v>
      </c>
      <c r="B31" s="293" t="s">
        <v>600</v>
      </c>
      <c r="C31" s="834">
        <f t="shared" si="5"/>
        <v>2896750</v>
      </c>
      <c r="D31" s="759">
        <f t="shared" si="20"/>
        <v>119131.61206666412</v>
      </c>
      <c r="E31" s="759">
        <f t="shared" si="20"/>
        <v>29699.477518019907</v>
      </c>
      <c r="F31" s="759">
        <f t="shared" si="20"/>
        <v>137866.59547690782</v>
      </c>
      <c r="G31" s="759">
        <f t="shared" si="20"/>
        <v>15855.039853552496</v>
      </c>
      <c r="H31" s="759">
        <f t="shared" si="20"/>
        <v>7150.7570268105719</v>
      </c>
      <c r="I31" s="759">
        <f t="shared" si="20"/>
        <v>30174.716830021738</v>
      </c>
      <c r="J31" s="360"/>
      <c r="K31" s="802">
        <f t="shared" si="21"/>
        <v>3236628</v>
      </c>
      <c r="L31" s="759">
        <v>250</v>
      </c>
      <c r="M31" s="759">
        <f t="shared" si="17"/>
        <v>12946.512000000001</v>
      </c>
      <c r="N31" s="671">
        <v>13832</v>
      </c>
      <c r="O31" s="671"/>
      <c r="P31" s="188" t="s">
        <v>410</v>
      </c>
      <c r="Q31" s="776">
        <v>40690</v>
      </c>
      <c r="R31" s="775"/>
      <c r="S31" s="301">
        <f>L31</f>
        <v>250</v>
      </c>
      <c r="T31" s="253">
        <v>11587</v>
      </c>
      <c r="U31" s="8">
        <f t="shared" si="18"/>
        <v>2896750</v>
      </c>
      <c r="V31" s="451"/>
      <c r="W31" s="776"/>
      <c r="X31" s="806"/>
      <c r="Y31" s="806"/>
      <c r="Z31" s="8">
        <f t="shared" si="19"/>
        <v>0</v>
      </c>
    </row>
    <row r="32" spans="1:26">
      <c r="A32" s="758">
        <f t="shared" si="16"/>
        <v>15</v>
      </c>
      <c r="B32" s="293" t="s">
        <v>603</v>
      </c>
      <c r="C32" s="834">
        <f t="shared" si="5"/>
        <v>1255545</v>
      </c>
      <c r="D32" s="759">
        <f t="shared" si="20"/>
        <v>42887.380343999081</v>
      </c>
      <c r="E32" s="759">
        <f t="shared" si="20"/>
        <v>10691.811906487166</v>
      </c>
      <c r="F32" s="759">
        <f t="shared" si="20"/>
        <v>49631.974371686818</v>
      </c>
      <c r="G32" s="759">
        <f t="shared" si="20"/>
        <v>5707.8143472788988</v>
      </c>
      <c r="H32" s="759">
        <f t="shared" si="20"/>
        <v>2574.2725296518061</v>
      </c>
      <c r="I32" s="759">
        <f t="shared" si="20"/>
        <v>10862.898058807825</v>
      </c>
      <c r="J32" s="360"/>
      <c r="K32" s="802">
        <f t="shared" si="21"/>
        <v>1377901</v>
      </c>
      <c r="L32" s="759">
        <v>90</v>
      </c>
      <c r="M32" s="759">
        <f t="shared" si="17"/>
        <v>15310.011111111111</v>
      </c>
      <c r="N32" s="671">
        <v>15724</v>
      </c>
      <c r="O32" s="671"/>
      <c r="P32" s="293" t="s">
        <v>379</v>
      </c>
      <c r="Q32" s="776">
        <v>40690</v>
      </c>
      <c r="R32" s="775"/>
      <c r="S32" s="301">
        <f>L32/2</f>
        <v>45</v>
      </c>
      <c r="T32" s="808">
        <v>27901</v>
      </c>
      <c r="U32" s="8">
        <f t="shared" si="18"/>
        <v>1255545</v>
      </c>
      <c r="V32" s="451"/>
      <c r="W32" s="776"/>
      <c r="X32" s="806"/>
      <c r="Y32" s="806"/>
      <c r="Z32" s="8">
        <f t="shared" si="19"/>
        <v>0</v>
      </c>
    </row>
    <row r="33" spans="1:26">
      <c r="A33" s="813">
        <f t="shared" si="16"/>
        <v>16</v>
      </c>
      <c r="B33" s="294" t="s">
        <v>543</v>
      </c>
      <c r="C33" s="834">
        <f t="shared" si="5"/>
        <v>200205</v>
      </c>
      <c r="D33" s="296">
        <f t="shared" si="20"/>
        <v>42887.380343999081</v>
      </c>
      <c r="E33" s="296">
        <f t="shared" si="20"/>
        <v>10691.811906487166</v>
      </c>
      <c r="F33" s="296">
        <f t="shared" si="20"/>
        <v>49631.974371686818</v>
      </c>
      <c r="G33" s="296">
        <f t="shared" si="20"/>
        <v>5707.8143472788988</v>
      </c>
      <c r="H33" s="296">
        <f t="shared" si="20"/>
        <v>2574.2725296518061</v>
      </c>
      <c r="I33" s="296">
        <f t="shared" si="20"/>
        <v>10862.898058807825</v>
      </c>
      <c r="J33" s="537"/>
      <c r="K33" s="802">
        <f t="shared" si="21"/>
        <v>322561</v>
      </c>
      <c r="L33" s="537">
        <v>90</v>
      </c>
      <c r="M33" s="815">
        <f t="shared" si="17"/>
        <v>3584.0111111111109</v>
      </c>
      <c r="N33" s="671">
        <v>4265</v>
      </c>
      <c r="O33" s="671"/>
      <c r="P33" s="188" t="s">
        <v>382</v>
      </c>
      <c r="Q33" s="776">
        <v>40690</v>
      </c>
      <c r="R33" s="775"/>
      <c r="S33" s="301">
        <f>L33/2</f>
        <v>45</v>
      </c>
      <c r="T33" s="255">
        <v>4449</v>
      </c>
      <c r="U33" s="8">
        <f t="shared" si="18"/>
        <v>200205</v>
      </c>
      <c r="V33" s="451"/>
      <c r="W33" s="776"/>
      <c r="X33" s="806"/>
      <c r="Y33" s="806"/>
      <c r="Z33" s="8">
        <f t="shared" si="19"/>
        <v>0</v>
      </c>
    </row>
    <row r="34" spans="1:26">
      <c r="A34" s="758">
        <f>IF(B34&lt;&gt;"",A33+1,"")</f>
        <v>17</v>
      </c>
      <c r="B34" s="293" t="s">
        <v>604</v>
      </c>
      <c r="C34" s="834">
        <f t="shared" si="5"/>
        <v>12800</v>
      </c>
      <c r="D34" s="759">
        <f t="shared" si="20"/>
        <v>953.05289653331295</v>
      </c>
      <c r="E34" s="759">
        <f t="shared" si="20"/>
        <v>237.59582014415926</v>
      </c>
      <c r="F34" s="759">
        <f t="shared" si="20"/>
        <v>1102.9327638152627</v>
      </c>
      <c r="G34" s="759">
        <f t="shared" si="20"/>
        <v>126.84031882841997</v>
      </c>
      <c r="H34" s="759">
        <f t="shared" si="20"/>
        <v>57.206056214484576</v>
      </c>
      <c r="I34" s="759">
        <f t="shared" si="20"/>
        <v>241.39773464017389</v>
      </c>
      <c r="J34" s="360"/>
      <c r="K34" s="802">
        <f t="shared" si="21"/>
        <v>15519</v>
      </c>
      <c r="L34" s="759">
        <v>2</v>
      </c>
      <c r="M34" s="759">
        <f t="shared" si="17"/>
        <v>7759.5</v>
      </c>
      <c r="N34" s="671">
        <v>8839</v>
      </c>
      <c r="O34" s="671"/>
      <c r="P34" s="188" t="s">
        <v>423</v>
      </c>
      <c r="Q34" s="776">
        <v>40690</v>
      </c>
      <c r="R34" s="775"/>
      <c r="S34" s="301">
        <f>L34</f>
        <v>2</v>
      </c>
      <c r="T34" s="255">
        <v>6400</v>
      </c>
      <c r="U34" s="8">
        <f t="shared" si="18"/>
        <v>12800</v>
      </c>
      <c r="V34" s="451"/>
      <c r="W34" s="776"/>
      <c r="X34" s="806"/>
      <c r="Y34" s="806"/>
      <c r="Z34" s="8">
        <f t="shared" si="19"/>
        <v>0</v>
      </c>
    </row>
    <row r="35" spans="1:26">
      <c r="A35" s="758">
        <f t="shared" si="16"/>
        <v>18</v>
      </c>
      <c r="B35" s="293" t="s">
        <v>605</v>
      </c>
      <c r="C35" s="834">
        <f t="shared" si="5"/>
        <v>4592</v>
      </c>
      <c r="D35" s="759">
        <f t="shared" si="20"/>
        <v>953.05289653331295</v>
      </c>
      <c r="E35" s="759">
        <f t="shared" si="20"/>
        <v>237.59582014415926</v>
      </c>
      <c r="F35" s="759">
        <f t="shared" si="20"/>
        <v>1102.9327638152627</v>
      </c>
      <c r="G35" s="759">
        <f t="shared" si="20"/>
        <v>126.84031882841997</v>
      </c>
      <c r="H35" s="759">
        <f t="shared" si="20"/>
        <v>57.206056214484576</v>
      </c>
      <c r="I35" s="759">
        <f t="shared" si="20"/>
        <v>241.39773464017389</v>
      </c>
      <c r="J35" s="360"/>
      <c r="K35" s="802">
        <f t="shared" si="21"/>
        <v>7311</v>
      </c>
      <c r="L35" s="759">
        <v>2</v>
      </c>
      <c r="M35" s="759">
        <f t="shared" si="17"/>
        <v>3655.5</v>
      </c>
      <c r="N35" s="671">
        <v>5857</v>
      </c>
      <c r="O35" s="671"/>
      <c r="P35" s="188" t="s">
        <v>393</v>
      </c>
      <c r="Q35" s="776">
        <v>40690</v>
      </c>
      <c r="R35" s="775"/>
      <c r="S35" s="301">
        <f>L35/2</f>
        <v>1</v>
      </c>
      <c r="T35" s="255">
        <v>4592</v>
      </c>
      <c r="U35" s="8">
        <f t="shared" si="18"/>
        <v>4592</v>
      </c>
      <c r="V35" s="451"/>
      <c r="W35" s="776"/>
      <c r="X35" s="806"/>
      <c r="Y35" s="806"/>
      <c r="Z35" s="8">
        <f t="shared" si="19"/>
        <v>0</v>
      </c>
    </row>
    <row r="36" spans="1:26">
      <c r="A36" s="758">
        <f t="shared" si="16"/>
        <v>19</v>
      </c>
      <c r="B36" s="293" t="s">
        <v>606</v>
      </c>
      <c r="C36" s="834">
        <f t="shared" si="5"/>
        <v>1273600</v>
      </c>
      <c r="D36" s="759">
        <f t="shared" si="20"/>
        <v>92922.657411998007</v>
      </c>
      <c r="E36" s="759">
        <f t="shared" si="20"/>
        <v>23165.592464055528</v>
      </c>
      <c r="F36" s="759">
        <f t="shared" si="20"/>
        <v>107535.94447198811</v>
      </c>
      <c r="G36" s="759">
        <f t="shared" si="20"/>
        <v>12366.931085770946</v>
      </c>
      <c r="H36" s="759">
        <f t="shared" si="20"/>
        <v>5577.5904809122458</v>
      </c>
      <c r="I36" s="759">
        <f t="shared" si="20"/>
        <v>23536.279127416954</v>
      </c>
      <c r="J36" s="360"/>
      <c r="K36" s="802">
        <f t="shared" si="21"/>
        <v>1538705</v>
      </c>
      <c r="L36" s="759">
        <v>195</v>
      </c>
      <c r="M36" s="759">
        <f t="shared" si="17"/>
        <v>7890.7948717948721</v>
      </c>
      <c r="N36" s="671">
        <v>8824</v>
      </c>
      <c r="O36" s="671"/>
      <c r="P36" s="188" t="s">
        <v>423</v>
      </c>
      <c r="Q36" s="776">
        <v>40690</v>
      </c>
      <c r="R36" s="775"/>
      <c r="S36" s="301">
        <v>199</v>
      </c>
      <c r="T36" s="255">
        <v>6400</v>
      </c>
      <c r="U36" s="8">
        <f t="shared" si="18"/>
        <v>1273600</v>
      </c>
      <c r="V36" s="451"/>
      <c r="W36" s="776"/>
      <c r="X36" s="806"/>
      <c r="Y36" s="806"/>
      <c r="Z36" s="8">
        <f t="shared" si="19"/>
        <v>0</v>
      </c>
    </row>
    <row r="37" spans="1:26">
      <c r="A37" s="758">
        <f t="shared" si="16"/>
        <v>20</v>
      </c>
      <c r="B37" s="293" t="s">
        <v>607</v>
      </c>
      <c r="C37" s="834">
        <f t="shared" si="5"/>
        <v>295680</v>
      </c>
      <c r="D37" s="759">
        <f t="shared" si="20"/>
        <v>9530.5289653331292</v>
      </c>
      <c r="E37" s="759">
        <f t="shared" si="20"/>
        <v>2375.9582014415928</v>
      </c>
      <c r="F37" s="759">
        <f t="shared" si="20"/>
        <v>11029.327638152627</v>
      </c>
      <c r="G37" s="759">
        <f t="shared" si="20"/>
        <v>1268.4031882841996</v>
      </c>
      <c r="H37" s="759">
        <f t="shared" si="20"/>
        <v>572.06056214484579</v>
      </c>
      <c r="I37" s="759">
        <f t="shared" si="20"/>
        <v>2413.9773464017389</v>
      </c>
      <c r="J37" s="360"/>
      <c r="K37" s="802">
        <f t="shared" si="21"/>
        <v>322870</v>
      </c>
      <c r="L37" s="759">
        <v>20</v>
      </c>
      <c r="M37" s="759">
        <f t="shared" si="17"/>
        <v>16143.5</v>
      </c>
      <c r="N37" s="671">
        <v>16023</v>
      </c>
      <c r="O37" s="671"/>
      <c r="P37" s="188" t="s">
        <v>417</v>
      </c>
      <c r="Q37" s="776">
        <v>40690</v>
      </c>
      <c r="R37" s="775"/>
      <c r="S37" s="301">
        <f>L37</f>
        <v>20</v>
      </c>
      <c r="T37" s="253">
        <v>14784</v>
      </c>
      <c r="U37" s="8">
        <f t="shared" si="18"/>
        <v>295680</v>
      </c>
      <c r="V37" s="451"/>
      <c r="W37" s="776"/>
      <c r="X37" s="806"/>
      <c r="Y37" s="806"/>
      <c r="Z37" s="8">
        <f t="shared" si="19"/>
        <v>0</v>
      </c>
    </row>
    <row r="38" spans="1:26">
      <c r="A38" s="758">
        <f t="shared" si="16"/>
        <v>21</v>
      </c>
      <c r="B38" s="293" t="s">
        <v>608</v>
      </c>
      <c r="C38" s="834">
        <f t="shared" si="5"/>
        <v>5612</v>
      </c>
      <c r="D38" s="759">
        <f t="shared" ref="D38:I47" si="23">IF($L$182&lt;&gt;0,D$182/$L$182*$L38,0)</f>
        <v>476.52644826665647</v>
      </c>
      <c r="E38" s="759">
        <f t="shared" si="23"/>
        <v>118.79791007207963</v>
      </c>
      <c r="F38" s="759">
        <f t="shared" si="23"/>
        <v>551.46638190763133</v>
      </c>
      <c r="G38" s="759">
        <f t="shared" si="23"/>
        <v>63.420159414209984</v>
      </c>
      <c r="H38" s="759">
        <f t="shared" si="23"/>
        <v>28.603028107242288</v>
      </c>
      <c r="I38" s="759">
        <f t="shared" si="23"/>
        <v>120.69886732008695</v>
      </c>
      <c r="J38" s="360"/>
      <c r="K38" s="802">
        <f t="shared" si="21"/>
        <v>6972</v>
      </c>
      <c r="L38" s="759">
        <v>1</v>
      </c>
      <c r="M38" s="759">
        <f t="shared" si="17"/>
        <v>6972</v>
      </c>
      <c r="N38" s="671">
        <v>7358</v>
      </c>
      <c r="O38" s="671"/>
      <c r="P38" s="188" t="s">
        <v>413</v>
      </c>
      <c r="Q38" s="776">
        <v>40690</v>
      </c>
      <c r="R38" s="775"/>
      <c r="S38" s="829">
        <f t="shared" ref="S38" si="24">L38</f>
        <v>1</v>
      </c>
      <c r="T38" s="255">
        <v>5612</v>
      </c>
      <c r="U38" s="8">
        <f t="shared" si="18"/>
        <v>5612</v>
      </c>
      <c r="V38" s="451"/>
      <c r="W38" s="776"/>
      <c r="X38" s="806"/>
      <c r="Y38" s="806"/>
      <c r="Z38" s="8">
        <f t="shared" si="19"/>
        <v>0</v>
      </c>
    </row>
    <row r="39" spans="1:26">
      <c r="A39" s="758">
        <f t="shared" si="16"/>
        <v>22</v>
      </c>
      <c r="B39" s="293" t="s">
        <v>609</v>
      </c>
      <c r="C39" s="834">
        <f t="shared" si="5"/>
        <v>17796</v>
      </c>
      <c r="D39" s="759">
        <f t="shared" si="23"/>
        <v>1906.1057930666259</v>
      </c>
      <c r="E39" s="759">
        <f t="shared" si="23"/>
        <v>475.19164028831852</v>
      </c>
      <c r="F39" s="759">
        <f t="shared" si="23"/>
        <v>2205.8655276305253</v>
      </c>
      <c r="G39" s="759">
        <f t="shared" si="23"/>
        <v>253.68063765683993</v>
      </c>
      <c r="H39" s="759">
        <f t="shared" si="23"/>
        <v>114.41211242896915</v>
      </c>
      <c r="I39" s="759">
        <f t="shared" si="23"/>
        <v>482.79546928034779</v>
      </c>
      <c r="J39" s="360"/>
      <c r="K39" s="802">
        <f t="shared" si="21"/>
        <v>23234</v>
      </c>
      <c r="L39" s="759">
        <v>4</v>
      </c>
      <c r="M39" s="759">
        <f t="shared" si="17"/>
        <v>5808.5</v>
      </c>
      <c r="N39" s="671">
        <v>7429</v>
      </c>
      <c r="O39" s="671"/>
      <c r="P39" s="293" t="s">
        <v>382</v>
      </c>
      <c r="Q39" s="776">
        <v>40690</v>
      </c>
      <c r="R39" s="775"/>
      <c r="S39" s="301">
        <f>L39</f>
        <v>4</v>
      </c>
      <c r="T39" s="255">
        <v>4449</v>
      </c>
      <c r="U39" s="8">
        <f t="shared" si="18"/>
        <v>17796</v>
      </c>
      <c r="V39" s="451"/>
      <c r="W39" s="776"/>
      <c r="X39" s="806"/>
      <c r="Y39" s="806"/>
      <c r="Z39" s="8">
        <f t="shared" si="19"/>
        <v>0</v>
      </c>
    </row>
    <row r="40" spans="1:26">
      <c r="A40" s="758">
        <f t="shared" si="16"/>
        <v>23</v>
      </c>
      <c r="B40" s="293" t="s">
        <v>610</v>
      </c>
      <c r="C40" s="834">
        <f t="shared" si="5"/>
        <v>4449</v>
      </c>
      <c r="D40" s="759">
        <f t="shared" si="23"/>
        <v>953.05289653331295</v>
      </c>
      <c r="E40" s="759">
        <f t="shared" si="23"/>
        <v>237.59582014415926</v>
      </c>
      <c r="F40" s="759">
        <f t="shared" si="23"/>
        <v>1102.9327638152627</v>
      </c>
      <c r="G40" s="759">
        <f t="shared" si="23"/>
        <v>126.84031882841997</v>
      </c>
      <c r="H40" s="759">
        <f t="shared" si="23"/>
        <v>57.206056214484576</v>
      </c>
      <c r="I40" s="759">
        <f t="shared" si="23"/>
        <v>241.39773464017389</v>
      </c>
      <c r="J40" s="360"/>
      <c r="K40" s="802">
        <f t="shared" si="21"/>
        <v>7168</v>
      </c>
      <c r="L40" s="759">
        <v>2</v>
      </c>
      <c r="M40" s="759">
        <f t="shared" si="17"/>
        <v>3584</v>
      </c>
      <c r="N40" s="671">
        <v>4823</v>
      </c>
      <c r="O40" s="671"/>
      <c r="P40" s="188" t="s">
        <v>382</v>
      </c>
      <c r="Q40" s="776">
        <v>40690</v>
      </c>
      <c r="R40" s="775"/>
      <c r="S40" s="301">
        <f>L40/2</f>
        <v>1</v>
      </c>
      <c r="T40" s="255">
        <v>4449</v>
      </c>
      <c r="U40" s="8">
        <f t="shared" si="18"/>
        <v>4449</v>
      </c>
      <c r="V40" s="451"/>
      <c r="W40" s="776"/>
      <c r="X40" s="806"/>
      <c r="Y40" s="806"/>
      <c r="Z40" s="8">
        <f t="shared" si="19"/>
        <v>0</v>
      </c>
    </row>
    <row r="41" spans="1:26">
      <c r="A41" s="758">
        <f t="shared" si="16"/>
        <v>24</v>
      </c>
      <c r="B41" s="293" t="s">
        <v>611</v>
      </c>
      <c r="C41" s="834">
        <f t="shared" si="5"/>
        <v>14536</v>
      </c>
      <c r="D41" s="759">
        <f t="shared" si="23"/>
        <v>953.05289653331295</v>
      </c>
      <c r="E41" s="759">
        <f t="shared" si="23"/>
        <v>237.59582014415926</v>
      </c>
      <c r="F41" s="759">
        <f t="shared" si="23"/>
        <v>1102.9327638152627</v>
      </c>
      <c r="G41" s="759">
        <f t="shared" si="23"/>
        <v>126.84031882841997</v>
      </c>
      <c r="H41" s="759">
        <f t="shared" si="23"/>
        <v>57.206056214484576</v>
      </c>
      <c r="I41" s="759">
        <f t="shared" si="23"/>
        <v>241.39773464017389</v>
      </c>
      <c r="J41" s="360"/>
      <c r="K41" s="802">
        <f t="shared" si="21"/>
        <v>17255</v>
      </c>
      <c r="L41" s="759">
        <v>2</v>
      </c>
      <c r="M41" s="759">
        <f t="shared" si="17"/>
        <v>8627.5</v>
      </c>
      <c r="N41" s="671">
        <v>9141</v>
      </c>
      <c r="O41" s="671"/>
      <c r="P41" s="188" t="s">
        <v>426</v>
      </c>
      <c r="Q41" s="776">
        <v>40690</v>
      </c>
      <c r="R41" s="775"/>
      <c r="S41" s="301">
        <f>L41</f>
        <v>2</v>
      </c>
      <c r="T41" s="255">
        <v>7268</v>
      </c>
      <c r="U41" s="8">
        <f t="shared" si="18"/>
        <v>14536</v>
      </c>
      <c r="V41" s="451"/>
      <c r="W41" s="776"/>
      <c r="X41" s="806"/>
      <c r="Y41" s="806"/>
      <c r="Z41" s="8">
        <f t="shared" si="19"/>
        <v>0</v>
      </c>
    </row>
    <row r="42" spans="1:26">
      <c r="A42" s="758">
        <f t="shared" si="16"/>
        <v>25</v>
      </c>
      <c r="B42" s="293" t="s">
        <v>612</v>
      </c>
      <c r="C42" s="834">
        <f t="shared" si="5"/>
        <v>11662</v>
      </c>
      <c r="D42" s="759">
        <f t="shared" si="23"/>
        <v>953.05289653331295</v>
      </c>
      <c r="E42" s="759">
        <f t="shared" si="23"/>
        <v>237.59582014415926</v>
      </c>
      <c r="F42" s="759">
        <f t="shared" si="23"/>
        <v>1102.9327638152627</v>
      </c>
      <c r="G42" s="759">
        <f t="shared" si="23"/>
        <v>126.84031882841997</v>
      </c>
      <c r="H42" s="759">
        <f t="shared" si="23"/>
        <v>57.206056214484576</v>
      </c>
      <c r="I42" s="759">
        <f t="shared" si="23"/>
        <v>241.39773464017389</v>
      </c>
      <c r="J42" s="360"/>
      <c r="K42" s="802">
        <f t="shared" si="21"/>
        <v>14381</v>
      </c>
      <c r="L42" s="759">
        <v>2</v>
      </c>
      <c r="M42" s="759">
        <f t="shared" si="17"/>
        <v>7190.5</v>
      </c>
      <c r="N42" s="671">
        <v>7441</v>
      </c>
      <c r="O42" s="671"/>
      <c r="P42" s="188" t="s">
        <v>414</v>
      </c>
      <c r="Q42" s="776">
        <v>40690</v>
      </c>
      <c r="R42" s="775"/>
      <c r="S42" s="829">
        <f t="shared" ref="S42:S43" si="25">L42</f>
        <v>2</v>
      </c>
      <c r="T42" s="255">
        <v>5831</v>
      </c>
      <c r="U42" s="8">
        <f t="shared" si="18"/>
        <v>11662</v>
      </c>
      <c r="V42" s="451"/>
      <c r="W42" s="776"/>
      <c r="X42" s="806"/>
      <c r="Y42" s="806"/>
      <c r="Z42" s="8">
        <f t="shared" si="19"/>
        <v>0</v>
      </c>
    </row>
    <row r="43" spans="1:26">
      <c r="A43" s="758">
        <f t="shared" si="16"/>
        <v>26</v>
      </c>
      <c r="B43" s="293" t="s">
        <v>613</v>
      </c>
      <c r="C43" s="834">
        <f t="shared" si="5"/>
        <v>28060</v>
      </c>
      <c r="D43" s="759">
        <f t="shared" si="23"/>
        <v>2382.6322413332823</v>
      </c>
      <c r="E43" s="759">
        <f t="shared" si="23"/>
        <v>593.9895503603982</v>
      </c>
      <c r="F43" s="759">
        <f t="shared" si="23"/>
        <v>2757.3319095381567</v>
      </c>
      <c r="G43" s="759">
        <f t="shared" si="23"/>
        <v>317.1007970710499</v>
      </c>
      <c r="H43" s="759">
        <f t="shared" si="23"/>
        <v>143.01514053621145</v>
      </c>
      <c r="I43" s="759">
        <f t="shared" si="23"/>
        <v>603.49433660043474</v>
      </c>
      <c r="J43" s="360"/>
      <c r="K43" s="802">
        <f t="shared" si="21"/>
        <v>34858</v>
      </c>
      <c r="L43" s="759">
        <v>5</v>
      </c>
      <c r="M43" s="759">
        <f t="shared" si="17"/>
        <v>6971.6</v>
      </c>
      <c r="N43" s="671">
        <v>7175</v>
      </c>
      <c r="O43" s="671"/>
      <c r="P43" s="188" t="s">
        <v>413</v>
      </c>
      <c r="Q43" s="776">
        <v>40690</v>
      </c>
      <c r="R43" s="775"/>
      <c r="S43" s="829">
        <f t="shared" si="25"/>
        <v>5</v>
      </c>
      <c r="T43" s="255">
        <v>5612</v>
      </c>
      <c r="U43" s="8">
        <f t="shared" si="18"/>
        <v>28060</v>
      </c>
      <c r="V43" s="451"/>
      <c r="W43" s="776"/>
      <c r="X43" s="806"/>
      <c r="Y43" s="806"/>
      <c r="Z43" s="8">
        <f t="shared" si="19"/>
        <v>0</v>
      </c>
    </row>
    <row r="44" spans="1:26">
      <c r="A44" s="758">
        <f t="shared" si="16"/>
        <v>27</v>
      </c>
      <c r="B44" s="293" t="s">
        <v>614</v>
      </c>
      <c r="C44" s="834">
        <f t="shared" si="5"/>
        <v>1455550</v>
      </c>
      <c r="D44" s="759">
        <f t="shared" si="23"/>
        <v>40981.27455093246</v>
      </c>
      <c r="E44" s="759">
        <f t="shared" si="23"/>
        <v>10216.620266198848</v>
      </c>
      <c r="F44" s="759">
        <f t="shared" si="23"/>
        <v>47426.108844056296</v>
      </c>
      <c r="G44" s="759">
        <f t="shared" si="23"/>
        <v>5454.1337096220586</v>
      </c>
      <c r="H44" s="759">
        <f t="shared" si="23"/>
        <v>2459.860417222837</v>
      </c>
      <c r="I44" s="759">
        <f t="shared" si="23"/>
        <v>10380.102589527478</v>
      </c>
      <c r="J44" s="360"/>
      <c r="K44" s="802">
        <f t="shared" si="21"/>
        <v>1572468</v>
      </c>
      <c r="L44" s="759">
        <v>86</v>
      </c>
      <c r="M44" s="759">
        <f t="shared" si="17"/>
        <v>18284.511627906977</v>
      </c>
      <c r="N44" s="671">
        <v>19591</v>
      </c>
      <c r="O44" s="671"/>
      <c r="P44" s="188" t="s">
        <v>402</v>
      </c>
      <c r="Q44" s="776">
        <v>40690</v>
      </c>
      <c r="R44" s="775"/>
      <c r="S44" s="829">
        <f>L44</f>
        <v>86</v>
      </c>
      <c r="T44" s="808">
        <v>16925</v>
      </c>
      <c r="U44" s="8">
        <f t="shared" si="18"/>
        <v>1455550</v>
      </c>
      <c r="V44" s="451"/>
      <c r="W44" s="776"/>
      <c r="X44" s="806"/>
      <c r="Y44" s="806"/>
      <c r="Z44" s="8">
        <f t="shared" si="19"/>
        <v>0</v>
      </c>
    </row>
    <row r="45" spans="1:26">
      <c r="A45" s="758">
        <f t="shared" si="16"/>
        <v>28</v>
      </c>
      <c r="B45" s="293" t="s">
        <v>615</v>
      </c>
      <c r="C45" s="834">
        <f t="shared" si="5"/>
        <v>53992</v>
      </c>
      <c r="D45" s="759">
        <f t="shared" si="23"/>
        <v>1906.1057930666259</v>
      </c>
      <c r="E45" s="759">
        <f t="shared" si="23"/>
        <v>475.19164028831852</v>
      </c>
      <c r="F45" s="759">
        <f t="shared" si="23"/>
        <v>2205.8655276305253</v>
      </c>
      <c r="G45" s="759">
        <f t="shared" si="23"/>
        <v>253.68063765683993</v>
      </c>
      <c r="H45" s="759">
        <f t="shared" si="23"/>
        <v>114.41211242896915</v>
      </c>
      <c r="I45" s="759">
        <f t="shared" si="23"/>
        <v>482.79546928034779</v>
      </c>
      <c r="J45" s="360"/>
      <c r="K45" s="802">
        <f t="shared" si="21"/>
        <v>59430</v>
      </c>
      <c r="L45" s="759">
        <v>4</v>
      </c>
      <c r="M45" s="759">
        <f t="shared" si="17"/>
        <v>14857.5</v>
      </c>
      <c r="N45" s="671">
        <v>16433</v>
      </c>
      <c r="O45" s="671"/>
      <c r="P45" s="188" t="s">
        <v>412</v>
      </c>
      <c r="Q45" s="776">
        <v>40690</v>
      </c>
      <c r="R45" s="775"/>
      <c r="S45" s="301">
        <f t="shared" ref="S45:S46" si="26">L45</f>
        <v>4</v>
      </c>
      <c r="T45" s="255">
        <v>13498</v>
      </c>
      <c r="U45" s="8">
        <f t="shared" si="18"/>
        <v>53992</v>
      </c>
      <c r="V45" s="451"/>
      <c r="W45" s="776"/>
      <c r="X45" s="806"/>
      <c r="Y45" s="806"/>
      <c r="Z45" s="8">
        <f t="shared" si="19"/>
        <v>0</v>
      </c>
    </row>
    <row r="46" spans="1:26">
      <c r="A46" s="758">
        <f t="shared" si="16"/>
        <v>29</v>
      </c>
      <c r="B46" s="293" t="s">
        <v>616</v>
      </c>
      <c r="C46" s="834">
        <f t="shared" si="5"/>
        <v>323952</v>
      </c>
      <c r="D46" s="759">
        <f t="shared" si="23"/>
        <v>11436.634758399756</v>
      </c>
      <c r="E46" s="759">
        <f t="shared" si="23"/>
        <v>2851.1498417299113</v>
      </c>
      <c r="F46" s="759">
        <f t="shared" si="23"/>
        <v>13235.193165783152</v>
      </c>
      <c r="G46" s="759">
        <f t="shared" si="23"/>
        <v>1522.0838259410395</v>
      </c>
      <c r="H46" s="759">
        <f t="shared" si="23"/>
        <v>686.47267457381486</v>
      </c>
      <c r="I46" s="759">
        <f t="shared" si="23"/>
        <v>2896.7728156820867</v>
      </c>
      <c r="J46" s="360"/>
      <c r="K46" s="802">
        <f t="shared" si="21"/>
        <v>356580</v>
      </c>
      <c r="L46" s="759">
        <v>24</v>
      </c>
      <c r="M46" s="759">
        <f t="shared" si="17"/>
        <v>14857.5</v>
      </c>
      <c r="N46" s="671">
        <v>15538</v>
      </c>
      <c r="O46" s="671"/>
      <c r="P46" s="188" t="s">
        <v>412</v>
      </c>
      <c r="Q46" s="776">
        <v>40690</v>
      </c>
      <c r="R46" s="775"/>
      <c r="S46" s="301">
        <f t="shared" si="26"/>
        <v>24</v>
      </c>
      <c r="T46" s="255">
        <v>13498</v>
      </c>
      <c r="U46" s="8">
        <f t="shared" si="18"/>
        <v>323952</v>
      </c>
      <c r="V46" s="451"/>
      <c r="W46" s="776"/>
      <c r="X46" s="806"/>
      <c r="Y46" s="806"/>
      <c r="Z46" s="8">
        <f t="shared" si="19"/>
        <v>0</v>
      </c>
    </row>
    <row r="47" spans="1:26">
      <c r="A47" s="758">
        <f t="shared" si="16"/>
        <v>30</v>
      </c>
      <c r="B47" s="293" t="s">
        <v>617</v>
      </c>
      <c r="C47" s="834">
        <f t="shared" si="5"/>
        <v>5128200</v>
      </c>
      <c r="D47" s="759">
        <f t="shared" si="23"/>
        <v>173455.62716906297</v>
      </c>
      <c r="E47" s="759">
        <f t="shared" si="23"/>
        <v>43242.439266236986</v>
      </c>
      <c r="F47" s="759">
        <f t="shared" si="23"/>
        <v>200733.76301437779</v>
      </c>
      <c r="G47" s="759">
        <f t="shared" si="23"/>
        <v>23084.938026772434</v>
      </c>
      <c r="H47" s="759">
        <f t="shared" si="23"/>
        <v>10411.502231036193</v>
      </c>
      <c r="I47" s="759">
        <f t="shared" si="23"/>
        <v>43934.387704511646</v>
      </c>
      <c r="J47" s="360"/>
      <c r="K47" s="802">
        <f t="shared" si="21"/>
        <v>5623063</v>
      </c>
      <c r="L47" s="759">
        <v>364</v>
      </c>
      <c r="M47" s="759">
        <f t="shared" si="17"/>
        <v>15447.975274725275</v>
      </c>
      <c r="N47" s="671">
        <v>17124</v>
      </c>
      <c r="O47" s="671"/>
      <c r="P47" s="293" t="s">
        <v>397</v>
      </c>
      <c r="Q47" s="776">
        <v>40690</v>
      </c>
      <c r="R47" s="775"/>
      <c r="S47" s="301">
        <v>185</v>
      </c>
      <c r="T47" s="253">
        <v>27720</v>
      </c>
      <c r="U47" s="8">
        <f t="shared" si="18"/>
        <v>5128200</v>
      </c>
      <c r="V47" s="451"/>
      <c r="W47" s="776"/>
      <c r="X47" s="806"/>
      <c r="Y47" s="806"/>
      <c r="Z47" s="8">
        <f t="shared" si="19"/>
        <v>0</v>
      </c>
    </row>
    <row r="48" spans="1:26">
      <c r="A48" s="758">
        <f t="shared" si="16"/>
        <v>31</v>
      </c>
      <c r="B48" s="293" t="s">
        <v>618</v>
      </c>
      <c r="C48" s="834">
        <f t="shared" si="5"/>
        <v>17240</v>
      </c>
      <c r="D48" s="759">
        <f t="shared" ref="D48:I57" si="27">IF($L$182&lt;&gt;0,D$182/$L$182*$L48,0)</f>
        <v>953.05289653331295</v>
      </c>
      <c r="E48" s="759">
        <f t="shared" si="27"/>
        <v>237.59582014415926</v>
      </c>
      <c r="F48" s="759">
        <f t="shared" si="27"/>
        <v>1102.9327638152627</v>
      </c>
      <c r="G48" s="759">
        <f t="shared" si="27"/>
        <v>126.84031882841997</v>
      </c>
      <c r="H48" s="759">
        <f t="shared" si="27"/>
        <v>57.206056214484576</v>
      </c>
      <c r="I48" s="759">
        <f t="shared" si="27"/>
        <v>241.39773464017389</v>
      </c>
      <c r="J48" s="360"/>
      <c r="K48" s="802">
        <f t="shared" si="21"/>
        <v>19959</v>
      </c>
      <c r="L48" s="759">
        <v>2</v>
      </c>
      <c r="M48" s="759">
        <f t="shared" si="17"/>
        <v>9979.5</v>
      </c>
      <c r="N48" s="671">
        <v>12738</v>
      </c>
      <c r="O48" s="671"/>
      <c r="P48" s="188" t="s">
        <v>415</v>
      </c>
      <c r="Q48" s="776">
        <v>40690</v>
      </c>
      <c r="R48" s="775"/>
      <c r="S48" s="301">
        <f>L48</f>
        <v>2</v>
      </c>
      <c r="T48" s="253">
        <v>8620</v>
      </c>
      <c r="U48" s="8">
        <f t="shared" si="18"/>
        <v>17240</v>
      </c>
      <c r="V48" s="451"/>
      <c r="W48" s="776"/>
      <c r="X48" s="806"/>
      <c r="Y48" s="806"/>
      <c r="Z48" s="8">
        <f t="shared" si="19"/>
        <v>0</v>
      </c>
    </row>
    <row r="49" spans="1:26">
      <c r="A49" s="813">
        <f t="shared" si="16"/>
        <v>32</v>
      </c>
      <c r="B49" s="294" t="s">
        <v>619</v>
      </c>
      <c r="C49" s="834">
        <f t="shared" si="5"/>
        <v>118580</v>
      </c>
      <c r="D49" s="296">
        <f t="shared" si="27"/>
        <v>4765.2644826665646</v>
      </c>
      <c r="E49" s="296">
        <f t="shared" si="27"/>
        <v>1187.9791007207964</v>
      </c>
      <c r="F49" s="296">
        <f t="shared" si="27"/>
        <v>5514.6638190763133</v>
      </c>
      <c r="G49" s="296">
        <f t="shared" si="27"/>
        <v>634.20159414209979</v>
      </c>
      <c r="H49" s="296">
        <f t="shared" si="27"/>
        <v>286.03028107242289</v>
      </c>
      <c r="I49" s="296">
        <f t="shared" si="27"/>
        <v>1206.9886732008695</v>
      </c>
      <c r="J49" s="360"/>
      <c r="K49" s="802">
        <f t="shared" si="21"/>
        <v>132175</v>
      </c>
      <c r="L49" s="537">
        <v>10</v>
      </c>
      <c r="M49" s="537">
        <f t="shared" si="17"/>
        <v>13217.5</v>
      </c>
      <c r="N49" s="816">
        <v>14997</v>
      </c>
      <c r="O49" s="671"/>
      <c r="P49" s="188" t="s">
        <v>405</v>
      </c>
      <c r="Q49" s="776">
        <v>40690</v>
      </c>
      <c r="R49" s="775"/>
      <c r="S49" s="829">
        <v>5</v>
      </c>
      <c r="T49" s="255">
        <v>23716</v>
      </c>
      <c r="U49" s="8">
        <f t="shared" si="18"/>
        <v>118580</v>
      </c>
      <c r="V49" s="451"/>
      <c r="W49" s="776"/>
      <c r="X49" s="806"/>
      <c r="Y49" s="806"/>
      <c r="Z49" s="8">
        <f t="shared" si="19"/>
        <v>0</v>
      </c>
    </row>
    <row r="50" spans="1:26">
      <c r="A50" s="758">
        <f>IF(B50&lt;&gt;"",A49+1,"")</f>
        <v>33</v>
      </c>
      <c r="B50" s="293" t="s">
        <v>620</v>
      </c>
      <c r="C50" s="834">
        <f t="shared" si="5"/>
        <v>5821200</v>
      </c>
      <c r="D50" s="759">
        <f t="shared" si="27"/>
        <v>197281.94958239578</v>
      </c>
      <c r="E50" s="759">
        <f t="shared" si="27"/>
        <v>49182.334769840971</v>
      </c>
      <c r="F50" s="759">
        <f t="shared" si="27"/>
        <v>228307.08210975936</v>
      </c>
      <c r="G50" s="759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60"/>
      <c r="K50" s="802">
        <f t="shared" si="21"/>
        <v>6384038</v>
      </c>
      <c r="L50" s="254">
        <v>414</v>
      </c>
      <c r="M50" s="254">
        <f t="shared" si="17"/>
        <v>15420.381642512077</v>
      </c>
      <c r="N50" s="671">
        <v>16852</v>
      </c>
      <c r="O50" s="671"/>
      <c r="P50" s="293" t="s">
        <v>397</v>
      </c>
      <c r="Q50" s="776">
        <v>40690</v>
      </c>
      <c r="R50" s="775"/>
      <c r="S50" s="301">
        <v>210</v>
      </c>
      <c r="T50" s="253">
        <v>27720</v>
      </c>
      <c r="U50" s="8">
        <f t="shared" si="18"/>
        <v>5821200</v>
      </c>
      <c r="V50" s="451"/>
      <c r="W50" s="776"/>
      <c r="X50" s="806"/>
      <c r="Y50" s="806"/>
      <c r="Z50" s="8">
        <f t="shared" si="19"/>
        <v>0</v>
      </c>
    </row>
    <row r="51" spans="1:26">
      <c r="A51" s="758">
        <f t="shared" si="16"/>
        <v>34</v>
      </c>
      <c r="B51" s="293" t="s">
        <v>621</v>
      </c>
      <c r="C51" s="834">
        <f t="shared" si="5"/>
        <v>17388000</v>
      </c>
      <c r="D51" s="759">
        <f t="shared" si="27"/>
        <v>657606.49860798591</v>
      </c>
      <c r="E51" s="759">
        <f t="shared" si="27"/>
        <v>163941.11589946988</v>
      </c>
      <c r="F51" s="759">
        <f t="shared" si="27"/>
        <v>761023.60703253129</v>
      </c>
      <c r="G51" s="759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60"/>
      <c r="K51" s="802">
        <f t="shared" si="21"/>
        <v>19264128</v>
      </c>
      <c r="L51" s="254">
        <v>1380</v>
      </c>
      <c r="M51" s="254">
        <f t="shared" si="17"/>
        <v>13959.51304347826</v>
      </c>
      <c r="N51" s="671">
        <v>14135</v>
      </c>
      <c r="O51" s="671"/>
      <c r="P51" s="293" t="s">
        <v>396</v>
      </c>
      <c r="Q51" s="776">
        <v>40690</v>
      </c>
      <c r="R51" s="775"/>
      <c r="S51" s="829">
        <f>L51/2</f>
        <v>690</v>
      </c>
      <c r="T51" s="255">
        <v>25200</v>
      </c>
      <c r="U51" s="8">
        <f t="shared" si="18"/>
        <v>17388000</v>
      </c>
      <c r="V51" s="451"/>
      <c r="W51" s="776"/>
      <c r="X51" s="806"/>
      <c r="Y51" s="806"/>
      <c r="Z51" s="8">
        <f t="shared" si="19"/>
        <v>0</v>
      </c>
    </row>
    <row r="52" spans="1:26">
      <c r="A52" s="813">
        <f t="shared" si="16"/>
        <v>35</v>
      </c>
      <c r="B52" s="294" t="s">
        <v>622</v>
      </c>
      <c r="C52" s="834">
        <f t="shared" si="5"/>
        <v>14212800</v>
      </c>
      <c r="D52" s="296">
        <f t="shared" si="27"/>
        <v>537045.3071965219</v>
      </c>
      <c r="E52" s="296">
        <f t="shared" si="27"/>
        <v>133885.24465123375</v>
      </c>
      <c r="F52" s="296">
        <f t="shared" si="27"/>
        <v>621502.61240990052</v>
      </c>
      <c r="G52" s="296">
        <f t="shared" si="27"/>
        <v>71474.519659814658</v>
      </c>
      <c r="H52" s="296">
        <f t="shared" si="27"/>
        <v>32235.61267686206</v>
      </c>
      <c r="I52" s="296">
        <f t="shared" si="27"/>
        <v>136027.623469738</v>
      </c>
      <c r="J52" s="296"/>
      <c r="K52" s="802">
        <f t="shared" si="21"/>
        <v>15744971</v>
      </c>
      <c r="L52" s="537">
        <v>1127</v>
      </c>
      <c r="M52" s="537">
        <f t="shared" si="17"/>
        <v>13970.692990239573</v>
      </c>
      <c r="N52" s="816">
        <v>14920</v>
      </c>
      <c r="O52" s="671"/>
      <c r="P52" s="293" t="s">
        <v>396</v>
      </c>
      <c r="Q52" s="776">
        <v>40690</v>
      </c>
      <c r="R52" s="775"/>
      <c r="S52" s="829">
        <v>564</v>
      </c>
      <c r="T52" s="255">
        <v>25200</v>
      </c>
      <c r="U52" s="8">
        <f t="shared" si="18"/>
        <v>14212800</v>
      </c>
      <c r="V52" s="451"/>
      <c r="W52" s="776"/>
      <c r="X52" s="806"/>
      <c r="Y52" s="806"/>
      <c r="Z52" s="8">
        <f t="shared" si="19"/>
        <v>0</v>
      </c>
    </row>
    <row r="53" spans="1:26">
      <c r="A53" s="813">
        <f>IF(B53&lt;&gt;"",A52+1,"")</f>
        <v>36</v>
      </c>
      <c r="B53" s="294" t="s">
        <v>529</v>
      </c>
      <c r="C53" s="834">
        <f t="shared" si="5"/>
        <v>3063425</v>
      </c>
      <c r="D53" s="296">
        <f t="shared" si="27"/>
        <v>86251.287136264815</v>
      </c>
      <c r="E53" s="296">
        <f t="shared" si="27"/>
        <v>21502.421723046413</v>
      </c>
      <c r="F53" s="296">
        <f t="shared" si="27"/>
        <v>99815.415125281274</v>
      </c>
      <c r="G53" s="296">
        <f t="shared" si="27"/>
        <v>11479.048853972006</v>
      </c>
      <c r="H53" s="296">
        <f t="shared" si="27"/>
        <v>5177.1480874108538</v>
      </c>
      <c r="I53" s="296">
        <f t="shared" si="27"/>
        <v>21846.494984935736</v>
      </c>
      <c r="J53" s="296"/>
      <c r="K53" s="802">
        <f t="shared" si="21"/>
        <v>3309497</v>
      </c>
      <c r="L53" s="537">
        <v>181</v>
      </c>
      <c r="M53" s="537">
        <f t="shared" si="17"/>
        <v>18284.513812154695</v>
      </c>
      <c r="N53" s="816">
        <v>19720</v>
      </c>
      <c r="O53" s="671"/>
      <c r="P53" s="188" t="s">
        <v>402</v>
      </c>
      <c r="Q53" s="776">
        <v>40691</v>
      </c>
      <c r="R53" s="775"/>
      <c r="S53" s="829">
        <f>L53</f>
        <v>181</v>
      </c>
      <c r="T53" s="808">
        <v>16925</v>
      </c>
      <c r="U53" s="8">
        <f t="shared" si="18"/>
        <v>3063425</v>
      </c>
      <c r="V53" s="451"/>
      <c r="W53" s="776"/>
      <c r="X53" s="806"/>
      <c r="Y53" s="806"/>
      <c r="Z53" s="8">
        <f t="shared" si="19"/>
        <v>0</v>
      </c>
    </row>
    <row r="54" spans="1:26">
      <c r="A54" s="813">
        <f>IF(B54&lt;&gt;"",A53+1,"")</f>
        <v>37</v>
      </c>
      <c r="B54" s="294" t="s">
        <v>623</v>
      </c>
      <c r="C54" s="834">
        <f t="shared" si="5"/>
        <v>284736</v>
      </c>
      <c r="D54" s="296">
        <f t="shared" si="27"/>
        <v>121037.71785973075</v>
      </c>
      <c r="E54" s="296">
        <f t="shared" si="27"/>
        <v>30174.669158308225</v>
      </c>
      <c r="F54" s="296">
        <f t="shared" si="27"/>
        <v>140072.46100453835</v>
      </c>
      <c r="G54" s="296">
        <f t="shared" si="27"/>
        <v>16108.720491209337</v>
      </c>
      <c r="H54" s="296">
        <f t="shared" si="27"/>
        <v>7265.1691392395414</v>
      </c>
      <c r="I54" s="296">
        <f t="shared" si="27"/>
        <v>30657.512299302085</v>
      </c>
      <c r="J54" s="537"/>
      <c r="K54" s="802">
        <f t="shared" si="21"/>
        <v>630052</v>
      </c>
      <c r="L54" s="537">
        <v>254</v>
      </c>
      <c r="M54" s="537">
        <f t="shared" si="17"/>
        <v>2480.51968503937</v>
      </c>
      <c r="N54" s="816">
        <v>2200</v>
      </c>
      <c r="O54" s="671"/>
      <c r="P54" s="188" t="s">
        <v>382</v>
      </c>
      <c r="Q54" s="776">
        <v>40691</v>
      </c>
      <c r="R54" s="775"/>
      <c r="S54" s="301">
        <v>64</v>
      </c>
      <c r="T54" s="255">
        <v>4449</v>
      </c>
      <c r="U54" s="8">
        <f t="shared" si="18"/>
        <v>284736</v>
      </c>
      <c r="V54" s="451"/>
      <c r="W54" s="776"/>
      <c r="X54" s="806"/>
      <c r="Y54" s="806"/>
      <c r="Z54" s="8">
        <f t="shared" si="19"/>
        <v>0</v>
      </c>
    </row>
    <row r="55" spans="1:26">
      <c r="A55" s="758">
        <f>IF(B55&lt;&gt;"",A54+1,"")</f>
        <v>38</v>
      </c>
      <c r="B55" s="293" t="s">
        <v>624</v>
      </c>
      <c r="C55" s="834">
        <f t="shared" si="5"/>
        <v>5241600</v>
      </c>
      <c r="D55" s="759">
        <f t="shared" si="27"/>
        <v>194422.79089279583</v>
      </c>
      <c r="E55" s="759">
        <f t="shared" si="27"/>
        <v>48469.547309408488</v>
      </c>
      <c r="F55" s="759">
        <f t="shared" si="27"/>
        <v>224998.28381831359</v>
      </c>
      <c r="G55" s="759">
        <f t="shared" si="27"/>
        <v>25875.425040997674</v>
      </c>
      <c r="H55" s="759">
        <f t="shared" si="27"/>
        <v>11670.035467754853</v>
      </c>
      <c r="I55" s="759">
        <f t="shared" si="27"/>
        <v>49245.137866595476</v>
      </c>
      <c r="J55" s="360"/>
      <c r="K55" s="802">
        <f t="shared" si="21"/>
        <v>5796281</v>
      </c>
      <c r="L55" s="759">
        <v>408</v>
      </c>
      <c r="M55" s="759">
        <f t="shared" ref="M55:M86" si="28">IF(L55&lt;&gt;"",K55/L55,"")</f>
        <v>14206.571078431372</v>
      </c>
      <c r="N55" s="671">
        <v>15770</v>
      </c>
      <c r="O55" s="671"/>
      <c r="P55" s="293" t="s">
        <v>396</v>
      </c>
      <c r="Q55" s="776">
        <v>40691</v>
      </c>
      <c r="R55" s="775"/>
      <c r="S55" s="301">
        <v>208</v>
      </c>
      <c r="T55" s="253">
        <v>25200</v>
      </c>
      <c r="U55" s="8">
        <f t="shared" si="18"/>
        <v>5241600</v>
      </c>
      <c r="V55" s="451"/>
      <c r="W55" s="776"/>
      <c r="X55" s="806"/>
      <c r="Y55" s="806"/>
      <c r="Z55" s="8">
        <f t="shared" ref="Z55:Z86" si="29">X55*Y55</f>
        <v>0</v>
      </c>
    </row>
    <row r="56" spans="1:26">
      <c r="A56" s="758">
        <f t="shared" ref="A56:A86" si="30">IF(B56&lt;&gt;"",A55+1,"")</f>
        <v>39</v>
      </c>
      <c r="B56" s="293" t="s">
        <v>625</v>
      </c>
      <c r="C56" s="834">
        <f t="shared" si="5"/>
        <v>2764485</v>
      </c>
      <c r="D56" s="759">
        <f t="shared" si="27"/>
        <v>164401.62465199648</v>
      </c>
      <c r="E56" s="759">
        <f t="shared" si="27"/>
        <v>40985.27897486747</v>
      </c>
      <c r="F56" s="759">
        <f t="shared" si="27"/>
        <v>190255.90175813282</v>
      </c>
      <c r="G56" s="759">
        <f t="shared" si="27"/>
        <v>21879.954997902445</v>
      </c>
      <c r="H56" s="759">
        <f t="shared" si="27"/>
        <v>9868.0446969985896</v>
      </c>
      <c r="I56" s="759">
        <f t="shared" si="27"/>
        <v>41641.109225429995</v>
      </c>
      <c r="J56" s="360"/>
      <c r="K56" s="802">
        <f t="shared" si="21"/>
        <v>3233517</v>
      </c>
      <c r="L56" s="759">
        <v>345</v>
      </c>
      <c r="M56" s="759">
        <f t="shared" si="28"/>
        <v>9372.5130434782604</v>
      </c>
      <c r="N56" s="671">
        <v>11002</v>
      </c>
      <c r="O56" s="671"/>
      <c r="P56" s="188" t="s">
        <v>420</v>
      </c>
      <c r="Q56" s="776">
        <v>40691</v>
      </c>
      <c r="R56" s="775"/>
      <c r="S56" s="301">
        <f t="shared" ref="S56:S58" si="31">L56</f>
        <v>345</v>
      </c>
      <c r="T56" s="253">
        <v>8013</v>
      </c>
      <c r="U56" s="8">
        <f t="shared" si="18"/>
        <v>2764485</v>
      </c>
      <c r="V56" s="451"/>
      <c r="W56" s="776"/>
      <c r="X56" s="806"/>
      <c r="Y56" s="806"/>
      <c r="Z56" s="8">
        <f t="shared" si="29"/>
        <v>0</v>
      </c>
    </row>
    <row r="57" spans="1:26">
      <c r="A57" s="758">
        <f t="shared" si="30"/>
        <v>40</v>
      </c>
      <c r="B57" s="293" t="s">
        <v>626</v>
      </c>
      <c r="C57" s="834">
        <f t="shared" si="5"/>
        <v>34480</v>
      </c>
      <c r="D57" s="759">
        <f t="shared" si="27"/>
        <v>1906.1057930666259</v>
      </c>
      <c r="E57" s="759">
        <f t="shared" si="27"/>
        <v>475.19164028831852</v>
      </c>
      <c r="F57" s="759">
        <f t="shared" si="27"/>
        <v>2205.8655276305253</v>
      </c>
      <c r="G57" s="759">
        <f t="shared" si="27"/>
        <v>253.68063765683993</v>
      </c>
      <c r="H57" s="759">
        <f t="shared" si="27"/>
        <v>114.41211242896915</v>
      </c>
      <c r="I57" s="759">
        <f t="shared" si="27"/>
        <v>482.79546928034779</v>
      </c>
      <c r="J57" s="360"/>
      <c r="K57" s="802">
        <f t="shared" si="21"/>
        <v>39918</v>
      </c>
      <c r="L57" s="759">
        <v>4</v>
      </c>
      <c r="M57" s="759">
        <f t="shared" si="28"/>
        <v>9979.5</v>
      </c>
      <c r="N57" s="671">
        <v>12279</v>
      </c>
      <c r="O57" s="671"/>
      <c r="P57" s="188" t="s">
        <v>415</v>
      </c>
      <c r="Q57" s="776">
        <v>40691</v>
      </c>
      <c r="R57" s="775"/>
      <c r="S57" s="301">
        <f t="shared" si="31"/>
        <v>4</v>
      </c>
      <c r="T57" s="253">
        <v>8620</v>
      </c>
      <c r="U57" s="8">
        <f t="shared" si="18"/>
        <v>34480</v>
      </c>
      <c r="V57" s="451"/>
      <c r="W57" s="776"/>
      <c r="X57" s="806"/>
      <c r="Y57" s="806"/>
      <c r="Z57" s="8">
        <f t="shared" si="29"/>
        <v>0</v>
      </c>
    </row>
    <row r="58" spans="1:26">
      <c r="A58" s="758">
        <f t="shared" si="30"/>
        <v>41</v>
      </c>
      <c r="B58" s="293" t="s">
        <v>627</v>
      </c>
      <c r="C58" s="834">
        <f t="shared" si="5"/>
        <v>577540</v>
      </c>
      <c r="D58" s="759">
        <f t="shared" ref="D58:I67" si="32">IF($L$182&lt;&gt;0,D$182/$L$182*$L58,0)</f>
        <v>31927.272033865982</v>
      </c>
      <c r="E58" s="759">
        <f t="shared" si="32"/>
        <v>7959.4599748293349</v>
      </c>
      <c r="F58" s="759">
        <f t="shared" si="32"/>
        <v>36948.247587811296</v>
      </c>
      <c r="G58" s="759">
        <f t="shared" si="32"/>
        <v>4249.1506807520691</v>
      </c>
      <c r="H58" s="759">
        <f t="shared" si="32"/>
        <v>1916.4028831852333</v>
      </c>
      <c r="I58" s="759">
        <f t="shared" si="32"/>
        <v>8086.8241104458257</v>
      </c>
      <c r="J58" s="360"/>
      <c r="K58" s="802">
        <f t="shared" si="21"/>
        <v>668627</v>
      </c>
      <c r="L58" s="759">
        <v>67</v>
      </c>
      <c r="M58" s="759">
        <f t="shared" si="28"/>
        <v>9979.507462686568</v>
      </c>
      <c r="N58" s="671">
        <v>11075</v>
      </c>
      <c r="O58" s="671"/>
      <c r="P58" s="188" t="s">
        <v>415</v>
      </c>
      <c r="Q58" s="776">
        <v>40691</v>
      </c>
      <c r="R58" s="775"/>
      <c r="S58" s="301">
        <f t="shared" si="31"/>
        <v>67</v>
      </c>
      <c r="T58" s="253">
        <v>8620</v>
      </c>
      <c r="U58" s="8">
        <f t="shared" si="18"/>
        <v>577540</v>
      </c>
      <c r="V58" s="451"/>
      <c r="W58" s="776"/>
      <c r="X58" s="806"/>
      <c r="Y58" s="806"/>
      <c r="Z58" s="8">
        <f t="shared" si="29"/>
        <v>0</v>
      </c>
    </row>
    <row r="59" spans="1:26">
      <c r="A59" s="758">
        <f t="shared" si="30"/>
        <v>42</v>
      </c>
      <c r="B59" s="293" t="s">
        <v>628</v>
      </c>
      <c r="C59" s="834">
        <f t="shared" si="5"/>
        <v>399168</v>
      </c>
      <c r="D59" s="759">
        <f t="shared" si="32"/>
        <v>12866.214103199725</v>
      </c>
      <c r="E59" s="759">
        <f t="shared" si="32"/>
        <v>3207.5435719461502</v>
      </c>
      <c r="F59" s="759">
        <f t="shared" si="32"/>
        <v>14889.592311506047</v>
      </c>
      <c r="G59" s="759">
        <f t="shared" si="32"/>
        <v>1712.3443041836695</v>
      </c>
      <c r="H59" s="759">
        <f t="shared" si="32"/>
        <v>772.28175889554177</v>
      </c>
      <c r="I59" s="759">
        <f t="shared" si="32"/>
        <v>3258.8694176423478</v>
      </c>
      <c r="J59" s="360"/>
      <c r="K59" s="802">
        <f t="shared" si="21"/>
        <v>435875</v>
      </c>
      <c r="L59" s="759">
        <v>27</v>
      </c>
      <c r="M59" s="759">
        <f t="shared" si="28"/>
        <v>16143.518518518518</v>
      </c>
      <c r="N59" s="671">
        <v>15277</v>
      </c>
      <c r="O59" s="671"/>
      <c r="P59" s="188" t="s">
        <v>417</v>
      </c>
      <c r="Q59" s="776">
        <v>40691</v>
      </c>
      <c r="R59" s="775"/>
      <c r="S59" s="301">
        <f>L59</f>
        <v>27</v>
      </c>
      <c r="T59" s="253">
        <v>14784</v>
      </c>
      <c r="U59" s="8">
        <f t="shared" si="18"/>
        <v>399168</v>
      </c>
      <c r="V59" s="451"/>
      <c r="W59" s="776"/>
      <c r="X59" s="806"/>
      <c r="Y59" s="806"/>
      <c r="Z59" s="8">
        <f t="shared" si="29"/>
        <v>0</v>
      </c>
    </row>
    <row r="60" spans="1:26">
      <c r="A60" s="758">
        <f t="shared" si="30"/>
        <v>43</v>
      </c>
      <c r="B60" s="293" t="s">
        <v>629</v>
      </c>
      <c r="C60" s="834">
        <f t="shared" si="5"/>
        <v>97984</v>
      </c>
      <c r="D60" s="759">
        <f t="shared" si="32"/>
        <v>7624.4231722665036</v>
      </c>
      <c r="E60" s="759">
        <f t="shared" si="32"/>
        <v>1900.7665611532741</v>
      </c>
      <c r="F60" s="759">
        <f t="shared" si="32"/>
        <v>8823.4621105221013</v>
      </c>
      <c r="G60" s="759">
        <f t="shared" si="32"/>
        <v>1014.7225506273597</v>
      </c>
      <c r="H60" s="759">
        <f t="shared" si="32"/>
        <v>457.64844971587661</v>
      </c>
      <c r="I60" s="759">
        <f t="shared" si="32"/>
        <v>1931.1818771213912</v>
      </c>
      <c r="J60" s="360"/>
      <c r="K60" s="802">
        <f t="shared" si="21"/>
        <v>119736</v>
      </c>
      <c r="L60" s="759">
        <v>16</v>
      </c>
      <c r="M60" s="759">
        <f t="shared" si="28"/>
        <v>7483.5</v>
      </c>
      <c r="N60" s="671">
        <v>9352</v>
      </c>
      <c r="O60" s="671"/>
      <c r="P60" s="188" t="s">
        <v>381</v>
      </c>
      <c r="Q60" s="776">
        <v>40691</v>
      </c>
      <c r="R60" s="775"/>
      <c r="S60" s="301">
        <f>L60</f>
        <v>16</v>
      </c>
      <c r="T60" s="253">
        <v>6124</v>
      </c>
      <c r="U60" s="8">
        <f t="shared" si="18"/>
        <v>97984</v>
      </c>
      <c r="V60" s="451"/>
      <c r="W60" s="776"/>
      <c r="X60" s="806"/>
      <c r="Y60" s="806"/>
      <c r="Z60" s="8">
        <f t="shared" si="29"/>
        <v>0</v>
      </c>
    </row>
    <row r="61" spans="1:26">
      <c r="A61" s="758">
        <f t="shared" si="30"/>
        <v>44</v>
      </c>
      <c r="B61" s="293" t="s">
        <v>630</v>
      </c>
      <c r="C61" s="834">
        <f t="shared" si="5"/>
        <v>1877568</v>
      </c>
      <c r="D61" s="759">
        <f t="shared" si="32"/>
        <v>60518.858929865375</v>
      </c>
      <c r="E61" s="759">
        <f t="shared" si="32"/>
        <v>15087.334579154112</v>
      </c>
      <c r="F61" s="759">
        <f t="shared" si="32"/>
        <v>70036.230502269173</v>
      </c>
      <c r="G61" s="759">
        <f t="shared" si="32"/>
        <v>8054.3602456046683</v>
      </c>
      <c r="H61" s="759">
        <f t="shared" si="32"/>
        <v>3632.5845696197707</v>
      </c>
      <c r="I61" s="759">
        <f t="shared" si="32"/>
        <v>15328.756149651043</v>
      </c>
      <c r="J61" s="360"/>
      <c r="K61" s="802">
        <f t="shared" si="21"/>
        <v>2050226</v>
      </c>
      <c r="L61" s="759">
        <v>127</v>
      </c>
      <c r="M61" s="759">
        <f t="shared" si="28"/>
        <v>16143.511811023622</v>
      </c>
      <c r="N61" s="671">
        <v>17979</v>
      </c>
      <c r="O61" s="671"/>
      <c r="P61" s="188" t="s">
        <v>417</v>
      </c>
      <c r="Q61" s="776">
        <v>40691</v>
      </c>
      <c r="R61" s="775"/>
      <c r="S61" s="301">
        <f>L61</f>
        <v>127</v>
      </c>
      <c r="T61" s="253">
        <v>14784</v>
      </c>
      <c r="U61" s="8">
        <f t="shared" si="18"/>
        <v>1877568</v>
      </c>
      <c r="V61" s="451"/>
      <c r="W61" s="776"/>
      <c r="X61" s="806"/>
      <c r="Y61" s="806"/>
      <c r="Z61" s="8">
        <f t="shared" si="29"/>
        <v>0</v>
      </c>
    </row>
    <row r="62" spans="1:26">
      <c r="A62" s="758">
        <f t="shared" si="30"/>
        <v>45</v>
      </c>
      <c r="B62" s="293" t="s">
        <v>631</v>
      </c>
      <c r="C62" s="834">
        <f t="shared" si="5"/>
        <v>22245</v>
      </c>
      <c r="D62" s="759">
        <f t="shared" si="32"/>
        <v>2382.6322413332823</v>
      </c>
      <c r="E62" s="759">
        <f t="shared" si="32"/>
        <v>593.9895503603982</v>
      </c>
      <c r="F62" s="759">
        <f t="shared" si="32"/>
        <v>2757.3319095381567</v>
      </c>
      <c r="G62" s="759">
        <f t="shared" si="32"/>
        <v>317.1007970710499</v>
      </c>
      <c r="H62" s="759">
        <f t="shared" si="32"/>
        <v>143.01514053621145</v>
      </c>
      <c r="I62" s="759">
        <f t="shared" si="32"/>
        <v>603.49433660043474</v>
      </c>
      <c r="J62" s="360"/>
      <c r="K62" s="802">
        <f t="shared" si="21"/>
        <v>29043</v>
      </c>
      <c r="L62" s="759">
        <v>5</v>
      </c>
      <c r="M62" s="759">
        <f t="shared" si="28"/>
        <v>5808.6</v>
      </c>
      <c r="N62" s="671">
        <v>5282</v>
      </c>
      <c r="O62" s="671"/>
      <c r="P62" s="293" t="s">
        <v>382</v>
      </c>
      <c r="Q62" s="776">
        <v>40691</v>
      </c>
      <c r="R62" s="775"/>
      <c r="S62" s="301">
        <f>L62</f>
        <v>5</v>
      </c>
      <c r="T62" s="255">
        <v>4449</v>
      </c>
      <c r="U62" s="8">
        <f t="shared" ref="U62:U86" si="33">S62*T62</f>
        <v>22245</v>
      </c>
      <c r="V62" s="451"/>
      <c r="W62" s="776"/>
      <c r="X62" s="806"/>
      <c r="Y62" s="806"/>
      <c r="Z62" s="8">
        <f t="shared" si="29"/>
        <v>0</v>
      </c>
    </row>
    <row r="63" spans="1:26">
      <c r="A63" s="758">
        <f t="shared" si="30"/>
        <v>46</v>
      </c>
      <c r="B63" s="293" t="s">
        <v>632</v>
      </c>
      <c r="C63" s="834">
        <f t="shared" si="5"/>
        <v>25860</v>
      </c>
      <c r="D63" s="759">
        <f t="shared" si="32"/>
        <v>1429.5793447999695</v>
      </c>
      <c r="E63" s="759">
        <f t="shared" si="32"/>
        <v>356.39373021623891</v>
      </c>
      <c r="F63" s="759">
        <f t="shared" si="32"/>
        <v>1654.399145722894</v>
      </c>
      <c r="G63" s="759">
        <f t="shared" si="32"/>
        <v>190.26047824262994</v>
      </c>
      <c r="H63" s="759">
        <f t="shared" si="32"/>
        <v>85.809084321726857</v>
      </c>
      <c r="I63" s="759">
        <f t="shared" si="32"/>
        <v>362.09660196026084</v>
      </c>
      <c r="J63" s="360"/>
      <c r="K63" s="802">
        <f t="shared" si="21"/>
        <v>29939</v>
      </c>
      <c r="L63" s="759">
        <v>3</v>
      </c>
      <c r="M63" s="759">
        <f t="shared" si="28"/>
        <v>9979.6666666666661</v>
      </c>
      <c r="N63" s="671">
        <v>11444</v>
      </c>
      <c r="O63" s="671"/>
      <c r="P63" s="188" t="s">
        <v>415</v>
      </c>
      <c r="Q63" s="776">
        <v>40691</v>
      </c>
      <c r="R63" s="775"/>
      <c r="S63" s="301">
        <f t="shared" ref="S63:S69" si="34">L63</f>
        <v>3</v>
      </c>
      <c r="T63" s="253">
        <v>8620</v>
      </c>
      <c r="U63" s="8">
        <f t="shared" si="33"/>
        <v>25860</v>
      </c>
      <c r="V63" s="451"/>
      <c r="W63" s="776"/>
      <c r="X63" s="806"/>
      <c r="Y63" s="806"/>
      <c r="Z63" s="8">
        <f t="shared" si="29"/>
        <v>0</v>
      </c>
    </row>
    <row r="64" spans="1:26">
      <c r="A64" s="758">
        <f t="shared" si="30"/>
        <v>47</v>
      </c>
      <c r="B64" s="293" t="s">
        <v>633</v>
      </c>
      <c r="C64" s="834">
        <f t="shared" si="5"/>
        <v>193500</v>
      </c>
      <c r="D64" s="759">
        <f t="shared" si="32"/>
        <v>5718.3173791998779</v>
      </c>
      <c r="E64" s="759">
        <f t="shared" si="32"/>
        <v>1425.5749208649556</v>
      </c>
      <c r="F64" s="759">
        <f t="shared" si="32"/>
        <v>6617.596582891576</v>
      </c>
      <c r="G64" s="759">
        <f t="shared" si="32"/>
        <v>761.04191297051977</v>
      </c>
      <c r="H64" s="759">
        <f t="shared" si="32"/>
        <v>343.23633728690743</v>
      </c>
      <c r="I64" s="759">
        <f t="shared" si="32"/>
        <v>1448.3864078410434</v>
      </c>
      <c r="J64" s="360"/>
      <c r="K64" s="802">
        <f t="shared" si="21"/>
        <v>209814</v>
      </c>
      <c r="L64" s="759">
        <v>12</v>
      </c>
      <c r="M64" s="759">
        <f t="shared" si="28"/>
        <v>17484.5</v>
      </c>
      <c r="N64" s="671">
        <v>19788</v>
      </c>
      <c r="O64" s="671"/>
      <c r="P64" s="293" t="s">
        <v>395</v>
      </c>
      <c r="Q64" s="776">
        <v>40691</v>
      </c>
      <c r="R64" s="775"/>
      <c r="S64" s="829">
        <f t="shared" si="34"/>
        <v>12</v>
      </c>
      <c r="T64" s="253">
        <v>16125</v>
      </c>
      <c r="U64" s="8">
        <f t="shared" si="33"/>
        <v>193500</v>
      </c>
      <c r="V64" s="451"/>
      <c r="W64" s="776"/>
      <c r="X64" s="806"/>
      <c r="Y64" s="806"/>
      <c r="Z64" s="8">
        <f t="shared" si="29"/>
        <v>0</v>
      </c>
    </row>
    <row r="65" spans="1:26">
      <c r="A65" s="758">
        <f t="shared" si="30"/>
        <v>48</v>
      </c>
      <c r="B65" s="293" t="s">
        <v>634</v>
      </c>
      <c r="C65" s="834">
        <f t="shared" si="5"/>
        <v>57600</v>
      </c>
      <c r="D65" s="759">
        <f t="shared" si="32"/>
        <v>4288.7380343999084</v>
      </c>
      <c r="E65" s="759">
        <f t="shared" si="32"/>
        <v>1069.1811906487167</v>
      </c>
      <c r="F65" s="759">
        <f t="shared" si="32"/>
        <v>4963.197437168682</v>
      </c>
      <c r="G65" s="759">
        <f t="shared" si="32"/>
        <v>570.78143472788986</v>
      </c>
      <c r="H65" s="759">
        <f t="shared" si="32"/>
        <v>257.42725296518057</v>
      </c>
      <c r="I65" s="759">
        <f t="shared" si="32"/>
        <v>1086.2898058807825</v>
      </c>
      <c r="J65" s="360"/>
      <c r="K65" s="802">
        <f t="shared" si="21"/>
        <v>69836</v>
      </c>
      <c r="L65" s="759">
        <v>9</v>
      </c>
      <c r="M65" s="759">
        <f t="shared" si="28"/>
        <v>7759.5555555555557</v>
      </c>
      <c r="N65" s="671">
        <v>8450</v>
      </c>
      <c r="O65" s="671"/>
      <c r="P65" s="188" t="s">
        <v>423</v>
      </c>
      <c r="Q65" s="776">
        <v>40691</v>
      </c>
      <c r="R65" s="775"/>
      <c r="S65" s="301">
        <f t="shared" si="34"/>
        <v>9</v>
      </c>
      <c r="T65" s="255">
        <v>6400</v>
      </c>
      <c r="U65" s="8">
        <f t="shared" si="33"/>
        <v>57600</v>
      </c>
      <c r="V65" s="451"/>
      <c r="W65" s="776"/>
      <c r="X65" s="806"/>
      <c r="Y65" s="806"/>
      <c r="Z65" s="8">
        <f t="shared" si="29"/>
        <v>0</v>
      </c>
    </row>
    <row r="66" spans="1:26">
      <c r="A66" s="758">
        <f t="shared" si="30"/>
        <v>49</v>
      </c>
      <c r="B66" s="293" t="s">
        <v>635</v>
      </c>
      <c r="C66" s="834">
        <f t="shared" si="5"/>
        <v>68960</v>
      </c>
      <c r="D66" s="759">
        <f t="shared" si="32"/>
        <v>3812.2115861332518</v>
      </c>
      <c r="E66" s="759">
        <f t="shared" si="32"/>
        <v>950.38328057663705</v>
      </c>
      <c r="F66" s="759">
        <f t="shared" si="32"/>
        <v>4411.7310552610506</v>
      </c>
      <c r="G66" s="759">
        <f t="shared" si="32"/>
        <v>507.36127531367987</v>
      </c>
      <c r="H66" s="759">
        <f t="shared" si="32"/>
        <v>228.8242248579383</v>
      </c>
      <c r="I66" s="759">
        <f t="shared" si="32"/>
        <v>965.59093856069558</v>
      </c>
      <c r="J66" s="360"/>
      <c r="K66" s="802">
        <f t="shared" si="21"/>
        <v>79836</v>
      </c>
      <c r="L66" s="759">
        <v>8</v>
      </c>
      <c r="M66" s="759">
        <f t="shared" si="28"/>
        <v>9979.5</v>
      </c>
      <c r="N66" s="671">
        <v>10110</v>
      </c>
      <c r="O66" s="671"/>
      <c r="P66" s="188" t="s">
        <v>415</v>
      </c>
      <c r="Q66" s="776">
        <v>40691</v>
      </c>
      <c r="R66" s="775"/>
      <c r="S66" s="301">
        <f t="shared" si="34"/>
        <v>8</v>
      </c>
      <c r="T66" s="253">
        <v>8620</v>
      </c>
      <c r="U66" s="8">
        <f t="shared" si="33"/>
        <v>68960</v>
      </c>
      <c r="V66" s="451"/>
      <c r="W66" s="776"/>
      <c r="X66" s="806"/>
      <c r="Y66" s="806"/>
      <c r="Z66" s="8">
        <f t="shared" si="29"/>
        <v>0</v>
      </c>
    </row>
    <row r="67" spans="1:26">
      <c r="A67" s="758">
        <f t="shared" si="30"/>
        <v>50</v>
      </c>
      <c r="B67" s="293" t="s">
        <v>636</v>
      </c>
      <c r="C67" s="834">
        <f t="shared" si="5"/>
        <v>60340</v>
      </c>
      <c r="D67" s="759">
        <f t="shared" si="32"/>
        <v>3335.6851378665951</v>
      </c>
      <c r="E67" s="759">
        <f t="shared" si="32"/>
        <v>831.58537050455743</v>
      </c>
      <c r="F67" s="759">
        <f t="shared" si="32"/>
        <v>3860.2646733534193</v>
      </c>
      <c r="G67" s="759">
        <f t="shared" si="32"/>
        <v>443.94111589946988</v>
      </c>
      <c r="H67" s="759">
        <f t="shared" si="32"/>
        <v>200.22119675069601</v>
      </c>
      <c r="I67" s="759">
        <f t="shared" si="32"/>
        <v>844.89207124060863</v>
      </c>
      <c r="J67" s="360"/>
      <c r="K67" s="802">
        <f t="shared" si="21"/>
        <v>69857</v>
      </c>
      <c r="L67" s="759">
        <v>7</v>
      </c>
      <c r="M67" s="759">
        <f t="shared" si="28"/>
        <v>9979.5714285714294</v>
      </c>
      <c r="N67" s="671">
        <v>10345</v>
      </c>
      <c r="O67" s="671"/>
      <c r="P67" s="188" t="s">
        <v>415</v>
      </c>
      <c r="Q67" s="776">
        <v>40691</v>
      </c>
      <c r="R67" s="775"/>
      <c r="S67" s="301">
        <f t="shared" si="34"/>
        <v>7</v>
      </c>
      <c r="T67" s="253">
        <v>8620</v>
      </c>
      <c r="U67" s="8">
        <f t="shared" si="33"/>
        <v>60340</v>
      </c>
      <c r="V67" s="451"/>
      <c r="W67" s="776"/>
      <c r="X67" s="806"/>
      <c r="Y67" s="806"/>
      <c r="Z67" s="8">
        <f t="shared" si="29"/>
        <v>0</v>
      </c>
    </row>
    <row r="68" spans="1:26">
      <c r="A68" s="758">
        <f t="shared" si="30"/>
        <v>51</v>
      </c>
      <c r="B68" s="293" t="s">
        <v>637</v>
      </c>
      <c r="C68" s="834">
        <f t="shared" si="5"/>
        <v>150631</v>
      </c>
      <c r="D68" s="759">
        <f t="shared" ref="D68:I77" si="35">IF($L$182&lt;&gt;0,D$182/$L$182*$L68,0)</f>
        <v>6194.8438274665341</v>
      </c>
      <c r="E68" s="759">
        <f t="shared" si="35"/>
        <v>1544.3728309370351</v>
      </c>
      <c r="F68" s="759">
        <f t="shared" si="35"/>
        <v>7169.0629647992073</v>
      </c>
      <c r="G68" s="759">
        <f t="shared" si="35"/>
        <v>824.46207238472982</v>
      </c>
      <c r="H68" s="759">
        <f t="shared" si="35"/>
        <v>371.83936539414975</v>
      </c>
      <c r="I68" s="759">
        <f t="shared" si="35"/>
        <v>1569.0852751611303</v>
      </c>
      <c r="J68" s="360"/>
      <c r="K68" s="802">
        <f t="shared" si="21"/>
        <v>168305</v>
      </c>
      <c r="L68" s="759">
        <v>13</v>
      </c>
      <c r="M68" s="759">
        <f t="shared" si="28"/>
        <v>12946.538461538461</v>
      </c>
      <c r="N68" s="671">
        <v>12672</v>
      </c>
      <c r="O68" s="671"/>
      <c r="P68" s="188" t="s">
        <v>410</v>
      </c>
      <c r="Q68" s="776">
        <v>40691</v>
      </c>
      <c r="R68" s="775"/>
      <c r="S68" s="301">
        <f t="shared" si="34"/>
        <v>13</v>
      </c>
      <c r="T68" s="808">
        <v>11587</v>
      </c>
      <c r="U68" s="8">
        <f t="shared" si="33"/>
        <v>150631</v>
      </c>
      <c r="V68" s="451"/>
      <c r="W68" s="776"/>
      <c r="X68" s="806"/>
      <c r="Y68" s="806"/>
      <c r="Z68" s="8">
        <f t="shared" si="29"/>
        <v>0</v>
      </c>
    </row>
    <row r="69" spans="1:26">
      <c r="A69" s="758">
        <f t="shared" si="30"/>
        <v>52</v>
      </c>
      <c r="B69" s="293" t="s">
        <v>638</v>
      </c>
      <c r="C69" s="834">
        <f t="shared" si="5"/>
        <v>57935</v>
      </c>
      <c r="D69" s="759">
        <f t="shared" si="35"/>
        <v>2382.6322413332823</v>
      </c>
      <c r="E69" s="759">
        <f t="shared" si="35"/>
        <v>593.9895503603982</v>
      </c>
      <c r="F69" s="759">
        <f t="shared" si="35"/>
        <v>2757.3319095381567</v>
      </c>
      <c r="G69" s="759">
        <f t="shared" si="35"/>
        <v>317.1007970710499</v>
      </c>
      <c r="H69" s="759">
        <f t="shared" si="35"/>
        <v>143.01514053621145</v>
      </c>
      <c r="I69" s="759">
        <f t="shared" si="35"/>
        <v>603.49433660043474</v>
      </c>
      <c r="J69" s="360"/>
      <c r="K69" s="802">
        <f t="shared" si="21"/>
        <v>64733</v>
      </c>
      <c r="L69" s="759">
        <v>5</v>
      </c>
      <c r="M69" s="759">
        <f t="shared" si="28"/>
        <v>12946.6</v>
      </c>
      <c r="N69" s="671">
        <v>12304</v>
      </c>
      <c r="O69" s="671"/>
      <c r="P69" s="188" t="s">
        <v>410</v>
      </c>
      <c r="Q69" s="776">
        <v>40691</v>
      </c>
      <c r="R69" s="775"/>
      <c r="S69" s="301">
        <f t="shared" si="34"/>
        <v>5</v>
      </c>
      <c r="T69" s="808">
        <v>11587</v>
      </c>
      <c r="U69" s="8">
        <f t="shared" si="33"/>
        <v>57935</v>
      </c>
      <c r="V69" s="451"/>
      <c r="W69" s="776"/>
      <c r="X69" s="806"/>
      <c r="Y69" s="806"/>
      <c r="Z69" s="8">
        <f t="shared" si="29"/>
        <v>0</v>
      </c>
    </row>
    <row r="70" spans="1:26">
      <c r="A70" s="758">
        <f t="shared" si="30"/>
        <v>53</v>
      </c>
      <c r="B70" s="293" t="s">
        <v>639</v>
      </c>
      <c r="C70" s="834">
        <f t="shared" si="5"/>
        <v>362164</v>
      </c>
      <c r="D70" s="759">
        <f t="shared" si="35"/>
        <v>10483.581861866442</v>
      </c>
      <c r="E70" s="759">
        <f t="shared" si="35"/>
        <v>2613.5540215857518</v>
      </c>
      <c r="F70" s="759">
        <f t="shared" si="35"/>
        <v>12132.260401967889</v>
      </c>
      <c r="G70" s="759">
        <f t="shared" si="35"/>
        <v>1395.2435071126197</v>
      </c>
      <c r="H70" s="759">
        <f t="shared" si="35"/>
        <v>629.26661835933032</v>
      </c>
      <c r="I70" s="759">
        <f t="shared" si="35"/>
        <v>2655.3750810419128</v>
      </c>
      <c r="J70" s="360"/>
      <c r="K70" s="802">
        <f t="shared" si="21"/>
        <v>392073</v>
      </c>
      <c r="L70" s="759">
        <v>22</v>
      </c>
      <c r="M70" s="759">
        <f t="shared" si="28"/>
        <v>17821.5</v>
      </c>
      <c r="N70" s="671">
        <v>18862</v>
      </c>
      <c r="O70" s="671"/>
      <c r="P70" s="188" t="s">
        <v>409</v>
      </c>
      <c r="Q70" s="776">
        <v>40691</v>
      </c>
      <c r="R70" s="775"/>
      <c r="S70" s="301">
        <v>22</v>
      </c>
      <c r="T70" s="808">
        <v>16462</v>
      </c>
      <c r="U70" s="8">
        <f t="shared" si="33"/>
        <v>362164</v>
      </c>
      <c r="V70" s="451"/>
      <c r="W70" s="776"/>
      <c r="X70" s="806"/>
      <c r="Y70" s="806"/>
      <c r="Z70" s="8">
        <f t="shared" si="29"/>
        <v>0</v>
      </c>
    </row>
    <row r="71" spans="1:26">
      <c r="A71" s="758">
        <f t="shared" si="30"/>
        <v>54</v>
      </c>
      <c r="B71" s="293" t="s">
        <v>640</v>
      </c>
      <c r="C71" s="834">
        <f t="shared" si="5"/>
        <v>1500380</v>
      </c>
      <c r="D71" s="759">
        <f t="shared" si="35"/>
        <v>116748.97982533084</v>
      </c>
      <c r="E71" s="759">
        <f t="shared" si="35"/>
        <v>29105.487967659508</v>
      </c>
      <c r="F71" s="759">
        <f t="shared" si="35"/>
        <v>135109.26356736966</v>
      </c>
      <c r="G71" s="759">
        <f t="shared" si="35"/>
        <v>15537.939056481446</v>
      </c>
      <c r="H71" s="759">
        <f t="shared" si="35"/>
        <v>7007.7418862743607</v>
      </c>
      <c r="I71" s="759">
        <f t="shared" si="35"/>
        <v>29571.222493421301</v>
      </c>
      <c r="J71" s="360"/>
      <c r="K71" s="802">
        <f t="shared" si="21"/>
        <v>1833461</v>
      </c>
      <c r="L71" s="759">
        <v>245</v>
      </c>
      <c r="M71" s="759">
        <f t="shared" si="28"/>
        <v>7483.5142857142855</v>
      </c>
      <c r="N71" s="671">
        <v>9989</v>
      </c>
      <c r="O71" s="671"/>
      <c r="P71" s="188" t="s">
        <v>381</v>
      </c>
      <c r="Q71" s="776">
        <v>40691</v>
      </c>
      <c r="R71" s="775"/>
      <c r="S71" s="301">
        <f>L71</f>
        <v>245</v>
      </c>
      <c r="T71" s="253">
        <v>6124</v>
      </c>
      <c r="U71" s="8">
        <f t="shared" si="33"/>
        <v>1500380</v>
      </c>
      <c r="V71" s="451"/>
      <c r="W71" s="776"/>
      <c r="X71" s="806"/>
      <c r="Y71" s="806"/>
      <c r="Z71" s="8">
        <f t="shared" si="29"/>
        <v>0</v>
      </c>
    </row>
    <row r="72" spans="1:26">
      <c r="A72" s="758">
        <f t="shared" si="30"/>
        <v>55</v>
      </c>
      <c r="B72" s="293" t="s">
        <v>641</v>
      </c>
      <c r="C72" s="834">
        <f t="shared" si="5"/>
        <v>9720774</v>
      </c>
      <c r="D72" s="759">
        <f t="shared" si="35"/>
        <v>204429.84630639563</v>
      </c>
      <c r="E72" s="759">
        <f t="shared" si="35"/>
        <v>50964.303420922159</v>
      </c>
      <c r="F72" s="759">
        <f t="shared" si="35"/>
        <v>236579.07783837384</v>
      </c>
      <c r="G72" s="759">
        <f t="shared" si="35"/>
        <v>27207.248388696084</v>
      </c>
      <c r="H72" s="759">
        <f t="shared" si="35"/>
        <v>12270.699058006941</v>
      </c>
      <c r="I72" s="759">
        <f t="shared" si="35"/>
        <v>51779.814080317301</v>
      </c>
      <c r="J72" s="360"/>
      <c r="K72" s="802">
        <f t="shared" si="21"/>
        <v>10304005</v>
      </c>
      <c r="L72" s="759">
        <v>429</v>
      </c>
      <c r="M72" s="759">
        <f t="shared" si="28"/>
        <v>24018.659673659673</v>
      </c>
      <c r="N72" s="671">
        <v>25535</v>
      </c>
      <c r="O72" s="671"/>
      <c r="P72" s="188" t="s">
        <v>404</v>
      </c>
      <c r="Q72" s="776">
        <v>40691</v>
      </c>
      <c r="R72" s="775"/>
      <c r="S72" s="301">
        <v>431</v>
      </c>
      <c r="T72" s="255">
        <v>22554</v>
      </c>
      <c r="U72" s="8">
        <f t="shared" si="33"/>
        <v>9720774</v>
      </c>
      <c r="V72" s="451"/>
      <c r="W72" s="776"/>
      <c r="X72" s="806"/>
      <c r="Y72" s="806"/>
      <c r="Z72" s="8">
        <f t="shared" si="29"/>
        <v>0</v>
      </c>
    </row>
    <row r="73" spans="1:26">
      <c r="A73" s="758">
        <f t="shared" si="30"/>
        <v>56</v>
      </c>
      <c r="B73" s="293" t="s">
        <v>630</v>
      </c>
      <c r="C73" s="834">
        <f t="shared" si="5"/>
        <v>325248</v>
      </c>
      <c r="D73" s="759">
        <f t="shared" si="35"/>
        <v>10483.581861866442</v>
      </c>
      <c r="E73" s="759">
        <f t="shared" si="35"/>
        <v>2613.5540215857518</v>
      </c>
      <c r="F73" s="759">
        <f t="shared" si="35"/>
        <v>12132.260401967889</v>
      </c>
      <c r="G73" s="759">
        <f t="shared" si="35"/>
        <v>1395.2435071126197</v>
      </c>
      <c r="H73" s="759">
        <f t="shared" si="35"/>
        <v>629.26661835933032</v>
      </c>
      <c r="I73" s="759">
        <f t="shared" si="35"/>
        <v>2655.3750810419128</v>
      </c>
      <c r="J73" s="360"/>
      <c r="K73" s="802">
        <f t="shared" si="21"/>
        <v>355157</v>
      </c>
      <c r="L73" s="759">
        <v>22</v>
      </c>
      <c r="M73" s="759">
        <f t="shared" si="28"/>
        <v>16143.5</v>
      </c>
      <c r="N73" s="671">
        <v>17979</v>
      </c>
      <c r="O73" s="671"/>
      <c r="P73" s="188" t="s">
        <v>417</v>
      </c>
      <c r="Q73" s="776">
        <v>40691</v>
      </c>
      <c r="R73" s="775"/>
      <c r="S73" s="301">
        <f t="shared" ref="S73:S77" si="36">L73</f>
        <v>22</v>
      </c>
      <c r="T73" s="253">
        <v>14784</v>
      </c>
      <c r="U73" s="8">
        <f t="shared" si="33"/>
        <v>325248</v>
      </c>
      <c r="V73" s="451"/>
      <c r="W73" s="776"/>
      <c r="X73" s="806"/>
      <c r="Y73" s="806"/>
      <c r="Z73" s="8">
        <f t="shared" si="29"/>
        <v>0</v>
      </c>
    </row>
    <row r="74" spans="1:26">
      <c r="A74" s="758">
        <f t="shared" si="30"/>
        <v>57</v>
      </c>
      <c r="B74" s="293" t="s">
        <v>642</v>
      </c>
      <c r="C74" s="834">
        <f t="shared" si="5"/>
        <v>59136</v>
      </c>
      <c r="D74" s="759">
        <f t="shared" si="35"/>
        <v>1906.1057930666259</v>
      </c>
      <c r="E74" s="759">
        <f t="shared" si="35"/>
        <v>475.19164028831852</v>
      </c>
      <c r="F74" s="759">
        <f t="shared" si="35"/>
        <v>2205.8655276305253</v>
      </c>
      <c r="G74" s="759">
        <f t="shared" si="35"/>
        <v>253.68063765683993</v>
      </c>
      <c r="H74" s="759">
        <f t="shared" si="35"/>
        <v>114.41211242896915</v>
      </c>
      <c r="I74" s="759">
        <f t="shared" si="35"/>
        <v>482.79546928034779</v>
      </c>
      <c r="J74" s="360"/>
      <c r="K74" s="802">
        <f t="shared" si="21"/>
        <v>64574</v>
      </c>
      <c r="L74" s="759">
        <v>4</v>
      </c>
      <c r="M74" s="759">
        <f t="shared" si="28"/>
        <v>16143.5</v>
      </c>
      <c r="N74" s="671">
        <v>16852</v>
      </c>
      <c r="O74" s="671"/>
      <c r="P74" s="188" t="s">
        <v>417</v>
      </c>
      <c r="Q74" s="776">
        <v>40691</v>
      </c>
      <c r="R74" s="775"/>
      <c r="S74" s="301">
        <f t="shared" si="36"/>
        <v>4</v>
      </c>
      <c r="T74" s="253">
        <v>14784</v>
      </c>
      <c r="U74" s="8">
        <f t="shared" si="33"/>
        <v>59136</v>
      </c>
      <c r="V74" s="451"/>
      <c r="W74" s="776"/>
      <c r="X74" s="806"/>
      <c r="Y74" s="806"/>
      <c r="Z74" s="8">
        <f t="shared" si="29"/>
        <v>0</v>
      </c>
    </row>
    <row r="75" spans="1:26">
      <c r="A75" s="758">
        <f t="shared" si="30"/>
        <v>58</v>
      </c>
      <c r="B75" s="293" t="s">
        <v>643</v>
      </c>
      <c r="C75" s="834">
        <f t="shared" si="5"/>
        <v>26996</v>
      </c>
      <c r="D75" s="759">
        <f t="shared" si="35"/>
        <v>953.05289653331295</v>
      </c>
      <c r="E75" s="759">
        <f t="shared" si="35"/>
        <v>237.59582014415926</v>
      </c>
      <c r="F75" s="759">
        <f t="shared" si="35"/>
        <v>1102.9327638152627</v>
      </c>
      <c r="G75" s="759">
        <f t="shared" si="35"/>
        <v>126.84031882841997</v>
      </c>
      <c r="H75" s="759">
        <f t="shared" si="35"/>
        <v>57.206056214484576</v>
      </c>
      <c r="I75" s="759">
        <f t="shared" si="35"/>
        <v>241.39773464017389</v>
      </c>
      <c r="J75" s="360"/>
      <c r="K75" s="802">
        <f t="shared" si="21"/>
        <v>29715</v>
      </c>
      <c r="L75" s="759">
        <v>2</v>
      </c>
      <c r="M75" s="759">
        <f t="shared" si="28"/>
        <v>14857.5</v>
      </c>
      <c r="N75" s="671">
        <v>16052</v>
      </c>
      <c r="O75" s="671"/>
      <c r="P75" s="188" t="s">
        <v>412</v>
      </c>
      <c r="Q75" s="776">
        <v>40691</v>
      </c>
      <c r="R75" s="775"/>
      <c r="S75" s="301">
        <f t="shared" si="36"/>
        <v>2</v>
      </c>
      <c r="T75" s="255">
        <v>13498</v>
      </c>
      <c r="U75" s="8">
        <f t="shared" si="33"/>
        <v>26996</v>
      </c>
      <c r="V75" s="451"/>
      <c r="W75" s="776"/>
      <c r="X75" s="806"/>
      <c r="Y75" s="806"/>
      <c r="Z75" s="8">
        <f t="shared" si="29"/>
        <v>0</v>
      </c>
    </row>
    <row r="76" spans="1:26">
      <c r="A76" s="758">
        <f t="shared" si="30"/>
        <v>59</v>
      </c>
      <c r="B76" s="293" t="s">
        <v>624</v>
      </c>
      <c r="C76" s="834">
        <f t="shared" si="5"/>
        <v>40494</v>
      </c>
      <c r="D76" s="759">
        <f t="shared" si="35"/>
        <v>1429.5793447999695</v>
      </c>
      <c r="E76" s="759">
        <f t="shared" si="35"/>
        <v>356.39373021623891</v>
      </c>
      <c r="F76" s="759">
        <f t="shared" si="35"/>
        <v>1654.399145722894</v>
      </c>
      <c r="G76" s="759">
        <f t="shared" si="35"/>
        <v>190.26047824262994</v>
      </c>
      <c r="H76" s="759">
        <f t="shared" si="35"/>
        <v>85.809084321726857</v>
      </c>
      <c r="I76" s="759">
        <f t="shared" si="35"/>
        <v>362.09660196026084</v>
      </c>
      <c r="J76" s="360"/>
      <c r="K76" s="802">
        <f t="shared" si="21"/>
        <v>44573</v>
      </c>
      <c r="L76" s="759">
        <v>3</v>
      </c>
      <c r="M76" s="759">
        <f t="shared" si="28"/>
        <v>14857.666666666666</v>
      </c>
      <c r="N76" s="671">
        <v>15770</v>
      </c>
      <c r="O76" s="671"/>
      <c r="P76" s="188" t="s">
        <v>412</v>
      </c>
      <c r="Q76" s="776">
        <v>40691</v>
      </c>
      <c r="R76" s="775"/>
      <c r="S76" s="301">
        <f t="shared" si="36"/>
        <v>3</v>
      </c>
      <c r="T76" s="255">
        <v>13498</v>
      </c>
      <c r="U76" s="8">
        <f t="shared" si="33"/>
        <v>40494</v>
      </c>
      <c r="V76" s="451"/>
      <c r="W76" s="776"/>
      <c r="X76" s="806"/>
      <c r="Y76" s="806"/>
      <c r="Z76" s="8">
        <f t="shared" si="29"/>
        <v>0</v>
      </c>
    </row>
    <row r="77" spans="1:26">
      <c r="A77" s="758">
        <f t="shared" si="30"/>
        <v>60</v>
      </c>
      <c r="B77" s="293" t="s">
        <v>628</v>
      </c>
      <c r="C77" s="834">
        <f t="shared" si="5"/>
        <v>13498</v>
      </c>
      <c r="D77" s="759">
        <f t="shared" si="35"/>
        <v>476.52644826665647</v>
      </c>
      <c r="E77" s="759">
        <f t="shared" si="35"/>
        <v>118.79791007207963</v>
      </c>
      <c r="F77" s="759">
        <f t="shared" si="35"/>
        <v>551.46638190763133</v>
      </c>
      <c r="G77" s="759">
        <f t="shared" si="35"/>
        <v>63.420159414209984</v>
      </c>
      <c r="H77" s="759">
        <f t="shared" si="35"/>
        <v>28.603028107242288</v>
      </c>
      <c r="I77" s="759">
        <f t="shared" si="35"/>
        <v>120.69886732008695</v>
      </c>
      <c r="J77" s="360"/>
      <c r="K77" s="802">
        <f t="shared" si="21"/>
        <v>14858</v>
      </c>
      <c r="L77" s="759">
        <v>1</v>
      </c>
      <c r="M77" s="759">
        <f t="shared" si="28"/>
        <v>14858</v>
      </c>
      <c r="N77" s="671">
        <v>15277</v>
      </c>
      <c r="O77" s="671"/>
      <c r="P77" s="188" t="s">
        <v>412</v>
      </c>
      <c r="Q77" s="776">
        <v>40691</v>
      </c>
      <c r="R77" s="775"/>
      <c r="S77" s="301">
        <f t="shared" si="36"/>
        <v>1</v>
      </c>
      <c r="T77" s="255">
        <v>13498</v>
      </c>
      <c r="U77" s="8">
        <f t="shared" si="33"/>
        <v>13498</v>
      </c>
      <c r="V77" s="451"/>
      <c r="W77" s="776"/>
      <c r="X77" s="806"/>
      <c r="Y77" s="806"/>
      <c r="Z77" s="8">
        <f t="shared" si="29"/>
        <v>0</v>
      </c>
    </row>
    <row r="78" spans="1:26">
      <c r="A78" s="758">
        <f t="shared" si="30"/>
        <v>61</v>
      </c>
      <c r="B78" s="293" t="s">
        <v>625</v>
      </c>
      <c r="C78" s="834">
        <f t="shared" si="5"/>
        <v>40065</v>
      </c>
      <c r="D78" s="759">
        <f t="shared" ref="D78:I87" si="37">IF($L$182&lt;&gt;0,D$182/$L$182*$L78,0)</f>
        <v>2382.6322413332823</v>
      </c>
      <c r="E78" s="759">
        <f t="shared" si="37"/>
        <v>593.9895503603982</v>
      </c>
      <c r="F78" s="759">
        <f t="shared" si="37"/>
        <v>2757.3319095381567</v>
      </c>
      <c r="G78" s="759">
        <f t="shared" si="37"/>
        <v>317.1007970710499</v>
      </c>
      <c r="H78" s="759">
        <f t="shared" si="37"/>
        <v>143.01514053621145</v>
      </c>
      <c r="I78" s="759">
        <f t="shared" si="37"/>
        <v>603.49433660043474</v>
      </c>
      <c r="J78" s="360"/>
      <c r="K78" s="802">
        <f t="shared" si="21"/>
        <v>46863</v>
      </c>
      <c r="L78" s="759">
        <v>5</v>
      </c>
      <c r="M78" s="759">
        <f t="shared" si="28"/>
        <v>9372.6</v>
      </c>
      <c r="N78" s="671">
        <v>11002</v>
      </c>
      <c r="O78" s="671"/>
      <c r="P78" s="188" t="s">
        <v>420</v>
      </c>
      <c r="Q78" s="776">
        <v>40691</v>
      </c>
      <c r="R78" s="775"/>
      <c r="S78" s="301">
        <f>L78</f>
        <v>5</v>
      </c>
      <c r="T78" s="253">
        <v>8013</v>
      </c>
      <c r="U78" s="8">
        <f t="shared" si="33"/>
        <v>40065</v>
      </c>
      <c r="V78" s="451"/>
      <c r="W78" s="776"/>
      <c r="X78" s="806"/>
      <c r="Y78" s="806"/>
      <c r="Z78" s="8">
        <f t="shared" si="29"/>
        <v>0</v>
      </c>
    </row>
    <row r="79" spans="1:26">
      <c r="A79" s="758">
        <f t="shared" si="30"/>
        <v>62</v>
      </c>
      <c r="B79" s="293" t="s">
        <v>646</v>
      </c>
      <c r="C79" s="834">
        <f t="shared" si="5"/>
        <v>5275116</v>
      </c>
      <c r="D79" s="759">
        <f t="shared" si="37"/>
        <v>163925.09820372984</v>
      </c>
      <c r="E79" s="759">
        <f t="shared" si="37"/>
        <v>40866.481064795393</v>
      </c>
      <c r="F79" s="759">
        <f t="shared" si="37"/>
        <v>189704.43537622518</v>
      </c>
      <c r="G79" s="759">
        <f t="shared" si="37"/>
        <v>21816.534838488235</v>
      </c>
      <c r="H79" s="759">
        <f t="shared" si="37"/>
        <v>9839.4416688913479</v>
      </c>
      <c r="I79" s="759">
        <f t="shared" si="37"/>
        <v>41520.410358109912</v>
      </c>
      <c r="J79" s="360"/>
      <c r="K79" s="802">
        <f t="shared" si="21"/>
        <v>5742788</v>
      </c>
      <c r="L79" s="759">
        <v>344</v>
      </c>
      <c r="M79" s="759">
        <f t="shared" si="28"/>
        <v>16694.151162790698</v>
      </c>
      <c r="N79" s="671">
        <v>19248</v>
      </c>
      <c r="O79" s="671"/>
      <c r="P79" s="188" t="s">
        <v>418</v>
      </c>
      <c r="Q79" s="776">
        <v>40691</v>
      </c>
      <c r="R79" s="775"/>
      <c r="S79" s="829">
        <v>346</v>
      </c>
      <c r="T79" s="253">
        <v>15246</v>
      </c>
      <c r="U79" s="8">
        <f t="shared" si="33"/>
        <v>5275116</v>
      </c>
      <c r="V79" s="451"/>
      <c r="W79" s="776"/>
      <c r="X79" s="806"/>
      <c r="Y79" s="806"/>
      <c r="Z79" s="8">
        <f t="shared" si="29"/>
        <v>0</v>
      </c>
    </row>
    <row r="80" spans="1:26">
      <c r="A80" s="758">
        <f t="shared" si="30"/>
        <v>63</v>
      </c>
      <c r="B80" s="293" t="s">
        <v>644</v>
      </c>
      <c r="C80" s="834">
        <f t="shared" si="5"/>
        <v>1063311</v>
      </c>
      <c r="D80" s="759">
        <f t="shared" si="37"/>
        <v>113889.82113573089</v>
      </c>
      <c r="E80" s="759">
        <f t="shared" si="37"/>
        <v>28392.700507227033</v>
      </c>
      <c r="F80" s="759">
        <f t="shared" si="37"/>
        <v>131800.4652759239</v>
      </c>
      <c r="G80" s="759">
        <f t="shared" si="37"/>
        <v>15157.418099996186</v>
      </c>
      <c r="H80" s="759">
        <f t="shared" si="37"/>
        <v>6836.1237176309069</v>
      </c>
      <c r="I80" s="759">
        <f t="shared" si="37"/>
        <v>28847.029289500781</v>
      </c>
      <c r="J80" s="360"/>
      <c r="K80" s="802">
        <f t="shared" si="21"/>
        <v>1388235</v>
      </c>
      <c r="L80" s="759">
        <v>239</v>
      </c>
      <c r="M80" s="759">
        <f t="shared" si="28"/>
        <v>5808.5146443514641</v>
      </c>
      <c r="N80" s="671">
        <v>6577</v>
      </c>
      <c r="O80" s="671"/>
      <c r="P80" s="293" t="s">
        <v>382</v>
      </c>
      <c r="Q80" s="776">
        <v>40691</v>
      </c>
      <c r="R80" s="775"/>
      <c r="S80" s="301">
        <f>L80</f>
        <v>239</v>
      </c>
      <c r="T80" s="255">
        <v>4449</v>
      </c>
      <c r="U80" s="8">
        <f t="shared" si="33"/>
        <v>1063311</v>
      </c>
      <c r="V80" s="451"/>
      <c r="W80" s="776"/>
      <c r="X80" s="806"/>
      <c r="Y80" s="806"/>
      <c r="Z80" s="8">
        <f t="shared" si="29"/>
        <v>0</v>
      </c>
    </row>
    <row r="81" spans="1:26">
      <c r="A81" s="758">
        <f t="shared" si="30"/>
        <v>64</v>
      </c>
      <c r="B81" s="293" t="s">
        <v>645</v>
      </c>
      <c r="C81" s="834">
        <f t="shared" si="5"/>
        <v>226899</v>
      </c>
      <c r="D81" s="759">
        <f t="shared" si="37"/>
        <v>48605.697723198959</v>
      </c>
      <c r="E81" s="759">
        <f t="shared" si="37"/>
        <v>12117.386827352122</v>
      </c>
      <c r="F81" s="759">
        <f t="shared" si="37"/>
        <v>56249.570954578398</v>
      </c>
      <c r="G81" s="759">
        <f t="shared" si="37"/>
        <v>6468.8562602494185</v>
      </c>
      <c r="H81" s="759">
        <f t="shared" si="37"/>
        <v>2917.5088669387133</v>
      </c>
      <c r="I81" s="759">
        <f t="shared" si="37"/>
        <v>12311.284466648869</v>
      </c>
      <c r="J81" s="360"/>
      <c r="K81" s="802">
        <f t="shared" si="21"/>
        <v>365569</v>
      </c>
      <c r="L81" s="759">
        <v>102</v>
      </c>
      <c r="M81" s="759">
        <f t="shared" si="28"/>
        <v>3584.0098039215686</v>
      </c>
      <c r="N81" s="671">
        <v>4704</v>
      </c>
      <c r="O81" s="671"/>
      <c r="P81" s="188" t="s">
        <v>382</v>
      </c>
      <c r="Q81" s="776">
        <v>40691</v>
      </c>
      <c r="R81" s="775"/>
      <c r="S81" s="301">
        <f>L81/2</f>
        <v>51</v>
      </c>
      <c r="T81" s="255">
        <v>4449</v>
      </c>
      <c r="U81" s="8">
        <f t="shared" si="33"/>
        <v>226899</v>
      </c>
      <c r="V81" s="451"/>
      <c r="W81" s="776"/>
      <c r="X81" s="806"/>
      <c r="Y81" s="806"/>
      <c r="Z81" s="8">
        <f t="shared" si="29"/>
        <v>0</v>
      </c>
    </row>
    <row r="82" spans="1:26">
      <c r="A82" s="758">
        <f t="shared" si="30"/>
        <v>65</v>
      </c>
      <c r="B82" s="293" t="s">
        <v>647</v>
      </c>
      <c r="C82" s="834">
        <f t="shared" si="5"/>
        <v>302400</v>
      </c>
      <c r="D82" s="759">
        <f t="shared" si="37"/>
        <v>11436.634758399756</v>
      </c>
      <c r="E82" s="759">
        <f t="shared" si="37"/>
        <v>2851.1498417299113</v>
      </c>
      <c r="F82" s="759">
        <f t="shared" si="37"/>
        <v>13235.193165783152</v>
      </c>
      <c r="G82" s="759">
        <f t="shared" si="37"/>
        <v>1522.0838259410395</v>
      </c>
      <c r="H82" s="759">
        <f t="shared" si="37"/>
        <v>686.47267457381486</v>
      </c>
      <c r="I82" s="759">
        <f t="shared" si="37"/>
        <v>2896.7728156820867</v>
      </c>
      <c r="J82" s="360"/>
      <c r="K82" s="802">
        <f t="shared" si="21"/>
        <v>335028</v>
      </c>
      <c r="L82" s="759">
        <v>24</v>
      </c>
      <c r="M82" s="759">
        <f t="shared" si="28"/>
        <v>13959.5</v>
      </c>
      <c r="N82" s="671">
        <v>14056</v>
      </c>
      <c r="O82" s="671"/>
      <c r="P82" s="293" t="s">
        <v>396</v>
      </c>
      <c r="Q82" s="776">
        <v>40691</v>
      </c>
      <c r="R82" s="775"/>
      <c r="S82" s="301">
        <v>12</v>
      </c>
      <c r="T82" s="253">
        <v>25200</v>
      </c>
      <c r="U82" s="8">
        <f t="shared" si="33"/>
        <v>302400</v>
      </c>
      <c r="V82" s="451"/>
      <c r="W82" s="776"/>
      <c r="X82" s="806"/>
      <c r="Y82" s="806"/>
      <c r="Z82" s="8">
        <f t="shared" si="29"/>
        <v>0</v>
      </c>
    </row>
    <row r="83" spans="1:26">
      <c r="A83" s="758">
        <f t="shared" si="30"/>
        <v>66</v>
      </c>
      <c r="B83" s="293" t="s">
        <v>641</v>
      </c>
      <c r="C83" s="834">
        <f t="shared" ref="C83:C146" si="38">U83</f>
        <v>4713786</v>
      </c>
      <c r="D83" s="759">
        <f t="shared" si="37"/>
        <v>99117.501239464546</v>
      </c>
      <c r="E83" s="759">
        <f t="shared" si="37"/>
        <v>24709.965294992562</v>
      </c>
      <c r="F83" s="759">
        <f t="shared" si="37"/>
        <v>114705.00743678732</v>
      </c>
      <c r="G83" s="759">
        <f t="shared" si="37"/>
        <v>13191.393158155677</v>
      </c>
      <c r="H83" s="759">
        <f t="shared" si="37"/>
        <v>5949.429846306396</v>
      </c>
      <c r="I83" s="759">
        <f t="shared" si="37"/>
        <v>25105.364402578085</v>
      </c>
      <c r="J83" s="360"/>
      <c r="K83" s="802">
        <f t="shared" ref="K83:K146" si="39">ROUND(SUM(C83:I83),0)</f>
        <v>4996565</v>
      </c>
      <c r="L83" s="759">
        <v>208</v>
      </c>
      <c r="M83" s="759">
        <f t="shared" si="28"/>
        <v>24021.947115384617</v>
      </c>
      <c r="N83" s="671">
        <v>25535</v>
      </c>
      <c r="O83" s="671"/>
      <c r="P83" s="188" t="s">
        <v>404</v>
      </c>
      <c r="Q83" s="776">
        <v>40691</v>
      </c>
      <c r="R83" s="775"/>
      <c r="S83" s="301">
        <v>209</v>
      </c>
      <c r="T83" s="255">
        <v>22554</v>
      </c>
      <c r="U83" s="8">
        <f t="shared" si="33"/>
        <v>4713786</v>
      </c>
      <c r="V83" s="451"/>
      <c r="W83" s="776"/>
      <c r="X83" s="806"/>
      <c r="Y83" s="806"/>
      <c r="Z83" s="8">
        <f t="shared" si="29"/>
        <v>0</v>
      </c>
    </row>
    <row r="84" spans="1:26">
      <c r="A84" s="758">
        <f t="shared" si="30"/>
        <v>67</v>
      </c>
      <c r="B84" s="293" t="s">
        <v>648</v>
      </c>
      <c r="C84" s="834">
        <f t="shared" si="38"/>
        <v>1264900</v>
      </c>
      <c r="D84" s="759">
        <f t="shared" si="37"/>
        <v>24302.848861599479</v>
      </c>
      <c r="E84" s="759">
        <f t="shared" si="37"/>
        <v>6058.693413676061</v>
      </c>
      <c r="F84" s="759">
        <f t="shared" si="37"/>
        <v>28124.785477289199</v>
      </c>
      <c r="G84" s="759">
        <f t="shared" si="37"/>
        <v>3234.4281301247092</v>
      </c>
      <c r="H84" s="759">
        <f t="shared" si="37"/>
        <v>1458.7544334693566</v>
      </c>
      <c r="I84" s="759">
        <f t="shared" si="37"/>
        <v>6155.6422333244345</v>
      </c>
      <c r="J84" s="360"/>
      <c r="K84" s="802">
        <f t="shared" si="39"/>
        <v>1334235</v>
      </c>
      <c r="L84" s="759">
        <v>51</v>
      </c>
      <c r="M84" s="759">
        <f t="shared" si="28"/>
        <v>26161.470588235294</v>
      </c>
      <c r="N84" s="671">
        <v>27650</v>
      </c>
      <c r="O84" s="671"/>
      <c r="P84" s="188" t="s">
        <v>387</v>
      </c>
      <c r="Q84" s="776">
        <v>40691</v>
      </c>
      <c r="R84" s="775"/>
      <c r="S84" s="301">
        <v>52</v>
      </c>
      <c r="T84" s="255">
        <v>24325</v>
      </c>
      <c r="U84" s="8">
        <f t="shared" si="33"/>
        <v>1264900</v>
      </c>
      <c r="V84" s="451"/>
      <c r="W84" s="776"/>
      <c r="X84" s="806"/>
      <c r="Y84" s="806"/>
      <c r="Z84" s="8">
        <f t="shared" si="29"/>
        <v>0</v>
      </c>
    </row>
    <row r="85" spans="1:26">
      <c r="A85" s="758">
        <f t="shared" si="30"/>
        <v>68</v>
      </c>
      <c r="B85" s="293" t="s">
        <v>649</v>
      </c>
      <c r="C85" s="834">
        <f t="shared" si="38"/>
        <v>9628696</v>
      </c>
      <c r="D85" s="759">
        <f t="shared" si="37"/>
        <v>193469.73799626253</v>
      </c>
      <c r="E85" s="759">
        <f t="shared" si="37"/>
        <v>48231.951489264327</v>
      </c>
      <c r="F85" s="759">
        <f t="shared" si="37"/>
        <v>223895.35105449831</v>
      </c>
      <c r="G85" s="759">
        <f t="shared" si="37"/>
        <v>25748.584722169253</v>
      </c>
      <c r="H85" s="759">
        <f t="shared" si="37"/>
        <v>11612.82941154037</v>
      </c>
      <c r="I85" s="759">
        <f t="shared" si="37"/>
        <v>49003.740131955303</v>
      </c>
      <c r="J85" s="360"/>
      <c r="K85" s="802">
        <f t="shared" si="39"/>
        <v>10180658</v>
      </c>
      <c r="L85" s="759">
        <v>406</v>
      </c>
      <c r="M85" s="759">
        <f t="shared" si="28"/>
        <v>25075.512315270935</v>
      </c>
      <c r="N85" s="671">
        <v>26855</v>
      </c>
      <c r="O85" s="671"/>
      <c r="P85" s="188" t="s">
        <v>405</v>
      </c>
      <c r="Q85" s="776">
        <v>40691</v>
      </c>
      <c r="R85" s="775"/>
      <c r="S85" s="301">
        <v>406</v>
      </c>
      <c r="T85" s="255">
        <v>23716</v>
      </c>
      <c r="U85" s="8">
        <f t="shared" si="33"/>
        <v>9628696</v>
      </c>
      <c r="V85" s="451"/>
      <c r="W85" s="776"/>
      <c r="X85" s="806"/>
      <c r="Y85" s="806"/>
      <c r="Z85" s="8">
        <f t="shared" si="29"/>
        <v>0</v>
      </c>
    </row>
    <row r="86" spans="1:26">
      <c r="A86" s="758">
        <f t="shared" si="30"/>
        <v>69</v>
      </c>
      <c r="B86" s="293" t="s">
        <v>650</v>
      </c>
      <c r="C86" s="834">
        <f t="shared" si="38"/>
        <v>222450</v>
      </c>
      <c r="D86" s="759">
        <f t="shared" si="37"/>
        <v>23826.322413332822</v>
      </c>
      <c r="E86" s="759">
        <f t="shared" si="37"/>
        <v>5939.8955036039815</v>
      </c>
      <c r="F86" s="759">
        <f t="shared" si="37"/>
        <v>27573.319095381565</v>
      </c>
      <c r="G86" s="759">
        <f t="shared" si="37"/>
        <v>3171.0079707104992</v>
      </c>
      <c r="H86" s="759">
        <f t="shared" si="37"/>
        <v>1430.1514053621145</v>
      </c>
      <c r="I86" s="759">
        <f t="shared" si="37"/>
        <v>6034.9433660043469</v>
      </c>
      <c r="J86" s="360"/>
      <c r="K86" s="802">
        <f t="shared" si="39"/>
        <v>290426</v>
      </c>
      <c r="L86" s="759">
        <v>50</v>
      </c>
      <c r="M86" s="759">
        <f t="shared" si="28"/>
        <v>5808.52</v>
      </c>
      <c r="N86" s="671">
        <v>5286</v>
      </c>
      <c r="O86" s="671"/>
      <c r="P86" s="293" t="s">
        <v>382</v>
      </c>
      <c r="Q86" s="776">
        <v>40691</v>
      </c>
      <c r="R86" s="775"/>
      <c r="S86" s="301">
        <f>L86</f>
        <v>50</v>
      </c>
      <c r="T86" s="255">
        <v>4449</v>
      </c>
      <c r="U86" s="8">
        <f t="shared" si="33"/>
        <v>222450</v>
      </c>
      <c r="V86" s="451"/>
      <c r="W86" s="776"/>
      <c r="X86" s="806"/>
      <c r="Y86" s="806"/>
      <c r="Z86" s="8">
        <f t="shared" si="29"/>
        <v>0</v>
      </c>
    </row>
    <row r="87" spans="1:26">
      <c r="A87" s="758">
        <f t="shared" ref="A87:A100" si="40">IF(B87&lt;&gt;"",A86+1,"")</f>
        <v>70</v>
      </c>
      <c r="B87" s="293" t="s">
        <v>651</v>
      </c>
      <c r="C87" s="834">
        <f t="shared" si="38"/>
        <v>75633</v>
      </c>
      <c r="D87" s="759">
        <f t="shared" si="37"/>
        <v>32403.798482132639</v>
      </c>
      <c r="E87" s="759">
        <f t="shared" si="37"/>
        <v>8078.2578849014153</v>
      </c>
      <c r="F87" s="759">
        <f t="shared" si="37"/>
        <v>37499.713969718927</v>
      </c>
      <c r="G87" s="759">
        <f t="shared" si="37"/>
        <v>4312.5708401662787</v>
      </c>
      <c r="H87" s="759">
        <f t="shared" si="37"/>
        <v>1945.0059112924755</v>
      </c>
      <c r="I87" s="759">
        <f t="shared" si="37"/>
        <v>8207.5229777659115</v>
      </c>
      <c r="J87" s="360"/>
      <c r="K87" s="802">
        <f t="shared" si="39"/>
        <v>168080</v>
      </c>
      <c r="L87" s="759">
        <v>68</v>
      </c>
      <c r="M87" s="759">
        <f t="shared" ref="M87:M100" si="41">IF(L87&lt;&gt;"",K87/L87,"")</f>
        <v>2471.7647058823532</v>
      </c>
      <c r="N87" s="671">
        <v>2734</v>
      </c>
      <c r="O87" s="671"/>
      <c r="P87" s="188" t="s">
        <v>382</v>
      </c>
      <c r="Q87" s="776">
        <v>40691</v>
      </c>
      <c r="R87" s="775"/>
      <c r="S87" s="301">
        <f t="shared" ref="S87:S89" si="42">L87/4</f>
        <v>17</v>
      </c>
      <c r="T87" s="255">
        <v>4449</v>
      </c>
      <c r="U87" s="8">
        <f t="shared" ref="U87:U100" si="43">S87*T87</f>
        <v>75633</v>
      </c>
      <c r="V87" s="451"/>
      <c r="W87" s="776"/>
      <c r="X87" s="806"/>
      <c r="Y87" s="806"/>
      <c r="Z87" s="8">
        <f t="shared" ref="Z87:Z100" si="44">X87*Y87</f>
        <v>0</v>
      </c>
    </row>
    <row r="88" spans="1:26">
      <c r="A88" s="758">
        <f t="shared" si="40"/>
        <v>71</v>
      </c>
      <c r="B88" s="293" t="s">
        <v>652</v>
      </c>
      <c r="C88" s="834">
        <f t="shared" si="38"/>
        <v>333675</v>
      </c>
      <c r="D88" s="759">
        <f t="shared" ref="D88:I97" si="45">IF($L$182&lt;&gt;0,D$182/$L$182*$L88,0)</f>
        <v>142957.93447999694</v>
      </c>
      <c r="E88" s="759">
        <f t="shared" si="45"/>
        <v>35639.373021623891</v>
      </c>
      <c r="F88" s="759">
        <f t="shared" si="45"/>
        <v>165439.91457228939</v>
      </c>
      <c r="G88" s="759">
        <f t="shared" si="45"/>
        <v>19026.047824262994</v>
      </c>
      <c r="H88" s="759">
        <f t="shared" si="45"/>
        <v>8580.9084321726859</v>
      </c>
      <c r="I88" s="759">
        <f t="shared" si="45"/>
        <v>36209.660196026081</v>
      </c>
      <c r="J88" s="360"/>
      <c r="K88" s="802">
        <f t="shared" si="39"/>
        <v>741529</v>
      </c>
      <c r="L88" s="759">
        <v>300</v>
      </c>
      <c r="M88" s="759">
        <f t="shared" si="41"/>
        <v>2471.7633333333333</v>
      </c>
      <c r="N88" s="671">
        <v>3065</v>
      </c>
      <c r="O88" s="671"/>
      <c r="P88" s="188" t="s">
        <v>382</v>
      </c>
      <c r="Q88" s="776">
        <v>40691</v>
      </c>
      <c r="R88" s="775"/>
      <c r="S88" s="301">
        <f t="shared" si="42"/>
        <v>75</v>
      </c>
      <c r="T88" s="255">
        <v>4449</v>
      </c>
      <c r="U88" s="8">
        <f t="shared" si="43"/>
        <v>333675</v>
      </c>
      <c r="V88" s="451"/>
      <c r="W88" s="776"/>
      <c r="X88" s="806"/>
      <c r="Y88" s="806"/>
      <c r="Z88" s="8">
        <f t="shared" si="44"/>
        <v>0</v>
      </c>
    </row>
    <row r="89" spans="1:26">
      <c r="A89" s="758">
        <f t="shared" si="40"/>
        <v>72</v>
      </c>
      <c r="B89" s="293" t="s">
        <v>653</v>
      </c>
      <c r="C89" s="834">
        <f t="shared" si="38"/>
        <v>44490</v>
      </c>
      <c r="D89" s="759">
        <f t="shared" si="45"/>
        <v>19061.057930666258</v>
      </c>
      <c r="E89" s="759">
        <f t="shared" si="45"/>
        <v>4751.9164028831856</v>
      </c>
      <c r="F89" s="759">
        <f t="shared" si="45"/>
        <v>22058.655276305253</v>
      </c>
      <c r="G89" s="759">
        <f t="shared" si="45"/>
        <v>2536.8063765683992</v>
      </c>
      <c r="H89" s="759">
        <f t="shared" si="45"/>
        <v>1144.1211242896916</v>
      </c>
      <c r="I89" s="759">
        <f t="shared" si="45"/>
        <v>4827.9546928034779</v>
      </c>
      <c r="J89" s="360"/>
      <c r="K89" s="802">
        <f t="shared" si="39"/>
        <v>98871</v>
      </c>
      <c r="L89" s="759">
        <v>40</v>
      </c>
      <c r="M89" s="759">
        <f t="shared" si="41"/>
        <v>2471.7750000000001</v>
      </c>
      <c r="N89" s="671">
        <v>3778</v>
      </c>
      <c r="O89" s="671"/>
      <c r="P89" s="188" t="s">
        <v>382</v>
      </c>
      <c r="Q89" s="776">
        <v>40691</v>
      </c>
      <c r="R89" s="775"/>
      <c r="S89" s="301">
        <f t="shared" si="42"/>
        <v>10</v>
      </c>
      <c r="T89" s="255">
        <v>4449</v>
      </c>
      <c r="U89" s="8">
        <f t="shared" si="43"/>
        <v>44490</v>
      </c>
      <c r="V89" s="451"/>
      <c r="W89" s="776"/>
      <c r="X89" s="806"/>
      <c r="Y89" s="806"/>
      <c r="Z89" s="8">
        <f t="shared" si="44"/>
        <v>0</v>
      </c>
    </row>
    <row r="90" spans="1:26">
      <c r="A90" s="758">
        <f t="shared" si="40"/>
        <v>73</v>
      </c>
      <c r="B90" s="293" t="s">
        <v>654</v>
      </c>
      <c r="C90" s="834">
        <f t="shared" si="38"/>
        <v>75633</v>
      </c>
      <c r="D90" s="759">
        <f t="shared" si="45"/>
        <v>16201.89924106632</v>
      </c>
      <c r="E90" s="759">
        <f t="shared" si="45"/>
        <v>4039.1289424507077</v>
      </c>
      <c r="F90" s="759">
        <f t="shared" si="45"/>
        <v>18749.856984859463</v>
      </c>
      <c r="G90" s="759">
        <f t="shared" si="45"/>
        <v>2156.2854200831393</v>
      </c>
      <c r="H90" s="759">
        <f t="shared" si="45"/>
        <v>972.50295564623775</v>
      </c>
      <c r="I90" s="759">
        <f t="shared" si="45"/>
        <v>4103.7614888829557</v>
      </c>
      <c r="J90" s="360"/>
      <c r="K90" s="802">
        <f t="shared" si="39"/>
        <v>121856</v>
      </c>
      <c r="L90" s="759">
        <v>34</v>
      </c>
      <c r="M90" s="759">
        <f t="shared" si="41"/>
        <v>3584</v>
      </c>
      <c r="N90" s="671">
        <v>4913</v>
      </c>
      <c r="O90" s="671"/>
      <c r="P90" s="188" t="s">
        <v>382</v>
      </c>
      <c r="Q90" s="776">
        <v>40691</v>
      </c>
      <c r="R90" s="775"/>
      <c r="S90" s="301">
        <f t="shared" ref="S90:S91" si="46">L90/2</f>
        <v>17</v>
      </c>
      <c r="T90" s="255">
        <v>4449</v>
      </c>
      <c r="U90" s="8">
        <f t="shared" si="43"/>
        <v>75633</v>
      </c>
      <c r="V90" s="451"/>
      <c r="W90" s="776"/>
      <c r="X90" s="806"/>
      <c r="Y90" s="806"/>
      <c r="Z90" s="8">
        <f t="shared" si="44"/>
        <v>0</v>
      </c>
    </row>
    <row r="91" spans="1:26">
      <c r="A91" s="758">
        <f t="shared" si="40"/>
        <v>74</v>
      </c>
      <c r="B91" s="293" t="s">
        <v>655</v>
      </c>
      <c r="C91" s="834">
        <f t="shared" si="38"/>
        <v>311430</v>
      </c>
      <c r="D91" s="759">
        <f t="shared" si="45"/>
        <v>66713.702757331906</v>
      </c>
      <c r="E91" s="759">
        <f t="shared" si="45"/>
        <v>16631.707410091149</v>
      </c>
      <c r="F91" s="759">
        <f t="shared" si="45"/>
        <v>77205.29346706839</v>
      </c>
      <c r="G91" s="759">
        <f t="shared" si="45"/>
        <v>8878.8223179893976</v>
      </c>
      <c r="H91" s="759">
        <f t="shared" si="45"/>
        <v>4004.4239350139205</v>
      </c>
      <c r="I91" s="759">
        <f t="shared" si="45"/>
        <v>16897.841424812173</v>
      </c>
      <c r="J91" s="360"/>
      <c r="K91" s="802">
        <f t="shared" si="39"/>
        <v>501762</v>
      </c>
      <c r="L91" s="759">
        <v>140</v>
      </c>
      <c r="M91" s="759">
        <f t="shared" si="41"/>
        <v>3584.0142857142855</v>
      </c>
      <c r="N91" s="671">
        <v>4320</v>
      </c>
      <c r="O91" s="671"/>
      <c r="P91" s="188" t="s">
        <v>382</v>
      </c>
      <c r="Q91" s="776">
        <v>40691</v>
      </c>
      <c r="R91" s="775"/>
      <c r="S91" s="301">
        <f t="shared" si="46"/>
        <v>70</v>
      </c>
      <c r="T91" s="255">
        <v>4449</v>
      </c>
      <c r="U91" s="8">
        <f t="shared" si="43"/>
        <v>311430</v>
      </c>
      <c r="V91" s="451"/>
      <c r="W91" s="776"/>
      <c r="X91" s="806"/>
      <c r="Y91" s="806"/>
      <c r="Z91" s="8">
        <f t="shared" si="44"/>
        <v>0</v>
      </c>
    </row>
    <row r="92" spans="1:26">
      <c r="A92" s="758">
        <f t="shared" si="40"/>
        <v>75</v>
      </c>
      <c r="B92" s="293" t="s">
        <v>656</v>
      </c>
      <c r="C92" s="834">
        <f t="shared" si="38"/>
        <v>1121820</v>
      </c>
      <c r="D92" s="759">
        <f t="shared" si="45"/>
        <v>66713.702757331906</v>
      </c>
      <c r="E92" s="759">
        <f t="shared" si="45"/>
        <v>16631.707410091149</v>
      </c>
      <c r="F92" s="759">
        <f t="shared" si="45"/>
        <v>77205.29346706839</v>
      </c>
      <c r="G92" s="759">
        <f t="shared" si="45"/>
        <v>8878.8223179893976</v>
      </c>
      <c r="H92" s="759">
        <f t="shared" si="45"/>
        <v>4004.4239350139205</v>
      </c>
      <c r="I92" s="759">
        <f t="shared" si="45"/>
        <v>16897.841424812173</v>
      </c>
      <c r="J92" s="360"/>
      <c r="K92" s="802">
        <f t="shared" si="39"/>
        <v>1312152</v>
      </c>
      <c r="L92" s="759">
        <v>140</v>
      </c>
      <c r="M92" s="759">
        <f t="shared" si="41"/>
        <v>9372.5142857142855</v>
      </c>
      <c r="N92" s="671">
        <v>11516</v>
      </c>
      <c r="O92" s="671"/>
      <c r="P92" s="188" t="s">
        <v>420</v>
      </c>
      <c r="Q92" s="776">
        <v>40691</v>
      </c>
      <c r="R92" s="775"/>
      <c r="S92" s="301">
        <f>L92</f>
        <v>140</v>
      </c>
      <c r="T92" s="253">
        <v>8013</v>
      </c>
      <c r="U92" s="8">
        <f t="shared" si="43"/>
        <v>1121820</v>
      </c>
      <c r="V92" s="451"/>
      <c r="W92" s="776"/>
      <c r="X92" s="806"/>
      <c r="Y92" s="806"/>
      <c r="Z92" s="8">
        <f t="shared" si="44"/>
        <v>0</v>
      </c>
    </row>
    <row r="93" spans="1:26">
      <c r="A93" s="758">
        <f t="shared" si="40"/>
        <v>76</v>
      </c>
      <c r="B93" s="293" t="s">
        <v>647</v>
      </c>
      <c r="C93" s="834">
        <f t="shared" si="38"/>
        <v>126000</v>
      </c>
      <c r="D93" s="759">
        <f t="shared" si="45"/>
        <v>4765.2644826665646</v>
      </c>
      <c r="E93" s="759">
        <f t="shared" si="45"/>
        <v>1187.9791007207964</v>
      </c>
      <c r="F93" s="759">
        <f t="shared" si="45"/>
        <v>5514.6638190763133</v>
      </c>
      <c r="G93" s="759">
        <f t="shared" si="45"/>
        <v>634.20159414209979</v>
      </c>
      <c r="H93" s="759">
        <f t="shared" si="45"/>
        <v>286.03028107242289</v>
      </c>
      <c r="I93" s="759">
        <f t="shared" si="45"/>
        <v>1206.9886732008695</v>
      </c>
      <c r="J93" s="360"/>
      <c r="K93" s="802">
        <f t="shared" si="39"/>
        <v>139595</v>
      </c>
      <c r="L93" s="759">
        <v>10</v>
      </c>
      <c r="M93" s="759">
        <f t="shared" si="41"/>
        <v>13959.5</v>
      </c>
      <c r="N93" s="671">
        <v>14056</v>
      </c>
      <c r="O93" s="671"/>
      <c r="P93" s="293" t="s">
        <v>396</v>
      </c>
      <c r="Q93" s="776">
        <v>40691</v>
      </c>
      <c r="R93" s="775"/>
      <c r="S93" s="301">
        <v>5</v>
      </c>
      <c r="T93" s="253">
        <v>25200</v>
      </c>
      <c r="U93" s="8">
        <f t="shared" si="43"/>
        <v>126000</v>
      </c>
      <c r="V93" s="451"/>
      <c r="W93" s="776"/>
      <c r="X93" s="806"/>
      <c r="Y93" s="806"/>
      <c r="Z93" s="8">
        <f t="shared" si="44"/>
        <v>0</v>
      </c>
    </row>
    <row r="94" spans="1:26">
      <c r="A94" s="758">
        <f t="shared" si="40"/>
        <v>77</v>
      </c>
      <c r="B94" s="293" t="s">
        <v>657</v>
      </c>
      <c r="C94" s="834">
        <f t="shared" si="38"/>
        <v>586160</v>
      </c>
      <c r="D94" s="759">
        <f t="shared" si="45"/>
        <v>32403.798482132639</v>
      </c>
      <c r="E94" s="759">
        <f t="shared" si="45"/>
        <v>8078.2578849014153</v>
      </c>
      <c r="F94" s="759">
        <f t="shared" si="45"/>
        <v>37499.713969718927</v>
      </c>
      <c r="G94" s="759">
        <f t="shared" si="45"/>
        <v>4312.5708401662787</v>
      </c>
      <c r="H94" s="759">
        <f t="shared" si="45"/>
        <v>1945.0059112924755</v>
      </c>
      <c r="I94" s="759">
        <f t="shared" si="45"/>
        <v>8207.5229777659115</v>
      </c>
      <c r="J94" s="360"/>
      <c r="K94" s="802">
        <f t="shared" si="39"/>
        <v>678607</v>
      </c>
      <c r="L94" s="759">
        <v>68</v>
      </c>
      <c r="M94" s="759">
        <f t="shared" si="41"/>
        <v>9979.5147058823532</v>
      </c>
      <c r="N94" s="671">
        <v>10433</v>
      </c>
      <c r="O94" s="671"/>
      <c r="P94" s="188" t="s">
        <v>415</v>
      </c>
      <c r="Q94" s="776">
        <v>40691</v>
      </c>
      <c r="R94" s="775"/>
      <c r="S94" s="301">
        <f>L94</f>
        <v>68</v>
      </c>
      <c r="T94" s="253">
        <v>8620</v>
      </c>
      <c r="U94" s="8">
        <f t="shared" si="43"/>
        <v>586160</v>
      </c>
      <c r="V94" s="451"/>
      <c r="W94" s="776"/>
      <c r="X94" s="806"/>
      <c r="Y94" s="806"/>
      <c r="Z94" s="8">
        <f t="shared" si="44"/>
        <v>0</v>
      </c>
    </row>
    <row r="95" spans="1:26">
      <c r="A95" s="758">
        <f t="shared" si="40"/>
        <v>78</v>
      </c>
      <c r="B95" s="293" t="s">
        <v>658</v>
      </c>
      <c r="C95" s="834">
        <f t="shared" si="38"/>
        <v>3476100</v>
      </c>
      <c r="D95" s="759">
        <f t="shared" si="45"/>
        <v>142957.93447999694</v>
      </c>
      <c r="E95" s="759">
        <f t="shared" si="45"/>
        <v>35639.373021623891</v>
      </c>
      <c r="F95" s="759">
        <f t="shared" si="45"/>
        <v>165439.91457228939</v>
      </c>
      <c r="G95" s="759">
        <f t="shared" si="45"/>
        <v>19026.047824262994</v>
      </c>
      <c r="H95" s="759">
        <f t="shared" si="45"/>
        <v>8580.9084321726859</v>
      </c>
      <c r="I95" s="759">
        <f t="shared" si="45"/>
        <v>36209.660196026081</v>
      </c>
      <c r="J95" s="360"/>
      <c r="K95" s="802">
        <f t="shared" si="39"/>
        <v>3883954</v>
      </c>
      <c r="L95" s="759">
        <v>300</v>
      </c>
      <c r="M95" s="759">
        <f t="shared" si="41"/>
        <v>12946.513333333334</v>
      </c>
      <c r="N95" s="671">
        <v>13172</v>
      </c>
      <c r="O95" s="671"/>
      <c r="P95" s="188" t="s">
        <v>410</v>
      </c>
      <c r="Q95" s="776">
        <v>40691</v>
      </c>
      <c r="R95" s="775"/>
      <c r="S95" s="301">
        <f>L95</f>
        <v>300</v>
      </c>
      <c r="T95" s="253">
        <v>11587</v>
      </c>
      <c r="U95" s="8">
        <f t="shared" si="43"/>
        <v>3476100</v>
      </c>
      <c r="V95" s="451"/>
      <c r="W95" s="776"/>
      <c r="X95" s="806"/>
      <c r="Y95" s="806"/>
      <c r="Z95" s="8">
        <f t="shared" si="44"/>
        <v>0</v>
      </c>
    </row>
    <row r="96" spans="1:26">
      <c r="A96" s="758">
        <f t="shared" si="40"/>
        <v>79</v>
      </c>
      <c r="B96" s="293" t="s">
        <v>659</v>
      </c>
      <c r="C96" s="834">
        <f t="shared" si="38"/>
        <v>529200</v>
      </c>
      <c r="D96" s="759">
        <f t="shared" si="45"/>
        <v>19061.057930666258</v>
      </c>
      <c r="E96" s="759">
        <f t="shared" si="45"/>
        <v>4751.9164028831856</v>
      </c>
      <c r="F96" s="759">
        <f t="shared" si="45"/>
        <v>22058.655276305253</v>
      </c>
      <c r="G96" s="759">
        <f t="shared" si="45"/>
        <v>2536.8063765683992</v>
      </c>
      <c r="H96" s="759">
        <f t="shared" si="45"/>
        <v>1144.1211242896916</v>
      </c>
      <c r="I96" s="759">
        <f t="shared" si="45"/>
        <v>4827.9546928034779</v>
      </c>
      <c r="J96" s="360"/>
      <c r="K96" s="802">
        <f t="shared" si="39"/>
        <v>583581</v>
      </c>
      <c r="L96" s="759">
        <v>40</v>
      </c>
      <c r="M96" s="759">
        <f t="shared" si="41"/>
        <v>14589.525</v>
      </c>
      <c r="N96" s="671">
        <v>15040</v>
      </c>
      <c r="O96" s="671"/>
      <c r="P96" s="293" t="s">
        <v>396</v>
      </c>
      <c r="Q96" s="776">
        <v>40691</v>
      </c>
      <c r="R96" s="775"/>
      <c r="S96" s="301">
        <v>21</v>
      </c>
      <c r="T96" s="253">
        <v>25200</v>
      </c>
      <c r="U96" s="8">
        <f t="shared" si="43"/>
        <v>529200</v>
      </c>
      <c r="V96" s="451"/>
      <c r="W96" s="776"/>
      <c r="X96" s="806"/>
      <c r="Y96" s="806"/>
      <c r="Z96" s="8">
        <f t="shared" si="44"/>
        <v>0</v>
      </c>
    </row>
    <row r="97" spans="1:26">
      <c r="A97" s="758">
        <f t="shared" si="40"/>
        <v>80</v>
      </c>
      <c r="B97" s="293" t="s">
        <v>660</v>
      </c>
      <c r="C97" s="834">
        <f t="shared" si="38"/>
        <v>4330256</v>
      </c>
      <c r="D97" s="759">
        <f t="shared" si="45"/>
        <v>449364.44071545708</v>
      </c>
      <c r="E97" s="759">
        <f t="shared" si="45"/>
        <v>112026.4291979711</v>
      </c>
      <c r="F97" s="759">
        <f t="shared" si="45"/>
        <v>520032.79813889635</v>
      </c>
      <c r="G97" s="759">
        <f t="shared" si="45"/>
        <v>59805.210327600013</v>
      </c>
      <c r="H97" s="759">
        <f t="shared" si="45"/>
        <v>26972.655505129478</v>
      </c>
      <c r="I97" s="759">
        <f t="shared" si="45"/>
        <v>113819.03188284198</v>
      </c>
      <c r="J97" s="360"/>
      <c r="K97" s="802">
        <f t="shared" si="39"/>
        <v>5612277</v>
      </c>
      <c r="L97" s="759">
        <v>943</v>
      </c>
      <c r="M97" s="759">
        <f t="shared" si="41"/>
        <v>5951.5132555673381</v>
      </c>
      <c r="N97" s="671">
        <v>7229</v>
      </c>
      <c r="O97" s="671"/>
      <c r="P97" s="293" t="s">
        <v>393</v>
      </c>
      <c r="Q97" s="776">
        <v>40694</v>
      </c>
      <c r="R97" s="775"/>
      <c r="S97" s="301">
        <f t="shared" ref="S97:S98" si="47">L97</f>
        <v>943</v>
      </c>
      <c r="T97" s="255">
        <v>4592</v>
      </c>
      <c r="U97" s="8">
        <f t="shared" si="43"/>
        <v>4330256</v>
      </c>
      <c r="V97" s="451"/>
      <c r="W97" s="776"/>
      <c r="X97" s="806"/>
      <c r="Y97" s="806"/>
      <c r="Z97" s="8">
        <f t="shared" si="44"/>
        <v>0</v>
      </c>
    </row>
    <row r="98" spans="1:26">
      <c r="A98" s="758">
        <f t="shared" si="40"/>
        <v>81</v>
      </c>
      <c r="B98" s="293" t="s">
        <v>661</v>
      </c>
      <c r="C98" s="834">
        <f t="shared" si="38"/>
        <v>1348047</v>
      </c>
      <c r="D98" s="759">
        <f t="shared" ref="D98:I107" si="48">IF($L$182&lt;&gt;0,D$182/$L$182*$L98,0)</f>
        <v>144387.51382479692</v>
      </c>
      <c r="E98" s="759">
        <f t="shared" si="48"/>
        <v>35995.766751840129</v>
      </c>
      <c r="F98" s="759">
        <f t="shared" si="48"/>
        <v>167094.3137180123</v>
      </c>
      <c r="G98" s="759">
        <f t="shared" si="48"/>
        <v>19216.308302505626</v>
      </c>
      <c r="H98" s="759">
        <f t="shared" si="48"/>
        <v>8666.7175164944128</v>
      </c>
      <c r="I98" s="759">
        <f t="shared" si="48"/>
        <v>36571.756797986345</v>
      </c>
      <c r="J98" s="360"/>
      <c r="K98" s="802">
        <f t="shared" si="39"/>
        <v>1759979</v>
      </c>
      <c r="L98" s="759">
        <v>303</v>
      </c>
      <c r="M98" s="759">
        <f t="shared" si="41"/>
        <v>5808.5115511551157</v>
      </c>
      <c r="N98" s="671">
        <v>6620</v>
      </c>
      <c r="O98" s="671"/>
      <c r="P98" s="293" t="s">
        <v>382</v>
      </c>
      <c r="Q98" s="776">
        <v>40694</v>
      </c>
      <c r="R98" s="775"/>
      <c r="S98" s="301">
        <f t="shared" si="47"/>
        <v>303</v>
      </c>
      <c r="T98" s="255">
        <v>4449</v>
      </c>
      <c r="U98" s="8">
        <f t="shared" si="43"/>
        <v>1348047</v>
      </c>
      <c r="V98" s="451"/>
      <c r="W98" s="776"/>
      <c r="X98" s="806"/>
      <c r="Y98" s="806"/>
      <c r="Z98" s="8">
        <f t="shared" si="44"/>
        <v>0</v>
      </c>
    </row>
    <row r="99" spans="1:26">
      <c r="A99" s="758">
        <f t="shared" si="40"/>
        <v>82</v>
      </c>
      <c r="B99" s="293" t="s">
        <v>662</v>
      </c>
      <c r="C99" s="834">
        <f t="shared" si="38"/>
        <v>347610</v>
      </c>
      <c r="D99" s="759">
        <f t="shared" si="48"/>
        <v>14295.793447999695</v>
      </c>
      <c r="E99" s="759">
        <f t="shared" si="48"/>
        <v>3563.9373021623887</v>
      </c>
      <c r="F99" s="759">
        <f t="shared" si="48"/>
        <v>16543.991457228942</v>
      </c>
      <c r="G99" s="759">
        <f t="shared" si="48"/>
        <v>1902.6047824262996</v>
      </c>
      <c r="H99" s="759">
        <f t="shared" si="48"/>
        <v>858.09084321726868</v>
      </c>
      <c r="I99" s="759">
        <f t="shared" si="48"/>
        <v>3620.9660196026084</v>
      </c>
      <c r="J99" s="360"/>
      <c r="K99" s="802">
        <f t="shared" si="39"/>
        <v>388395</v>
      </c>
      <c r="L99" s="759">
        <v>30</v>
      </c>
      <c r="M99" s="759">
        <f t="shared" si="41"/>
        <v>12946.5</v>
      </c>
      <c r="N99" s="671">
        <v>14576</v>
      </c>
      <c r="O99" s="671"/>
      <c r="P99" s="188" t="s">
        <v>410</v>
      </c>
      <c r="Q99" s="776">
        <v>40694</v>
      </c>
      <c r="R99" s="775"/>
      <c r="S99" s="301">
        <f>L99</f>
        <v>30</v>
      </c>
      <c r="T99" s="253">
        <v>11587</v>
      </c>
      <c r="U99" s="8">
        <f t="shared" si="43"/>
        <v>347610</v>
      </c>
      <c r="V99" s="451"/>
      <c r="W99" s="776"/>
      <c r="X99" s="806"/>
      <c r="Y99" s="806"/>
      <c r="Z99" s="8">
        <f t="shared" si="44"/>
        <v>0</v>
      </c>
    </row>
    <row r="100" spans="1:26">
      <c r="A100" s="758">
        <f t="shared" si="40"/>
        <v>83</v>
      </c>
      <c r="B100" s="293" t="s">
        <v>526</v>
      </c>
      <c r="C100" s="834">
        <f t="shared" si="38"/>
        <v>3592166</v>
      </c>
      <c r="D100" s="759">
        <f t="shared" si="48"/>
        <v>48129.171274932305</v>
      </c>
      <c r="E100" s="759">
        <f t="shared" si="48"/>
        <v>11998.588917280043</v>
      </c>
      <c r="F100" s="759">
        <f t="shared" si="48"/>
        <v>55698.104572670767</v>
      </c>
      <c r="G100" s="759">
        <f t="shared" si="48"/>
        <v>6405.436100835208</v>
      </c>
      <c r="H100" s="759">
        <f t="shared" si="48"/>
        <v>2888.9058388314711</v>
      </c>
      <c r="I100" s="759">
        <f t="shared" si="48"/>
        <v>12190.585599328782</v>
      </c>
      <c r="J100" s="360"/>
      <c r="K100" s="802">
        <f t="shared" si="39"/>
        <v>3729477</v>
      </c>
      <c r="L100" s="759">
        <v>101</v>
      </c>
      <c r="M100" s="759">
        <f t="shared" si="41"/>
        <v>36925.514851485146</v>
      </c>
      <c r="N100" s="671">
        <v>43865</v>
      </c>
      <c r="O100" s="671"/>
      <c r="P100" s="188" t="s">
        <v>456</v>
      </c>
      <c r="Q100" s="776">
        <v>40695</v>
      </c>
      <c r="R100" s="775"/>
      <c r="S100" s="301">
        <v>101</v>
      </c>
      <c r="T100" s="808">
        <v>35566</v>
      </c>
      <c r="U100" s="8">
        <f t="shared" si="43"/>
        <v>3592166</v>
      </c>
      <c r="V100" s="451"/>
      <c r="W100" s="776"/>
      <c r="X100" s="806"/>
      <c r="Y100" s="806"/>
      <c r="Z100" s="8">
        <f t="shared" si="44"/>
        <v>0</v>
      </c>
    </row>
    <row r="101" spans="1:26">
      <c r="A101" s="758">
        <f t="shared" ref="A101:A147" si="49">IF(B101&lt;&gt;"",A100+1,"")</f>
        <v>84</v>
      </c>
      <c r="B101" s="293" t="s">
        <v>527</v>
      </c>
      <c r="C101" s="834">
        <f t="shared" si="38"/>
        <v>3617012</v>
      </c>
      <c r="D101" s="759">
        <f t="shared" si="48"/>
        <v>48129.171274932305</v>
      </c>
      <c r="E101" s="759">
        <f t="shared" si="48"/>
        <v>11998.588917280043</v>
      </c>
      <c r="F101" s="759">
        <f t="shared" si="48"/>
        <v>55698.104572670767</v>
      </c>
      <c r="G101" s="759">
        <f t="shared" si="48"/>
        <v>6405.436100835208</v>
      </c>
      <c r="H101" s="759">
        <f t="shared" si="48"/>
        <v>2888.9058388314711</v>
      </c>
      <c r="I101" s="759">
        <f t="shared" si="48"/>
        <v>12190.585599328782</v>
      </c>
      <c r="J101" s="360"/>
      <c r="K101" s="802">
        <f t="shared" si="39"/>
        <v>3754323</v>
      </c>
      <c r="L101" s="759">
        <v>101</v>
      </c>
      <c r="M101" s="759">
        <f t="shared" ref="M101:M167" si="50">IF(L101&lt;&gt;"",K101/L101,"")</f>
        <v>37171.514851485146</v>
      </c>
      <c r="N101" s="671">
        <v>50416</v>
      </c>
      <c r="O101" s="671"/>
      <c r="P101" s="188" t="s">
        <v>498</v>
      </c>
      <c r="Q101" s="776">
        <v>40695</v>
      </c>
      <c r="R101" s="775"/>
      <c r="S101" s="301">
        <v>101</v>
      </c>
      <c r="T101" s="255">
        <v>35812</v>
      </c>
      <c r="U101" s="8">
        <f t="shared" ref="U101:U167" si="51">S101*T101</f>
        <v>3617012</v>
      </c>
      <c r="V101" s="451"/>
      <c r="W101" s="776"/>
      <c r="X101" s="806"/>
      <c r="Y101" s="806"/>
      <c r="Z101" s="8">
        <f t="shared" ref="Z101:Z167" si="52">X101*Y101</f>
        <v>0</v>
      </c>
    </row>
    <row r="102" spans="1:26">
      <c r="A102" s="758">
        <f t="shared" si="49"/>
        <v>85</v>
      </c>
      <c r="B102" s="293" t="s">
        <v>663</v>
      </c>
      <c r="C102" s="834">
        <f t="shared" si="38"/>
        <v>353010</v>
      </c>
      <c r="D102" s="759">
        <f t="shared" si="48"/>
        <v>8100.9496205331598</v>
      </c>
      <c r="E102" s="759">
        <f t="shared" si="48"/>
        <v>2019.5644712253538</v>
      </c>
      <c r="F102" s="759">
        <f t="shared" si="48"/>
        <v>9374.9284924297317</v>
      </c>
      <c r="G102" s="759">
        <f t="shared" si="48"/>
        <v>1078.1427100415697</v>
      </c>
      <c r="H102" s="759">
        <f t="shared" si="48"/>
        <v>486.25147782311888</v>
      </c>
      <c r="I102" s="759">
        <f t="shared" si="48"/>
        <v>2051.8807444414779</v>
      </c>
      <c r="J102" s="360"/>
      <c r="K102" s="802">
        <f t="shared" si="39"/>
        <v>376122</v>
      </c>
      <c r="L102" s="759">
        <v>17</v>
      </c>
      <c r="M102" s="759">
        <f t="shared" si="50"/>
        <v>22124.823529411766</v>
      </c>
      <c r="N102" s="671">
        <v>23643</v>
      </c>
      <c r="O102" s="671"/>
      <c r="P102" s="40" t="s">
        <v>461</v>
      </c>
      <c r="Q102" s="776">
        <v>40723</v>
      </c>
      <c r="R102" s="775"/>
      <c r="S102" s="301">
        <v>10</v>
      </c>
      <c r="T102" s="808">
        <v>35301</v>
      </c>
      <c r="U102" s="25">
        <f t="shared" si="51"/>
        <v>353010</v>
      </c>
      <c r="V102" s="451"/>
      <c r="W102" s="776"/>
      <c r="X102" s="806"/>
      <c r="Y102" s="806"/>
      <c r="Z102" s="8">
        <f t="shared" si="52"/>
        <v>0</v>
      </c>
    </row>
    <row r="103" spans="1:26">
      <c r="A103" s="758">
        <f t="shared" si="49"/>
        <v>86</v>
      </c>
      <c r="B103" s="293" t="s">
        <v>649</v>
      </c>
      <c r="C103" s="834">
        <f t="shared" si="38"/>
        <v>191248</v>
      </c>
      <c r="D103" s="759">
        <f t="shared" si="48"/>
        <v>3812.2115861332518</v>
      </c>
      <c r="E103" s="759">
        <f t="shared" si="48"/>
        <v>950.38328057663705</v>
      </c>
      <c r="F103" s="759">
        <f t="shared" si="48"/>
        <v>4411.7310552610506</v>
      </c>
      <c r="G103" s="759">
        <f t="shared" si="48"/>
        <v>507.36127531367987</v>
      </c>
      <c r="H103" s="759">
        <f t="shared" si="48"/>
        <v>228.8242248579383</v>
      </c>
      <c r="I103" s="759">
        <f t="shared" si="48"/>
        <v>965.59093856069558</v>
      </c>
      <c r="J103" s="360"/>
      <c r="K103" s="802">
        <f t="shared" si="39"/>
        <v>202124</v>
      </c>
      <c r="L103" s="759">
        <v>8</v>
      </c>
      <c r="M103" s="759">
        <f t="shared" si="50"/>
        <v>25265.5</v>
      </c>
      <c r="N103" s="671">
        <v>26855</v>
      </c>
      <c r="O103" s="671"/>
      <c r="P103" s="40" t="s">
        <v>487</v>
      </c>
      <c r="Q103" s="776">
        <v>40723</v>
      </c>
      <c r="R103" s="775"/>
      <c r="S103" s="301">
        <v>8</v>
      </c>
      <c r="T103" s="808">
        <v>23906</v>
      </c>
      <c r="U103" s="25">
        <f t="shared" si="51"/>
        <v>191248</v>
      </c>
      <c r="V103" s="451"/>
      <c r="W103" s="776"/>
      <c r="X103" s="806"/>
      <c r="Y103" s="806"/>
      <c r="Z103" s="8">
        <f t="shared" si="52"/>
        <v>0</v>
      </c>
    </row>
    <row r="104" spans="1:26">
      <c r="A104" s="758">
        <f t="shared" si="49"/>
        <v>87</v>
      </c>
      <c r="B104" s="293" t="s">
        <v>641</v>
      </c>
      <c r="C104" s="834">
        <f t="shared" si="38"/>
        <v>908428</v>
      </c>
      <c r="D104" s="759">
        <f t="shared" si="48"/>
        <v>18108.005034132944</v>
      </c>
      <c r="E104" s="759">
        <f t="shared" si="48"/>
        <v>4514.3205827390257</v>
      </c>
      <c r="F104" s="759">
        <f t="shared" si="48"/>
        <v>20955.722512489992</v>
      </c>
      <c r="G104" s="759">
        <f t="shared" si="48"/>
        <v>2409.9660577399795</v>
      </c>
      <c r="H104" s="759">
        <f t="shared" si="48"/>
        <v>1086.915068075207</v>
      </c>
      <c r="I104" s="759">
        <f t="shared" si="48"/>
        <v>4586.5569581633044</v>
      </c>
      <c r="J104" s="360"/>
      <c r="K104" s="802">
        <f t="shared" si="39"/>
        <v>960089</v>
      </c>
      <c r="L104" s="759">
        <v>38</v>
      </c>
      <c r="M104" s="759">
        <f t="shared" si="50"/>
        <v>25265.5</v>
      </c>
      <c r="N104" s="671">
        <v>25535</v>
      </c>
      <c r="O104" s="671"/>
      <c r="P104" s="40" t="s">
        <v>487</v>
      </c>
      <c r="Q104" s="776">
        <v>40723</v>
      </c>
      <c r="R104" s="775"/>
      <c r="S104" s="301">
        <v>38</v>
      </c>
      <c r="T104" s="808">
        <v>23906</v>
      </c>
      <c r="U104" s="25">
        <f t="shared" si="51"/>
        <v>908428</v>
      </c>
      <c r="V104" s="451"/>
      <c r="W104" s="776"/>
      <c r="X104" s="806"/>
      <c r="Y104" s="806"/>
      <c r="Z104" s="8">
        <f t="shared" si="52"/>
        <v>0</v>
      </c>
    </row>
    <row r="105" spans="1:26">
      <c r="A105" s="758">
        <f t="shared" si="49"/>
        <v>88</v>
      </c>
      <c r="B105" s="293" t="s">
        <v>664</v>
      </c>
      <c r="C105" s="834">
        <f t="shared" si="38"/>
        <v>835801</v>
      </c>
      <c r="D105" s="759">
        <f t="shared" si="48"/>
        <v>22396.743068532855</v>
      </c>
      <c r="E105" s="759">
        <f t="shared" si="48"/>
        <v>5583.501773387743</v>
      </c>
      <c r="F105" s="759">
        <f t="shared" si="48"/>
        <v>25918.919949658673</v>
      </c>
      <c r="G105" s="759">
        <f t="shared" si="48"/>
        <v>2980.7474924678691</v>
      </c>
      <c r="H105" s="759">
        <f t="shared" si="48"/>
        <v>1344.3423210403876</v>
      </c>
      <c r="I105" s="759">
        <f t="shared" si="48"/>
        <v>5672.8467640440867</v>
      </c>
      <c r="J105" s="360"/>
      <c r="K105" s="802">
        <f t="shared" si="39"/>
        <v>899698</v>
      </c>
      <c r="L105" s="759">
        <v>47</v>
      </c>
      <c r="M105" s="759">
        <f t="shared" si="50"/>
        <v>19142.510638297874</v>
      </c>
      <c r="N105" s="671">
        <v>21721</v>
      </c>
      <c r="O105" s="671"/>
      <c r="P105" s="188" t="s">
        <v>456</v>
      </c>
      <c r="Q105" s="776">
        <v>40723</v>
      </c>
      <c r="R105" s="775"/>
      <c r="S105" s="301">
        <v>23.5</v>
      </c>
      <c r="T105" s="808">
        <v>35566</v>
      </c>
      <c r="U105" s="25">
        <f t="shared" si="51"/>
        <v>835801</v>
      </c>
      <c r="V105" s="451"/>
      <c r="W105" s="776"/>
      <c r="X105" s="806"/>
      <c r="Y105" s="806"/>
      <c r="Z105" s="8">
        <f t="shared" si="52"/>
        <v>0</v>
      </c>
    </row>
    <row r="106" spans="1:26">
      <c r="A106" s="758">
        <f t="shared" si="49"/>
        <v>89</v>
      </c>
      <c r="B106" s="293" t="s">
        <v>665</v>
      </c>
      <c r="C106" s="834">
        <f t="shared" si="38"/>
        <v>9962075</v>
      </c>
      <c r="D106" s="759">
        <f t="shared" si="48"/>
        <v>395516.95206132485</v>
      </c>
      <c r="E106" s="759">
        <f t="shared" si="48"/>
        <v>98602.265359826095</v>
      </c>
      <c r="F106" s="759">
        <f t="shared" si="48"/>
        <v>457717.09698333399</v>
      </c>
      <c r="G106" s="759">
        <f t="shared" si="48"/>
        <v>52638.732313794288</v>
      </c>
      <c r="H106" s="759">
        <f t="shared" si="48"/>
        <v>23740.513329011101</v>
      </c>
      <c r="I106" s="759">
        <f t="shared" si="48"/>
        <v>100180.05987567216</v>
      </c>
      <c r="J106" s="360"/>
      <c r="K106" s="802">
        <f t="shared" si="39"/>
        <v>11090471</v>
      </c>
      <c r="L106" s="759">
        <v>830</v>
      </c>
      <c r="M106" s="759">
        <f t="shared" si="50"/>
        <v>13362.013253012048</v>
      </c>
      <c r="N106" s="671">
        <v>14435</v>
      </c>
      <c r="O106" s="671"/>
      <c r="P106" s="40" t="s">
        <v>440</v>
      </c>
      <c r="Q106" s="776">
        <v>40723</v>
      </c>
      <c r="R106" s="775"/>
      <c r="S106" s="301">
        <f>L106/2</f>
        <v>415</v>
      </c>
      <c r="T106" s="808">
        <v>24005</v>
      </c>
      <c r="U106" s="8">
        <f t="shared" si="51"/>
        <v>9962075</v>
      </c>
      <c r="V106" s="451"/>
      <c r="W106" s="776"/>
      <c r="X106" s="806"/>
      <c r="Y106" s="806"/>
      <c r="Z106" s="8">
        <f t="shared" si="52"/>
        <v>0</v>
      </c>
    </row>
    <row r="107" spans="1:26">
      <c r="A107" s="813">
        <f t="shared" si="49"/>
        <v>90</v>
      </c>
      <c r="B107" s="294" t="s">
        <v>538</v>
      </c>
      <c r="C107" s="834">
        <f t="shared" si="38"/>
        <v>8857845</v>
      </c>
      <c r="D107" s="537">
        <f t="shared" si="48"/>
        <v>351676.51882079249</v>
      </c>
      <c r="E107" s="537">
        <f t="shared" si="48"/>
        <v>87672.85763319477</v>
      </c>
      <c r="F107" s="537">
        <f t="shared" si="48"/>
        <v>406982.18984783191</v>
      </c>
      <c r="G107" s="537">
        <f t="shared" si="48"/>
        <v>46804.077647686965</v>
      </c>
      <c r="H107" s="537">
        <f t="shared" si="48"/>
        <v>21109.03474314481</v>
      </c>
      <c r="I107" s="537">
        <f t="shared" si="48"/>
        <v>89075.764082224166</v>
      </c>
      <c r="J107" s="537"/>
      <c r="K107" s="802">
        <f t="shared" si="39"/>
        <v>9861165</v>
      </c>
      <c r="L107" s="537">
        <v>738</v>
      </c>
      <c r="M107" s="537">
        <f t="shared" si="50"/>
        <v>13362.012195121952</v>
      </c>
      <c r="N107" s="671">
        <v>14011</v>
      </c>
      <c r="O107" s="671"/>
      <c r="P107" s="40" t="s">
        <v>440</v>
      </c>
      <c r="Q107" s="776">
        <v>40723</v>
      </c>
      <c r="R107" s="775"/>
      <c r="S107" s="301">
        <f>L107/2</f>
        <v>369</v>
      </c>
      <c r="T107" s="808">
        <v>24005</v>
      </c>
      <c r="U107" s="8">
        <f t="shared" si="51"/>
        <v>8857845</v>
      </c>
      <c r="V107" s="451"/>
      <c r="W107" s="776"/>
      <c r="X107" s="806"/>
      <c r="Y107" s="806"/>
      <c r="Z107" s="8">
        <f t="shared" si="52"/>
        <v>0</v>
      </c>
    </row>
    <row r="108" spans="1:26">
      <c r="A108" s="758">
        <f>IF(B108&lt;&gt;"",A107+1,"")</f>
        <v>91</v>
      </c>
      <c r="B108" s="293" t="s">
        <v>542</v>
      </c>
      <c r="C108" s="834">
        <f t="shared" si="38"/>
        <v>16462</v>
      </c>
      <c r="D108" s="759">
        <f t="shared" ref="D108:I117" si="53">IF($L$182&lt;&gt;0,D$182/$L$182*$L108,0)</f>
        <v>953.05289653331295</v>
      </c>
      <c r="E108" s="759">
        <f t="shared" si="53"/>
        <v>237.59582014415926</v>
      </c>
      <c r="F108" s="759">
        <f t="shared" si="53"/>
        <v>1102.9327638152627</v>
      </c>
      <c r="G108" s="759">
        <f t="shared" si="53"/>
        <v>126.84031882841997</v>
      </c>
      <c r="H108" s="759">
        <f t="shared" si="53"/>
        <v>57.206056214484576</v>
      </c>
      <c r="I108" s="759">
        <f t="shared" si="53"/>
        <v>241.39773464017389</v>
      </c>
      <c r="J108" s="360"/>
      <c r="K108" s="802">
        <f t="shared" si="39"/>
        <v>19181</v>
      </c>
      <c r="L108" s="759">
        <v>2</v>
      </c>
      <c r="M108" s="759">
        <f t="shared" si="50"/>
        <v>9590.5</v>
      </c>
      <c r="N108" s="671">
        <v>12177</v>
      </c>
      <c r="O108" s="671"/>
      <c r="P108" s="188" t="s">
        <v>409</v>
      </c>
      <c r="Q108" s="776">
        <v>40723</v>
      </c>
      <c r="R108" s="775"/>
      <c r="S108" s="301">
        <f>L108/2</f>
        <v>1</v>
      </c>
      <c r="T108" s="808">
        <v>16462</v>
      </c>
      <c r="U108" s="8">
        <f t="shared" si="51"/>
        <v>16462</v>
      </c>
      <c r="V108" s="451"/>
      <c r="W108" s="776"/>
      <c r="X108" s="806"/>
      <c r="Y108" s="806"/>
      <c r="Z108" s="8">
        <f t="shared" si="52"/>
        <v>0</v>
      </c>
    </row>
    <row r="109" spans="1:26">
      <c r="A109" s="758">
        <f t="shared" si="49"/>
        <v>92</v>
      </c>
      <c r="B109" s="293" t="s">
        <v>666</v>
      </c>
      <c r="C109" s="834">
        <f t="shared" si="38"/>
        <v>18390</v>
      </c>
      <c r="D109" s="759">
        <f t="shared" si="53"/>
        <v>953.05289653331295</v>
      </c>
      <c r="E109" s="759">
        <f t="shared" si="53"/>
        <v>237.59582014415926</v>
      </c>
      <c r="F109" s="759">
        <f t="shared" si="53"/>
        <v>1102.9327638152627</v>
      </c>
      <c r="G109" s="759">
        <f t="shared" si="53"/>
        <v>126.84031882841997</v>
      </c>
      <c r="H109" s="759">
        <f t="shared" si="53"/>
        <v>57.206056214484576</v>
      </c>
      <c r="I109" s="759">
        <f t="shared" si="53"/>
        <v>241.39773464017389</v>
      </c>
      <c r="J109" s="360"/>
      <c r="K109" s="802">
        <f t="shared" si="39"/>
        <v>21109</v>
      </c>
      <c r="L109" s="759">
        <v>2</v>
      </c>
      <c r="M109" s="759">
        <f t="shared" si="50"/>
        <v>10554.5</v>
      </c>
      <c r="N109" s="671">
        <v>12562</v>
      </c>
      <c r="O109" s="671"/>
      <c r="P109" s="188" t="s">
        <v>441</v>
      </c>
      <c r="Q109" s="776">
        <v>40723</v>
      </c>
      <c r="R109" s="775"/>
      <c r="S109" s="301">
        <f>L109/2</f>
        <v>1</v>
      </c>
      <c r="T109" s="808">
        <v>18390</v>
      </c>
      <c r="U109" s="8">
        <f t="shared" si="51"/>
        <v>18390</v>
      </c>
      <c r="V109" s="451"/>
      <c r="W109" s="776"/>
      <c r="X109" s="806"/>
      <c r="Y109" s="806"/>
      <c r="Z109" s="8">
        <f t="shared" si="52"/>
        <v>0</v>
      </c>
    </row>
    <row r="110" spans="1:26">
      <c r="A110" s="758">
        <f t="shared" si="49"/>
        <v>93</v>
      </c>
      <c r="B110" s="293" t="s">
        <v>666</v>
      </c>
      <c r="C110" s="834">
        <f t="shared" si="38"/>
        <v>334866</v>
      </c>
      <c r="D110" s="759">
        <f t="shared" si="53"/>
        <v>10007.055413599786</v>
      </c>
      <c r="E110" s="759">
        <f t="shared" si="53"/>
        <v>2494.7561115136723</v>
      </c>
      <c r="F110" s="759">
        <f t="shared" si="53"/>
        <v>11580.794020060257</v>
      </c>
      <c r="G110" s="759">
        <f t="shared" si="53"/>
        <v>1331.8233476984096</v>
      </c>
      <c r="H110" s="759">
        <f t="shared" si="53"/>
        <v>600.66359025208806</v>
      </c>
      <c r="I110" s="759">
        <f t="shared" si="53"/>
        <v>2534.6762137218257</v>
      </c>
      <c r="J110" s="360"/>
      <c r="K110" s="802">
        <f t="shared" si="39"/>
        <v>363416</v>
      </c>
      <c r="L110" s="759">
        <v>21</v>
      </c>
      <c r="M110" s="759">
        <f t="shared" si="50"/>
        <v>17305.523809523809</v>
      </c>
      <c r="N110" s="671">
        <v>17837</v>
      </c>
      <c r="O110" s="671"/>
      <c r="P110" s="40" t="s">
        <v>464</v>
      </c>
      <c r="Q110" s="776">
        <v>40723</v>
      </c>
      <c r="R110" s="775"/>
      <c r="S110" s="301">
        <f>L110</f>
        <v>21</v>
      </c>
      <c r="T110" s="808">
        <v>15946</v>
      </c>
      <c r="U110" s="8">
        <f t="shared" si="51"/>
        <v>334866</v>
      </c>
      <c r="V110" s="451"/>
      <c r="W110" s="776"/>
      <c r="X110" s="806"/>
      <c r="Y110" s="806"/>
      <c r="Z110" s="8">
        <f t="shared" si="52"/>
        <v>0</v>
      </c>
    </row>
    <row r="111" spans="1:26">
      <c r="A111" s="758">
        <f t="shared" si="49"/>
        <v>94</v>
      </c>
      <c r="B111" s="293" t="s">
        <v>667</v>
      </c>
      <c r="C111" s="834">
        <f t="shared" si="38"/>
        <v>526218</v>
      </c>
      <c r="D111" s="759">
        <f t="shared" si="53"/>
        <v>15725.372792799664</v>
      </c>
      <c r="E111" s="759">
        <f t="shared" si="53"/>
        <v>3920.3310323786277</v>
      </c>
      <c r="F111" s="759">
        <f t="shared" si="53"/>
        <v>18198.390602951833</v>
      </c>
      <c r="G111" s="759">
        <f t="shared" si="53"/>
        <v>2092.8652606689293</v>
      </c>
      <c r="H111" s="759">
        <f t="shared" si="53"/>
        <v>943.89992753899548</v>
      </c>
      <c r="I111" s="759">
        <f t="shared" si="53"/>
        <v>3983.062621562869</v>
      </c>
      <c r="J111" s="360"/>
      <c r="K111" s="802">
        <f t="shared" si="39"/>
        <v>571082</v>
      </c>
      <c r="L111" s="759">
        <v>33</v>
      </c>
      <c r="M111" s="759">
        <f t="shared" si="50"/>
        <v>17305.515151515152</v>
      </c>
      <c r="N111" s="671">
        <v>17008</v>
      </c>
      <c r="O111" s="671"/>
      <c r="P111" s="40" t="s">
        <v>464</v>
      </c>
      <c r="Q111" s="776">
        <v>40723</v>
      </c>
      <c r="R111" s="775"/>
      <c r="S111" s="301">
        <f>L111</f>
        <v>33</v>
      </c>
      <c r="T111" s="808">
        <v>15946</v>
      </c>
      <c r="U111" s="8">
        <f t="shared" si="51"/>
        <v>526218</v>
      </c>
      <c r="V111" s="451"/>
      <c r="W111" s="776"/>
      <c r="X111" s="806"/>
      <c r="Y111" s="806"/>
      <c r="Z111" s="8">
        <f t="shared" si="52"/>
        <v>0</v>
      </c>
    </row>
    <row r="112" spans="1:26">
      <c r="A112" s="758">
        <f t="shared" si="49"/>
        <v>95</v>
      </c>
      <c r="B112" s="293" t="s">
        <v>529</v>
      </c>
      <c r="C112" s="834">
        <f t="shared" si="38"/>
        <v>6580700</v>
      </c>
      <c r="D112" s="759">
        <f t="shared" si="53"/>
        <v>185845.31482399601</v>
      </c>
      <c r="E112" s="759">
        <f t="shared" si="53"/>
        <v>46331.184928111055</v>
      </c>
      <c r="F112" s="759">
        <f t="shared" si="53"/>
        <v>215071.88894397623</v>
      </c>
      <c r="G112" s="759">
        <f t="shared" si="53"/>
        <v>24733.862171541892</v>
      </c>
      <c r="H112" s="759">
        <f t="shared" si="53"/>
        <v>11155.180961824492</v>
      </c>
      <c r="I112" s="759">
        <f t="shared" si="53"/>
        <v>47072.558254833908</v>
      </c>
      <c r="J112" s="360"/>
      <c r="K112" s="802">
        <f t="shared" si="39"/>
        <v>7110910</v>
      </c>
      <c r="L112" s="759">
        <v>390</v>
      </c>
      <c r="M112" s="759">
        <f t="shared" si="50"/>
        <v>18233.102564102563</v>
      </c>
      <c r="N112" s="671">
        <v>19820</v>
      </c>
      <c r="O112" s="671"/>
      <c r="P112" s="40" t="s">
        <v>463</v>
      </c>
      <c r="Q112" s="776">
        <v>40723</v>
      </c>
      <c r="R112" s="775"/>
      <c r="S112" s="301">
        <v>395</v>
      </c>
      <c r="T112" s="808">
        <v>16660</v>
      </c>
      <c r="U112" s="8">
        <f t="shared" si="51"/>
        <v>6580700</v>
      </c>
      <c r="V112" s="451"/>
      <c r="W112" s="776"/>
      <c r="X112" s="806"/>
      <c r="Y112" s="806"/>
      <c r="Z112" s="8">
        <f t="shared" si="52"/>
        <v>0</v>
      </c>
    </row>
    <row r="113" spans="1:26">
      <c r="A113" s="758">
        <f>IF(B113&lt;&gt;"",A112+1,"")</f>
        <v>96</v>
      </c>
      <c r="B113" s="293" t="s">
        <v>533</v>
      </c>
      <c r="C113" s="834">
        <f t="shared" si="38"/>
        <v>3473774</v>
      </c>
      <c r="D113" s="759">
        <f t="shared" si="53"/>
        <v>229685.74806452842</v>
      </c>
      <c r="E113" s="759">
        <f t="shared" si="53"/>
        <v>57260.592654742381</v>
      </c>
      <c r="F113" s="759">
        <f t="shared" si="53"/>
        <v>265806.79607947828</v>
      </c>
      <c r="G113" s="759">
        <f t="shared" si="53"/>
        <v>30568.516837649211</v>
      </c>
      <c r="H113" s="759">
        <f t="shared" si="53"/>
        <v>13786.659547690782</v>
      </c>
      <c r="I113" s="759">
        <f t="shared" si="53"/>
        <v>58176.854048281908</v>
      </c>
      <c r="J113" s="360"/>
      <c r="K113" s="802">
        <f t="shared" si="39"/>
        <v>4129059</v>
      </c>
      <c r="L113" s="759">
        <v>482</v>
      </c>
      <c r="M113" s="759">
        <f t="shared" si="50"/>
        <v>8566.5124481327803</v>
      </c>
      <c r="N113" s="671">
        <v>10600</v>
      </c>
      <c r="O113" s="671"/>
      <c r="P113" s="188" t="s">
        <v>497</v>
      </c>
      <c r="Q113" s="776">
        <v>40723</v>
      </c>
      <c r="R113" s="775"/>
      <c r="S113" s="301">
        <f>L113</f>
        <v>482</v>
      </c>
      <c r="T113" s="808">
        <v>7207</v>
      </c>
      <c r="U113" s="8">
        <f t="shared" si="51"/>
        <v>3473774</v>
      </c>
      <c r="V113" s="451"/>
      <c r="W113" s="776"/>
      <c r="X113" s="806"/>
      <c r="Y113" s="806"/>
      <c r="Z113" s="8">
        <f t="shared" si="52"/>
        <v>0</v>
      </c>
    </row>
    <row r="114" spans="1:26">
      <c r="A114" s="813">
        <f t="shared" si="49"/>
        <v>97</v>
      </c>
      <c r="B114" s="294" t="s">
        <v>666</v>
      </c>
      <c r="C114" s="834">
        <f t="shared" si="38"/>
        <v>788424</v>
      </c>
      <c r="D114" s="537">
        <f t="shared" si="53"/>
        <v>26685.481102932761</v>
      </c>
      <c r="E114" s="537">
        <f t="shared" si="53"/>
        <v>6652.6829640364595</v>
      </c>
      <c r="F114" s="537">
        <f t="shared" si="53"/>
        <v>30882.117386827354</v>
      </c>
      <c r="G114" s="537">
        <f t="shared" si="53"/>
        <v>3551.528927195759</v>
      </c>
      <c r="H114" s="537">
        <f t="shared" si="53"/>
        <v>1601.7695740055681</v>
      </c>
      <c r="I114" s="537">
        <f t="shared" si="53"/>
        <v>6759.136569924869</v>
      </c>
      <c r="J114" s="537"/>
      <c r="K114" s="802">
        <f t="shared" si="39"/>
        <v>864557</v>
      </c>
      <c r="L114" s="537">
        <v>56</v>
      </c>
      <c r="M114" s="537">
        <f t="shared" si="50"/>
        <v>15438.517857142857</v>
      </c>
      <c r="N114" s="671">
        <v>16713</v>
      </c>
      <c r="O114" s="671"/>
      <c r="P114" s="293" t="s">
        <v>378</v>
      </c>
      <c r="Q114" s="776">
        <v>40723</v>
      </c>
      <c r="R114" s="775"/>
      <c r="S114" s="301">
        <f>L114</f>
        <v>56</v>
      </c>
      <c r="T114" s="808">
        <v>14079</v>
      </c>
      <c r="U114" s="8">
        <f t="shared" si="51"/>
        <v>788424</v>
      </c>
      <c r="V114" s="451"/>
      <c r="W114" s="776"/>
      <c r="X114" s="806"/>
      <c r="Y114" s="806"/>
      <c r="Z114" s="8">
        <f t="shared" si="52"/>
        <v>0</v>
      </c>
    </row>
    <row r="115" spans="1:26">
      <c r="A115" s="758">
        <f>IF(B115&lt;&gt;"",A114+1,"")</f>
        <v>98</v>
      </c>
      <c r="B115" s="293" t="s">
        <v>668</v>
      </c>
      <c r="C115" s="834">
        <f t="shared" si="38"/>
        <v>1223278</v>
      </c>
      <c r="D115" s="759">
        <f t="shared" si="53"/>
        <v>96734.868998131264</v>
      </c>
      <c r="E115" s="759">
        <f t="shared" si="53"/>
        <v>24115.975744632164</v>
      </c>
      <c r="F115" s="759">
        <f t="shared" si="53"/>
        <v>111947.67552724916</v>
      </c>
      <c r="G115" s="759">
        <f t="shared" si="53"/>
        <v>12874.292361084626</v>
      </c>
      <c r="H115" s="759">
        <f t="shared" si="53"/>
        <v>5806.4147057701848</v>
      </c>
      <c r="I115" s="759">
        <f t="shared" si="53"/>
        <v>24501.870065977651</v>
      </c>
      <c r="J115" s="360"/>
      <c r="K115" s="802">
        <f t="shared" si="39"/>
        <v>1499259</v>
      </c>
      <c r="L115" s="759">
        <v>203</v>
      </c>
      <c r="M115" s="759">
        <f t="shared" si="50"/>
        <v>7385.5123152709357</v>
      </c>
      <c r="N115" s="671">
        <v>8450</v>
      </c>
      <c r="O115" s="671"/>
      <c r="P115" s="293" t="s">
        <v>394</v>
      </c>
      <c r="Q115" s="776">
        <v>40723</v>
      </c>
      <c r="R115" s="775"/>
      <c r="S115" s="301">
        <f>L115</f>
        <v>203</v>
      </c>
      <c r="T115" s="808">
        <v>6026</v>
      </c>
      <c r="U115" s="8">
        <f t="shared" si="51"/>
        <v>1223278</v>
      </c>
      <c r="V115" s="451"/>
      <c r="W115" s="776"/>
      <c r="X115" s="806"/>
      <c r="Y115" s="806"/>
      <c r="Z115" s="8">
        <f t="shared" si="52"/>
        <v>0</v>
      </c>
    </row>
    <row r="116" spans="1:26">
      <c r="A116" s="758">
        <f t="shared" si="49"/>
        <v>99</v>
      </c>
      <c r="B116" s="293" t="s">
        <v>669</v>
      </c>
      <c r="C116" s="834">
        <f t="shared" si="38"/>
        <v>4449</v>
      </c>
      <c r="D116" s="759">
        <f t="shared" si="53"/>
        <v>476.52644826665647</v>
      </c>
      <c r="E116" s="759">
        <f t="shared" si="53"/>
        <v>118.79791007207963</v>
      </c>
      <c r="F116" s="759">
        <f t="shared" si="53"/>
        <v>551.46638190763133</v>
      </c>
      <c r="G116" s="759">
        <f t="shared" si="53"/>
        <v>63.420159414209984</v>
      </c>
      <c r="H116" s="759">
        <f t="shared" si="53"/>
        <v>28.603028107242288</v>
      </c>
      <c r="I116" s="759">
        <f t="shared" si="53"/>
        <v>120.69886732008695</v>
      </c>
      <c r="J116" s="360"/>
      <c r="K116" s="802">
        <f t="shared" si="39"/>
        <v>5809</v>
      </c>
      <c r="L116" s="759">
        <v>1</v>
      </c>
      <c r="M116" s="759">
        <f t="shared" si="50"/>
        <v>5809</v>
      </c>
      <c r="N116" s="671">
        <v>5778</v>
      </c>
      <c r="O116" s="671"/>
      <c r="P116" s="188" t="s">
        <v>382</v>
      </c>
      <c r="Q116" s="776">
        <v>40723</v>
      </c>
      <c r="R116" s="775"/>
      <c r="S116" s="301">
        <f>L116</f>
        <v>1</v>
      </c>
      <c r="T116" s="255">
        <v>4449</v>
      </c>
      <c r="U116" s="8">
        <f t="shared" si="51"/>
        <v>4449</v>
      </c>
      <c r="V116" s="451"/>
      <c r="W116" s="776"/>
      <c r="X116" s="806"/>
      <c r="Y116" s="806"/>
      <c r="Z116" s="8">
        <f t="shared" si="52"/>
        <v>0</v>
      </c>
    </row>
    <row r="117" spans="1:26">
      <c r="A117" s="758">
        <f t="shared" si="49"/>
        <v>100</v>
      </c>
      <c r="B117" s="293" t="s">
        <v>535</v>
      </c>
      <c r="C117" s="834">
        <f t="shared" si="38"/>
        <v>8231</v>
      </c>
      <c r="D117" s="759">
        <f t="shared" si="53"/>
        <v>476.52644826665647</v>
      </c>
      <c r="E117" s="759">
        <f t="shared" si="53"/>
        <v>118.79791007207963</v>
      </c>
      <c r="F117" s="759">
        <f t="shared" si="53"/>
        <v>551.46638190763133</v>
      </c>
      <c r="G117" s="759">
        <f t="shared" si="53"/>
        <v>63.420159414209984</v>
      </c>
      <c r="H117" s="759">
        <f t="shared" si="53"/>
        <v>28.603028107242288</v>
      </c>
      <c r="I117" s="759">
        <f t="shared" si="53"/>
        <v>120.69886732008695</v>
      </c>
      <c r="J117" s="360"/>
      <c r="K117" s="802">
        <f t="shared" si="39"/>
        <v>9591</v>
      </c>
      <c r="L117" s="759">
        <v>1</v>
      </c>
      <c r="M117" s="759">
        <f t="shared" si="50"/>
        <v>9591</v>
      </c>
      <c r="N117" s="671">
        <v>10255</v>
      </c>
      <c r="O117" s="671"/>
      <c r="P117" s="188" t="s">
        <v>409</v>
      </c>
      <c r="Q117" s="776">
        <v>40723</v>
      </c>
      <c r="R117" s="775"/>
      <c r="S117" s="301">
        <f>L117/2</f>
        <v>0.5</v>
      </c>
      <c r="T117" s="808">
        <v>16462</v>
      </c>
      <c r="U117" s="8">
        <f t="shared" si="51"/>
        <v>8231</v>
      </c>
      <c r="V117" s="451"/>
      <c r="W117" s="776"/>
      <c r="X117" s="806"/>
      <c r="Y117" s="806"/>
      <c r="Z117" s="8">
        <f t="shared" si="52"/>
        <v>0</v>
      </c>
    </row>
    <row r="118" spans="1:26">
      <c r="A118" s="758">
        <f t="shared" si="49"/>
        <v>101</v>
      </c>
      <c r="B118" s="293" t="s">
        <v>670</v>
      </c>
      <c r="C118" s="834">
        <f t="shared" si="38"/>
        <v>9184</v>
      </c>
      <c r="D118" s="759">
        <f t="shared" ref="D118:I127" si="54">IF($L$182&lt;&gt;0,D$182/$L$182*$L118,0)</f>
        <v>953.05289653331295</v>
      </c>
      <c r="E118" s="759">
        <f t="shared" si="54"/>
        <v>237.59582014415926</v>
      </c>
      <c r="F118" s="759">
        <f t="shared" si="54"/>
        <v>1102.9327638152627</v>
      </c>
      <c r="G118" s="759">
        <f t="shared" si="54"/>
        <v>126.84031882841997</v>
      </c>
      <c r="H118" s="759">
        <f t="shared" si="54"/>
        <v>57.206056214484576</v>
      </c>
      <c r="I118" s="759">
        <f t="shared" si="54"/>
        <v>241.39773464017389</v>
      </c>
      <c r="J118" s="360"/>
      <c r="K118" s="802">
        <f t="shared" si="39"/>
        <v>11903</v>
      </c>
      <c r="L118" s="759">
        <v>2</v>
      </c>
      <c r="M118" s="759">
        <f t="shared" si="50"/>
        <v>5951.5</v>
      </c>
      <c r="N118" s="671">
        <v>7089</v>
      </c>
      <c r="O118" s="671"/>
      <c r="P118" s="188" t="s">
        <v>393</v>
      </c>
      <c r="Q118" s="776">
        <v>40723</v>
      </c>
      <c r="R118" s="775"/>
      <c r="S118" s="301">
        <f>L118</f>
        <v>2</v>
      </c>
      <c r="T118" s="808">
        <v>4592</v>
      </c>
      <c r="U118" s="8">
        <f t="shared" si="51"/>
        <v>9184</v>
      </c>
      <c r="V118" s="451"/>
      <c r="W118" s="776"/>
      <c r="X118" s="806"/>
      <c r="Y118" s="806"/>
      <c r="Z118" s="8">
        <f t="shared" si="52"/>
        <v>0</v>
      </c>
    </row>
    <row r="119" spans="1:26">
      <c r="A119" s="758">
        <f t="shared" si="49"/>
        <v>102</v>
      </c>
      <c r="B119" s="293" t="s">
        <v>546</v>
      </c>
      <c r="C119" s="834">
        <f t="shared" si="38"/>
        <v>13447</v>
      </c>
      <c r="D119" s="759">
        <f t="shared" si="54"/>
        <v>476.52644826665647</v>
      </c>
      <c r="E119" s="759">
        <f t="shared" si="54"/>
        <v>118.79791007207963</v>
      </c>
      <c r="F119" s="759">
        <f t="shared" si="54"/>
        <v>551.46638190763133</v>
      </c>
      <c r="G119" s="759">
        <f t="shared" si="54"/>
        <v>63.420159414209984</v>
      </c>
      <c r="H119" s="759">
        <f t="shared" si="54"/>
        <v>28.603028107242288</v>
      </c>
      <c r="I119" s="759">
        <f t="shared" si="54"/>
        <v>120.69886732008695</v>
      </c>
      <c r="J119" s="360"/>
      <c r="K119" s="802">
        <f t="shared" si="39"/>
        <v>14807</v>
      </c>
      <c r="L119" s="759">
        <v>1</v>
      </c>
      <c r="M119" s="759">
        <f t="shared" si="50"/>
        <v>14807</v>
      </c>
      <c r="N119" s="671">
        <v>15135</v>
      </c>
      <c r="O119" s="671"/>
      <c r="P119" s="40" t="s">
        <v>467</v>
      </c>
      <c r="Q119" s="776">
        <v>40723</v>
      </c>
      <c r="R119" s="775"/>
      <c r="S119" s="301">
        <f>L119/2</f>
        <v>0.5</v>
      </c>
      <c r="T119" s="808">
        <v>26894</v>
      </c>
      <c r="U119" s="8">
        <f t="shared" si="51"/>
        <v>13447</v>
      </c>
      <c r="V119" s="451"/>
      <c r="W119" s="776"/>
      <c r="X119" s="806"/>
      <c r="Y119" s="806"/>
      <c r="Z119" s="8">
        <f t="shared" si="52"/>
        <v>0</v>
      </c>
    </row>
    <row r="120" spans="1:26">
      <c r="A120" s="758">
        <f t="shared" si="49"/>
        <v>103</v>
      </c>
      <c r="B120" s="293" t="s">
        <v>671</v>
      </c>
      <c r="C120" s="834">
        <f t="shared" si="38"/>
        <v>121023</v>
      </c>
      <c r="D120" s="759">
        <f t="shared" si="54"/>
        <v>4288.7380343999084</v>
      </c>
      <c r="E120" s="759">
        <f t="shared" si="54"/>
        <v>1069.1811906487167</v>
      </c>
      <c r="F120" s="759">
        <f t="shared" si="54"/>
        <v>4963.197437168682</v>
      </c>
      <c r="G120" s="759">
        <f t="shared" si="54"/>
        <v>570.78143472788986</v>
      </c>
      <c r="H120" s="759">
        <f t="shared" si="54"/>
        <v>257.42725296518057</v>
      </c>
      <c r="I120" s="759">
        <f t="shared" si="54"/>
        <v>1086.2898058807825</v>
      </c>
      <c r="J120" s="360"/>
      <c r="K120" s="802">
        <f t="shared" si="39"/>
        <v>133259</v>
      </c>
      <c r="L120" s="759">
        <v>9</v>
      </c>
      <c r="M120" s="759">
        <f t="shared" si="50"/>
        <v>14806.555555555555</v>
      </c>
      <c r="N120" s="671">
        <v>15056</v>
      </c>
      <c r="O120" s="671"/>
      <c r="P120" s="40" t="s">
        <v>467</v>
      </c>
      <c r="Q120" s="776">
        <v>40723</v>
      </c>
      <c r="R120" s="775"/>
      <c r="S120" s="301">
        <f>L120/2</f>
        <v>4.5</v>
      </c>
      <c r="T120" s="808">
        <v>26894</v>
      </c>
      <c r="U120" s="8">
        <f t="shared" si="51"/>
        <v>121023</v>
      </c>
      <c r="V120" s="451"/>
      <c r="W120" s="776"/>
      <c r="X120" s="806"/>
      <c r="Y120" s="806"/>
      <c r="Z120" s="8">
        <f t="shared" si="52"/>
        <v>0</v>
      </c>
    </row>
    <row r="121" spans="1:26">
      <c r="A121" s="758">
        <f t="shared" si="49"/>
        <v>104</v>
      </c>
      <c r="B121" s="293" t="s">
        <v>672</v>
      </c>
      <c r="C121" s="834">
        <f t="shared" si="38"/>
        <v>1782084</v>
      </c>
      <c r="D121" s="759">
        <f t="shared" si="54"/>
        <v>138669.19644559704</v>
      </c>
      <c r="E121" s="759">
        <f t="shared" si="54"/>
        <v>34570.191830975171</v>
      </c>
      <c r="F121" s="759">
        <f t="shared" si="54"/>
        <v>160476.71713512071</v>
      </c>
      <c r="G121" s="759">
        <f t="shared" si="54"/>
        <v>18455.266389535107</v>
      </c>
      <c r="H121" s="759">
        <f t="shared" si="54"/>
        <v>8323.4811792075052</v>
      </c>
      <c r="I121" s="759">
        <f t="shared" si="54"/>
        <v>35123.370390145305</v>
      </c>
      <c r="J121" s="360"/>
      <c r="K121" s="802">
        <f t="shared" si="39"/>
        <v>2177702</v>
      </c>
      <c r="L121" s="759">
        <v>291</v>
      </c>
      <c r="M121" s="759">
        <f t="shared" si="50"/>
        <v>7483.5120274914088</v>
      </c>
      <c r="N121" s="671">
        <v>9880</v>
      </c>
      <c r="O121" s="671"/>
      <c r="P121" s="188" t="s">
        <v>381</v>
      </c>
      <c r="Q121" s="776">
        <v>40723</v>
      </c>
      <c r="R121" s="775"/>
      <c r="S121" s="301">
        <f>L121</f>
        <v>291</v>
      </c>
      <c r="T121" s="808">
        <v>6124</v>
      </c>
      <c r="U121" s="8">
        <f t="shared" si="51"/>
        <v>1782084</v>
      </c>
      <c r="V121" s="451"/>
      <c r="W121" s="776"/>
      <c r="X121" s="806"/>
      <c r="Y121" s="806"/>
      <c r="Z121" s="8">
        <f t="shared" si="52"/>
        <v>0</v>
      </c>
    </row>
    <row r="122" spans="1:26">
      <c r="A122" s="758">
        <f t="shared" si="49"/>
        <v>105</v>
      </c>
      <c r="B122" s="293" t="s">
        <v>666</v>
      </c>
      <c r="C122" s="834">
        <f t="shared" si="38"/>
        <v>6124</v>
      </c>
      <c r="D122" s="759">
        <f t="shared" si="54"/>
        <v>476.52644826665647</v>
      </c>
      <c r="E122" s="759">
        <f t="shared" si="54"/>
        <v>118.79791007207963</v>
      </c>
      <c r="F122" s="759">
        <f t="shared" si="54"/>
        <v>551.46638190763133</v>
      </c>
      <c r="G122" s="759">
        <f t="shared" si="54"/>
        <v>63.420159414209984</v>
      </c>
      <c r="H122" s="759">
        <f t="shared" si="54"/>
        <v>28.603028107242288</v>
      </c>
      <c r="I122" s="759">
        <f t="shared" si="54"/>
        <v>120.69886732008695</v>
      </c>
      <c r="J122" s="360"/>
      <c r="K122" s="802">
        <f t="shared" si="39"/>
        <v>7484</v>
      </c>
      <c r="L122" s="759">
        <v>1</v>
      </c>
      <c r="M122" s="759">
        <f t="shared" si="50"/>
        <v>7484</v>
      </c>
      <c r="N122" s="671">
        <v>9259</v>
      </c>
      <c r="O122" s="671"/>
      <c r="P122" s="188" t="s">
        <v>381</v>
      </c>
      <c r="Q122" s="776">
        <v>40723</v>
      </c>
      <c r="R122" s="775"/>
      <c r="S122" s="301">
        <f>L122</f>
        <v>1</v>
      </c>
      <c r="T122" s="808">
        <v>6124</v>
      </c>
      <c r="U122" s="8">
        <f t="shared" si="51"/>
        <v>6124</v>
      </c>
      <c r="V122" s="451"/>
      <c r="W122" s="776"/>
      <c r="X122" s="806"/>
      <c r="Y122" s="806"/>
      <c r="Z122" s="8">
        <f t="shared" si="52"/>
        <v>0</v>
      </c>
    </row>
    <row r="123" spans="1:26">
      <c r="A123" s="758">
        <f t="shared" si="49"/>
        <v>106</v>
      </c>
      <c r="B123" s="293" t="s">
        <v>528</v>
      </c>
      <c r="C123" s="834">
        <f t="shared" si="38"/>
        <v>1913520</v>
      </c>
      <c r="D123" s="759">
        <f t="shared" si="54"/>
        <v>56706.647343732118</v>
      </c>
      <c r="E123" s="759">
        <f t="shared" si="54"/>
        <v>14136.951298577476</v>
      </c>
      <c r="F123" s="759">
        <f t="shared" si="54"/>
        <v>65624.499447008129</v>
      </c>
      <c r="G123" s="759">
        <f t="shared" si="54"/>
        <v>7546.9989702909879</v>
      </c>
      <c r="H123" s="759">
        <f t="shared" si="54"/>
        <v>3403.7603447618321</v>
      </c>
      <c r="I123" s="759">
        <f t="shared" si="54"/>
        <v>14363.165211090347</v>
      </c>
      <c r="J123" s="360"/>
      <c r="K123" s="802">
        <f t="shared" si="39"/>
        <v>2075302</v>
      </c>
      <c r="L123" s="759">
        <v>119</v>
      </c>
      <c r="M123" s="759">
        <f t="shared" si="50"/>
        <v>17439.512605042019</v>
      </c>
      <c r="N123" s="671">
        <v>17330</v>
      </c>
      <c r="O123" s="671"/>
      <c r="P123" s="40" t="s">
        <v>464</v>
      </c>
      <c r="Q123" s="776">
        <v>40723</v>
      </c>
      <c r="R123" s="775"/>
      <c r="S123" s="301">
        <v>120</v>
      </c>
      <c r="T123" s="808">
        <v>15946</v>
      </c>
      <c r="U123" s="8">
        <f t="shared" si="51"/>
        <v>1913520</v>
      </c>
      <c r="V123" s="451"/>
      <c r="W123" s="776"/>
      <c r="X123" s="806"/>
      <c r="Y123" s="806"/>
      <c r="Z123" s="8">
        <f t="shared" si="52"/>
        <v>0</v>
      </c>
    </row>
    <row r="124" spans="1:26">
      <c r="A124" s="758">
        <f t="shared" si="49"/>
        <v>107</v>
      </c>
      <c r="B124" s="293" t="s">
        <v>658</v>
      </c>
      <c r="C124" s="834">
        <f t="shared" si="38"/>
        <v>3400544</v>
      </c>
      <c r="D124" s="759">
        <f t="shared" si="54"/>
        <v>144864.04027306355</v>
      </c>
      <c r="E124" s="759">
        <f t="shared" si="54"/>
        <v>36114.564661912205</v>
      </c>
      <c r="F124" s="759">
        <f t="shared" si="54"/>
        <v>167645.78009991994</v>
      </c>
      <c r="G124" s="759">
        <f t="shared" si="54"/>
        <v>19279.728461919836</v>
      </c>
      <c r="H124" s="759">
        <f t="shared" si="54"/>
        <v>8695.3205446016564</v>
      </c>
      <c r="I124" s="759">
        <f t="shared" si="54"/>
        <v>36692.455665306436</v>
      </c>
      <c r="J124" s="360"/>
      <c r="K124" s="802">
        <f t="shared" si="39"/>
        <v>3813836</v>
      </c>
      <c r="L124" s="759">
        <v>304</v>
      </c>
      <c r="M124" s="759">
        <f t="shared" si="50"/>
        <v>12545.513157894737</v>
      </c>
      <c r="N124" s="671">
        <v>13172</v>
      </c>
      <c r="O124" s="671"/>
      <c r="P124" s="40" t="s">
        <v>439</v>
      </c>
      <c r="Q124" s="776">
        <v>40723</v>
      </c>
      <c r="R124" s="775"/>
      <c r="S124" s="301">
        <f>L124/2</f>
        <v>152</v>
      </c>
      <c r="T124" s="808">
        <v>22372</v>
      </c>
      <c r="U124" s="8">
        <f t="shared" si="51"/>
        <v>3400544</v>
      </c>
      <c r="V124" s="451"/>
      <c r="W124" s="776"/>
      <c r="X124" s="806"/>
      <c r="Y124" s="806"/>
      <c r="Z124" s="8">
        <f t="shared" si="52"/>
        <v>0</v>
      </c>
    </row>
    <row r="125" spans="1:26">
      <c r="A125" s="758">
        <f t="shared" si="49"/>
        <v>108</v>
      </c>
      <c r="B125" s="293" t="s">
        <v>657</v>
      </c>
      <c r="C125" s="834">
        <f t="shared" si="38"/>
        <v>464100</v>
      </c>
      <c r="D125" s="759">
        <f t="shared" si="54"/>
        <v>30974.219137332671</v>
      </c>
      <c r="E125" s="759">
        <f t="shared" si="54"/>
        <v>7721.8641546851759</v>
      </c>
      <c r="F125" s="759">
        <f t="shared" si="54"/>
        <v>35845.314823996036</v>
      </c>
      <c r="G125" s="759">
        <f t="shared" si="54"/>
        <v>4122.310361923649</v>
      </c>
      <c r="H125" s="759">
        <f t="shared" si="54"/>
        <v>1859.1968269707488</v>
      </c>
      <c r="I125" s="759">
        <f t="shared" si="54"/>
        <v>7845.4263758056513</v>
      </c>
      <c r="J125" s="360"/>
      <c r="K125" s="802">
        <f t="shared" si="39"/>
        <v>552468</v>
      </c>
      <c r="L125" s="759">
        <v>65</v>
      </c>
      <c r="M125" s="759">
        <f t="shared" si="50"/>
        <v>8499.5076923076922</v>
      </c>
      <c r="N125" s="671">
        <v>10433</v>
      </c>
      <c r="O125" s="671"/>
      <c r="P125" s="40" t="s">
        <v>471</v>
      </c>
      <c r="Q125" s="776">
        <v>40723</v>
      </c>
      <c r="R125" s="775"/>
      <c r="S125" s="301">
        <f>L125/2</f>
        <v>32.5</v>
      </c>
      <c r="T125" s="808">
        <v>14280</v>
      </c>
      <c r="U125" s="8">
        <f t="shared" si="51"/>
        <v>464100</v>
      </c>
      <c r="V125" s="451"/>
      <c r="W125" s="776"/>
      <c r="X125" s="806"/>
      <c r="Y125" s="806"/>
      <c r="Z125" s="8">
        <f t="shared" si="52"/>
        <v>0</v>
      </c>
    </row>
    <row r="126" spans="1:26">
      <c r="A126" s="758">
        <f t="shared" si="49"/>
        <v>109</v>
      </c>
      <c r="B126" s="293" t="s">
        <v>671</v>
      </c>
      <c r="C126" s="834">
        <f t="shared" si="38"/>
        <v>430304</v>
      </c>
      <c r="D126" s="759">
        <f t="shared" si="54"/>
        <v>15248.846344533007</v>
      </c>
      <c r="E126" s="759">
        <f t="shared" si="54"/>
        <v>3801.5331223065482</v>
      </c>
      <c r="F126" s="759">
        <f t="shared" si="54"/>
        <v>17646.924221044203</v>
      </c>
      <c r="G126" s="759">
        <f t="shared" si="54"/>
        <v>2029.4451012547195</v>
      </c>
      <c r="H126" s="759">
        <f t="shared" si="54"/>
        <v>915.29689943175322</v>
      </c>
      <c r="I126" s="759">
        <f t="shared" si="54"/>
        <v>3862.3637542427823</v>
      </c>
      <c r="J126" s="360"/>
      <c r="K126" s="802">
        <f t="shared" si="39"/>
        <v>473808</v>
      </c>
      <c r="L126" s="759">
        <v>32</v>
      </c>
      <c r="M126" s="759">
        <f t="shared" si="50"/>
        <v>14806.5</v>
      </c>
      <c r="N126" s="671">
        <v>15175</v>
      </c>
      <c r="O126" s="671"/>
      <c r="P126" s="40" t="s">
        <v>467</v>
      </c>
      <c r="Q126" s="776">
        <v>40723</v>
      </c>
      <c r="R126" s="775"/>
      <c r="S126" s="301">
        <f t="shared" ref="S126" si="55">L126/2</f>
        <v>16</v>
      </c>
      <c r="T126" s="808">
        <v>26894</v>
      </c>
      <c r="U126" s="8">
        <f t="shared" si="51"/>
        <v>430304</v>
      </c>
      <c r="V126" s="451"/>
      <c r="W126" s="776"/>
      <c r="X126" s="806"/>
      <c r="Y126" s="806"/>
      <c r="Z126" s="8">
        <f t="shared" si="52"/>
        <v>0</v>
      </c>
    </row>
    <row r="127" spans="1:26">
      <c r="A127" s="758">
        <f t="shared" si="49"/>
        <v>110</v>
      </c>
      <c r="B127" s="293" t="s">
        <v>537</v>
      </c>
      <c r="C127" s="834">
        <f t="shared" si="38"/>
        <v>71132</v>
      </c>
      <c r="D127" s="759">
        <f t="shared" si="54"/>
        <v>2382.6322413332823</v>
      </c>
      <c r="E127" s="759">
        <f t="shared" si="54"/>
        <v>593.9895503603982</v>
      </c>
      <c r="F127" s="759">
        <f t="shared" si="54"/>
        <v>2757.3319095381567</v>
      </c>
      <c r="G127" s="759">
        <f t="shared" si="54"/>
        <v>317.1007970710499</v>
      </c>
      <c r="H127" s="759">
        <f t="shared" si="54"/>
        <v>143.01514053621145</v>
      </c>
      <c r="I127" s="759">
        <f t="shared" si="54"/>
        <v>603.49433660043474</v>
      </c>
      <c r="J127" s="360"/>
      <c r="K127" s="802">
        <f t="shared" si="39"/>
        <v>77930</v>
      </c>
      <c r="L127" s="759">
        <v>5</v>
      </c>
      <c r="M127" s="759">
        <f t="shared" si="50"/>
        <v>15586</v>
      </c>
      <c r="N127" s="671">
        <v>15756</v>
      </c>
      <c r="O127" s="671"/>
      <c r="P127" s="188" t="s">
        <v>456</v>
      </c>
      <c r="Q127" s="776">
        <v>40723</v>
      </c>
      <c r="R127" s="775"/>
      <c r="S127" s="301">
        <v>2</v>
      </c>
      <c r="T127" s="808">
        <v>35566</v>
      </c>
      <c r="U127" s="8">
        <f t="shared" si="51"/>
        <v>71132</v>
      </c>
      <c r="V127" s="451"/>
      <c r="W127" s="776"/>
      <c r="X127" s="806"/>
      <c r="Y127" s="806"/>
      <c r="Z127" s="8">
        <f t="shared" si="52"/>
        <v>0</v>
      </c>
    </row>
    <row r="128" spans="1:26">
      <c r="A128" s="758">
        <f t="shared" si="49"/>
        <v>111</v>
      </c>
      <c r="B128" s="293" t="s">
        <v>665</v>
      </c>
      <c r="C128" s="834">
        <f t="shared" si="38"/>
        <v>960200</v>
      </c>
      <c r="D128" s="759">
        <f t="shared" ref="D128:I137" si="56">IF($L$182&lt;&gt;0,D$182/$L$182*$L128,0)</f>
        <v>38122.115861332517</v>
      </c>
      <c r="E128" s="759">
        <f t="shared" si="56"/>
        <v>9503.8328057663712</v>
      </c>
      <c r="F128" s="759">
        <f t="shared" si="56"/>
        <v>44117.310552610506</v>
      </c>
      <c r="G128" s="759">
        <f t="shared" si="56"/>
        <v>5073.6127531367983</v>
      </c>
      <c r="H128" s="759">
        <f t="shared" si="56"/>
        <v>2288.2422485793832</v>
      </c>
      <c r="I128" s="759">
        <f t="shared" si="56"/>
        <v>9655.9093856069558</v>
      </c>
      <c r="J128" s="360"/>
      <c r="K128" s="802">
        <f t="shared" si="39"/>
        <v>1068961</v>
      </c>
      <c r="L128" s="759">
        <v>80</v>
      </c>
      <c r="M128" s="759">
        <f t="shared" si="50"/>
        <v>13362.012500000001</v>
      </c>
      <c r="N128" s="671">
        <v>14563</v>
      </c>
      <c r="O128" s="671"/>
      <c r="P128" s="40" t="s">
        <v>440</v>
      </c>
      <c r="Q128" s="776">
        <v>40723</v>
      </c>
      <c r="R128" s="775"/>
      <c r="S128" s="301">
        <f>L128/2</f>
        <v>40</v>
      </c>
      <c r="T128" s="808">
        <v>24005</v>
      </c>
      <c r="U128" s="8">
        <f t="shared" si="51"/>
        <v>960200</v>
      </c>
      <c r="V128" s="451"/>
      <c r="W128" s="776"/>
      <c r="X128" s="806"/>
      <c r="Y128" s="806"/>
      <c r="Z128" s="8">
        <f t="shared" si="52"/>
        <v>0</v>
      </c>
    </row>
    <row r="129" spans="1:26">
      <c r="A129" s="758">
        <f t="shared" si="49"/>
        <v>112</v>
      </c>
      <c r="B129" s="293" t="s">
        <v>533</v>
      </c>
      <c r="C129" s="834">
        <f t="shared" si="38"/>
        <v>349860</v>
      </c>
      <c r="D129" s="759">
        <f t="shared" si="56"/>
        <v>23349.795965066169</v>
      </c>
      <c r="E129" s="759">
        <f t="shared" si="56"/>
        <v>5821.097593531902</v>
      </c>
      <c r="F129" s="759">
        <f t="shared" si="56"/>
        <v>27021.852713473934</v>
      </c>
      <c r="G129" s="759">
        <f t="shared" si="56"/>
        <v>3107.5878112962891</v>
      </c>
      <c r="H129" s="759">
        <f t="shared" si="56"/>
        <v>1401.5483772548721</v>
      </c>
      <c r="I129" s="759">
        <f t="shared" si="56"/>
        <v>5914.2444986842602</v>
      </c>
      <c r="J129" s="360"/>
      <c r="K129" s="802">
        <f t="shared" si="39"/>
        <v>416476</v>
      </c>
      <c r="L129" s="759">
        <v>49</v>
      </c>
      <c r="M129" s="759">
        <f t="shared" si="50"/>
        <v>8499.5102040816328</v>
      </c>
      <c r="N129" s="671">
        <v>10698</v>
      </c>
      <c r="O129" s="671"/>
      <c r="P129" s="40" t="s">
        <v>471</v>
      </c>
      <c r="Q129" s="776">
        <v>40723</v>
      </c>
      <c r="R129" s="775"/>
      <c r="S129" s="301">
        <f>L129/2</f>
        <v>24.5</v>
      </c>
      <c r="T129" s="808">
        <v>14280</v>
      </c>
      <c r="U129" s="8">
        <f t="shared" si="51"/>
        <v>349860</v>
      </c>
      <c r="V129" s="451"/>
      <c r="W129" s="776"/>
      <c r="X129" s="806"/>
      <c r="Y129" s="806"/>
      <c r="Z129" s="8">
        <f t="shared" si="52"/>
        <v>0</v>
      </c>
    </row>
    <row r="130" spans="1:26">
      <c r="A130" s="758">
        <f t="shared" si="49"/>
        <v>113</v>
      </c>
      <c r="B130" s="293" t="s">
        <v>545</v>
      </c>
      <c r="C130" s="834">
        <f t="shared" si="38"/>
        <v>9184</v>
      </c>
      <c r="D130" s="759">
        <f t="shared" si="56"/>
        <v>953.05289653331295</v>
      </c>
      <c r="E130" s="759">
        <f t="shared" si="56"/>
        <v>237.59582014415926</v>
      </c>
      <c r="F130" s="759">
        <f t="shared" si="56"/>
        <v>1102.9327638152627</v>
      </c>
      <c r="G130" s="759">
        <f t="shared" si="56"/>
        <v>126.84031882841997</v>
      </c>
      <c r="H130" s="759">
        <f t="shared" si="56"/>
        <v>57.206056214484576</v>
      </c>
      <c r="I130" s="759">
        <f t="shared" si="56"/>
        <v>241.39773464017389</v>
      </c>
      <c r="J130" s="360"/>
      <c r="K130" s="802">
        <f t="shared" si="39"/>
        <v>11903</v>
      </c>
      <c r="L130" s="759">
        <v>2</v>
      </c>
      <c r="M130" s="759">
        <f t="shared" si="50"/>
        <v>5951.5</v>
      </c>
      <c r="N130" s="671">
        <v>7435</v>
      </c>
      <c r="O130" s="671"/>
      <c r="P130" s="188" t="s">
        <v>393</v>
      </c>
      <c r="Q130" s="776">
        <v>40723</v>
      </c>
      <c r="R130" s="775"/>
      <c r="S130" s="301">
        <f>L130</f>
        <v>2</v>
      </c>
      <c r="T130" s="808">
        <v>4592</v>
      </c>
      <c r="U130" s="8">
        <f t="shared" si="51"/>
        <v>9184</v>
      </c>
      <c r="V130" s="451"/>
      <c r="W130" s="776"/>
      <c r="X130" s="806"/>
      <c r="Y130" s="806"/>
      <c r="Z130" s="8">
        <f t="shared" si="52"/>
        <v>0</v>
      </c>
    </row>
    <row r="131" spans="1:26">
      <c r="A131" s="758">
        <f t="shared" si="49"/>
        <v>114</v>
      </c>
      <c r="B131" s="293" t="s">
        <v>673</v>
      </c>
      <c r="C131" s="834">
        <f t="shared" si="38"/>
        <v>16462</v>
      </c>
      <c r="D131" s="759">
        <f t="shared" si="56"/>
        <v>953.05289653331295</v>
      </c>
      <c r="E131" s="759">
        <f t="shared" si="56"/>
        <v>237.59582014415926</v>
      </c>
      <c r="F131" s="759">
        <f t="shared" si="56"/>
        <v>1102.9327638152627</v>
      </c>
      <c r="G131" s="759">
        <f t="shared" si="56"/>
        <v>126.84031882841997</v>
      </c>
      <c r="H131" s="759">
        <f t="shared" si="56"/>
        <v>57.206056214484576</v>
      </c>
      <c r="I131" s="759">
        <f t="shared" si="56"/>
        <v>241.39773464017389</v>
      </c>
      <c r="J131" s="360"/>
      <c r="K131" s="802">
        <f t="shared" si="39"/>
        <v>19181</v>
      </c>
      <c r="L131" s="759">
        <v>2</v>
      </c>
      <c r="M131" s="759">
        <f t="shared" si="50"/>
        <v>9590.5</v>
      </c>
      <c r="N131" s="671">
        <v>10116</v>
      </c>
      <c r="O131" s="671"/>
      <c r="P131" s="188" t="s">
        <v>409</v>
      </c>
      <c r="Q131" s="776">
        <v>40723</v>
      </c>
      <c r="R131" s="775"/>
      <c r="S131" s="301">
        <f>L131/2</f>
        <v>1</v>
      </c>
      <c r="T131" s="808">
        <v>16462</v>
      </c>
      <c r="U131" s="8">
        <f t="shared" si="51"/>
        <v>16462</v>
      </c>
      <c r="V131" s="451"/>
      <c r="W131" s="776"/>
      <c r="X131" s="806"/>
      <c r="Y131" s="806"/>
      <c r="Z131" s="8">
        <f t="shared" si="52"/>
        <v>0</v>
      </c>
    </row>
    <row r="132" spans="1:26">
      <c r="A132" s="758">
        <f t="shared" si="49"/>
        <v>115</v>
      </c>
      <c r="B132" s="293" t="s">
        <v>672</v>
      </c>
      <c r="C132" s="834">
        <f t="shared" si="38"/>
        <v>30620</v>
      </c>
      <c r="D132" s="759">
        <f t="shared" si="56"/>
        <v>2382.6322413332823</v>
      </c>
      <c r="E132" s="759">
        <f t="shared" si="56"/>
        <v>593.9895503603982</v>
      </c>
      <c r="F132" s="759">
        <f t="shared" si="56"/>
        <v>2757.3319095381567</v>
      </c>
      <c r="G132" s="759">
        <f t="shared" si="56"/>
        <v>317.1007970710499</v>
      </c>
      <c r="H132" s="759">
        <f t="shared" si="56"/>
        <v>143.01514053621145</v>
      </c>
      <c r="I132" s="759">
        <f t="shared" si="56"/>
        <v>603.49433660043474</v>
      </c>
      <c r="J132" s="360"/>
      <c r="K132" s="802">
        <f t="shared" si="39"/>
        <v>37418</v>
      </c>
      <c r="L132" s="759">
        <v>5</v>
      </c>
      <c r="M132" s="759">
        <f t="shared" si="50"/>
        <v>7483.6</v>
      </c>
      <c r="N132" s="671">
        <v>9692</v>
      </c>
      <c r="O132" s="671"/>
      <c r="P132" s="188" t="s">
        <v>381</v>
      </c>
      <c r="Q132" s="776">
        <v>40723</v>
      </c>
      <c r="R132" s="775"/>
      <c r="S132" s="301">
        <f>L132</f>
        <v>5</v>
      </c>
      <c r="T132" s="808">
        <v>6124</v>
      </c>
      <c r="U132" s="8">
        <f t="shared" si="51"/>
        <v>30620</v>
      </c>
      <c r="V132" s="451"/>
      <c r="W132" s="776"/>
      <c r="X132" s="806"/>
      <c r="Y132" s="806"/>
      <c r="Z132" s="8">
        <f t="shared" si="52"/>
        <v>0</v>
      </c>
    </row>
    <row r="133" spans="1:26">
      <c r="A133" s="758">
        <f t="shared" si="49"/>
        <v>116</v>
      </c>
      <c r="B133" s="293" t="s">
        <v>542</v>
      </c>
      <c r="C133" s="834">
        <f t="shared" si="38"/>
        <v>8231</v>
      </c>
      <c r="D133" s="759">
        <f t="shared" si="56"/>
        <v>476.52644826665647</v>
      </c>
      <c r="E133" s="759">
        <f t="shared" si="56"/>
        <v>118.79791007207963</v>
      </c>
      <c r="F133" s="759">
        <f t="shared" si="56"/>
        <v>551.46638190763133</v>
      </c>
      <c r="G133" s="759">
        <f t="shared" si="56"/>
        <v>63.420159414209984</v>
      </c>
      <c r="H133" s="759">
        <f t="shared" si="56"/>
        <v>28.603028107242288</v>
      </c>
      <c r="I133" s="759">
        <f t="shared" si="56"/>
        <v>120.69886732008695</v>
      </c>
      <c r="J133" s="360"/>
      <c r="K133" s="802">
        <f t="shared" si="39"/>
        <v>9591</v>
      </c>
      <c r="L133" s="759">
        <v>1</v>
      </c>
      <c r="M133" s="759">
        <f t="shared" si="50"/>
        <v>9591</v>
      </c>
      <c r="N133" s="671">
        <v>12286</v>
      </c>
      <c r="O133" s="671"/>
      <c r="P133" s="188" t="s">
        <v>409</v>
      </c>
      <c r="Q133" s="776">
        <v>40723</v>
      </c>
      <c r="R133" s="775"/>
      <c r="S133" s="301">
        <f>L133/2</f>
        <v>0.5</v>
      </c>
      <c r="T133" s="808">
        <v>16462</v>
      </c>
      <c r="U133" s="8">
        <f t="shared" si="51"/>
        <v>8231</v>
      </c>
      <c r="V133" s="451"/>
      <c r="W133" s="776"/>
      <c r="X133" s="806"/>
      <c r="Y133" s="806"/>
      <c r="Z133" s="8">
        <f t="shared" si="52"/>
        <v>0</v>
      </c>
    </row>
    <row r="134" spans="1:26">
      <c r="A134" s="758">
        <f t="shared" si="49"/>
        <v>117</v>
      </c>
      <c r="B134" s="293" t="s">
        <v>544</v>
      </c>
      <c r="C134" s="834">
        <f t="shared" si="38"/>
        <v>4449</v>
      </c>
      <c r="D134" s="759">
        <f t="shared" si="56"/>
        <v>476.52644826665647</v>
      </c>
      <c r="E134" s="759">
        <f t="shared" si="56"/>
        <v>118.79791007207963</v>
      </c>
      <c r="F134" s="759">
        <f t="shared" si="56"/>
        <v>551.46638190763133</v>
      </c>
      <c r="G134" s="759">
        <f t="shared" si="56"/>
        <v>63.420159414209984</v>
      </c>
      <c r="H134" s="759">
        <f t="shared" si="56"/>
        <v>28.603028107242288</v>
      </c>
      <c r="I134" s="759">
        <f t="shared" si="56"/>
        <v>120.69886732008695</v>
      </c>
      <c r="J134" s="360"/>
      <c r="K134" s="802">
        <f t="shared" si="39"/>
        <v>5809</v>
      </c>
      <c r="L134" s="759">
        <v>1</v>
      </c>
      <c r="M134" s="759">
        <f t="shared" si="50"/>
        <v>5809</v>
      </c>
      <c r="N134" s="671">
        <v>5285</v>
      </c>
      <c r="O134" s="671"/>
      <c r="P134" s="188" t="s">
        <v>382</v>
      </c>
      <c r="Q134" s="776">
        <v>40723</v>
      </c>
      <c r="R134" s="775"/>
      <c r="S134" s="301">
        <f>L134</f>
        <v>1</v>
      </c>
      <c r="T134" s="255">
        <v>4449</v>
      </c>
      <c r="U134" s="8">
        <f t="shared" si="51"/>
        <v>4449</v>
      </c>
      <c r="V134" s="451"/>
      <c r="W134" s="776"/>
      <c r="X134" s="806"/>
      <c r="Y134" s="806"/>
      <c r="Z134" s="8">
        <f t="shared" si="52"/>
        <v>0</v>
      </c>
    </row>
    <row r="135" spans="1:26">
      <c r="A135" s="758">
        <f t="shared" si="49"/>
        <v>118</v>
      </c>
      <c r="B135" s="293" t="s">
        <v>540</v>
      </c>
      <c r="C135" s="834">
        <f t="shared" si="38"/>
        <v>42237</v>
      </c>
      <c r="D135" s="759">
        <f t="shared" si="56"/>
        <v>1429.5793447999695</v>
      </c>
      <c r="E135" s="759">
        <f t="shared" si="56"/>
        <v>356.39373021623891</v>
      </c>
      <c r="F135" s="759">
        <f t="shared" si="56"/>
        <v>1654.399145722894</v>
      </c>
      <c r="G135" s="759">
        <f t="shared" si="56"/>
        <v>190.26047824262994</v>
      </c>
      <c r="H135" s="759">
        <f t="shared" si="56"/>
        <v>85.809084321726857</v>
      </c>
      <c r="I135" s="759">
        <f t="shared" si="56"/>
        <v>362.09660196026084</v>
      </c>
      <c r="J135" s="360"/>
      <c r="K135" s="802">
        <f t="shared" si="39"/>
        <v>46316</v>
      </c>
      <c r="L135" s="759">
        <v>3</v>
      </c>
      <c r="M135" s="759">
        <f t="shared" si="50"/>
        <v>15438.666666666666</v>
      </c>
      <c r="N135" s="671">
        <v>16841</v>
      </c>
      <c r="O135" s="671"/>
      <c r="P135" s="293" t="s">
        <v>378</v>
      </c>
      <c r="Q135" s="776">
        <v>40723</v>
      </c>
      <c r="R135" s="775"/>
      <c r="S135" s="301">
        <f>L135</f>
        <v>3</v>
      </c>
      <c r="T135" s="808">
        <v>14079</v>
      </c>
      <c r="U135" s="8">
        <f t="shared" si="51"/>
        <v>42237</v>
      </c>
      <c r="V135" s="451"/>
      <c r="W135" s="776"/>
      <c r="X135" s="806"/>
      <c r="Y135" s="806"/>
      <c r="Z135" s="8">
        <f t="shared" si="52"/>
        <v>0</v>
      </c>
    </row>
    <row r="136" spans="1:26">
      <c r="A136" s="758">
        <f t="shared" si="49"/>
        <v>119</v>
      </c>
      <c r="B136" s="293" t="s">
        <v>534</v>
      </c>
      <c r="C136" s="834">
        <f t="shared" si="38"/>
        <v>16462</v>
      </c>
      <c r="D136" s="759">
        <f t="shared" si="56"/>
        <v>953.05289653331295</v>
      </c>
      <c r="E136" s="759">
        <f t="shared" si="56"/>
        <v>237.59582014415926</v>
      </c>
      <c r="F136" s="759">
        <f t="shared" si="56"/>
        <v>1102.9327638152627</v>
      </c>
      <c r="G136" s="759">
        <f t="shared" si="56"/>
        <v>126.84031882841997</v>
      </c>
      <c r="H136" s="759">
        <f t="shared" si="56"/>
        <v>57.206056214484576</v>
      </c>
      <c r="I136" s="759">
        <f t="shared" si="56"/>
        <v>241.39773464017389</v>
      </c>
      <c r="J136" s="360"/>
      <c r="K136" s="802">
        <f t="shared" si="39"/>
        <v>19181</v>
      </c>
      <c r="L136" s="759">
        <v>2</v>
      </c>
      <c r="M136" s="759">
        <f t="shared" si="50"/>
        <v>9590.5</v>
      </c>
      <c r="N136" s="671">
        <v>11428</v>
      </c>
      <c r="O136" s="671"/>
      <c r="P136" s="188" t="s">
        <v>409</v>
      </c>
      <c r="Q136" s="776">
        <v>40723</v>
      </c>
      <c r="R136" s="775"/>
      <c r="S136" s="301">
        <f>L136/2</f>
        <v>1</v>
      </c>
      <c r="T136" s="808">
        <v>16462</v>
      </c>
      <c r="U136" s="8">
        <f t="shared" si="51"/>
        <v>16462</v>
      </c>
      <c r="V136" s="451"/>
      <c r="W136" s="776"/>
      <c r="X136" s="806"/>
      <c r="Y136" s="806"/>
      <c r="Z136" s="8">
        <f t="shared" si="52"/>
        <v>0</v>
      </c>
    </row>
    <row r="137" spans="1:26">
      <c r="A137" s="758">
        <f t="shared" si="49"/>
        <v>120</v>
      </c>
      <c r="B137" s="293" t="s">
        <v>668</v>
      </c>
      <c r="C137" s="834">
        <f t="shared" si="38"/>
        <v>48208</v>
      </c>
      <c r="D137" s="759">
        <f t="shared" si="56"/>
        <v>3812.2115861332518</v>
      </c>
      <c r="E137" s="759">
        <f t="shared" si="56"/>
        <v>950.38328057663705</v>
      </c>
      <c r="F137" s="759">
        <f t="shared" si="56"/>
        <v>4411.7310552610506</v>
      </c>
      <c r="G137" s="759">
        <f t="shared" si="56"/>
        <v>507.36127531367987</v>
      </c>
      <c r="H137" s="759">
        <f t="shared" si="56"/>
        <v>228.8242248579383</v>
      </c>
      <c r="I137" s="759">
        <f t="shared" si="56"/>
        <v>965.59093856069558</v>
      </c>
      <c r="J137" s="360"/>
      <c r="K137" s="802">
        <f t="shared" si="39"/>
        <v>59084</v>
      </c>
      <c r="L137" s="759">
        <v>8</v>
      </c>
      <c r="M137" s="759">
        <f t="shared" si="50"/>
        <v>7385.5</v>
      </c>
      <c r="N137" s="671">
        <v>8549</v>
      </c>
      <c r="O137" s="671"/>
      <c r="P137" s="293" t="s">
        <v>394</v>
      </c>
      <c r="Q137" s="776">
        <v>40723</v>
      </c>
      <c r="R137" s="775"/>
      <c r="S137" s="301">
        <f>L137</f>
        <v>8</v>
      </c>
      <c r="T137" s="808">
        <v>6026</v>
      </c>
      <c r="U137" s="8">
        <f t="shared" si="51"/>
        <v>48208</v>
      </c>
      <c r="V137" s="451"/>
      <c r="W137" s="776"/>
      <c r="X137" s="806"/>
      <c r="Y137" s="806"/>
      <c r="Z137" s="8">
        <f t="shared" si="52"/>
        <v>0</v>
      </c>
    </row>
    <row r="138" spans="1:26">
      <c r="A138" s="758">
        <f t="shared" si="49"/>
        <v>121</v>
      </c>
      <c r="B138" s="293" t="s">
        <v>532</v>
      </c>
      <c r="C138" s="834">
        <f t="shared" si="38"/>
        <v>6124</v>
      </c>
      <c r="D138" s="759">
        <f t="shared" ref="D138:I147" si="57">IF($L$182&lt;&gt;0,D$182/$L$182*$L138,0)</f>
        <v>476.52644826665647</v>
      </c>
      <c r="E138" s="759">
        <f t="shared" si="57"/>
        <v>118.79791007207963</v>
      </c>
      <c r="F138" s="759">
        <f t="shared" si="57"/>
        <v>551.46638190763133</v>
      </c>
      <c r="G138" s="759">
        <f t="shared" si="57"/>
        <v>63.420159414209984</v>
      </c>
      <c r="H138" s="759">
        <f t="shared" si="57"/>
        <v>28.603028107242288</v>
      </c>
      <c r="I138" s="759">
        <f t="shared" si="57"/>
        <v>120.69886732008695</v>
      </c>
      <c r="J138" s="360"/>
      <c r="K138" s="802">
        <f t="shared" si="39"/>
        <v>7484</v>
      </c>
      <c r="L138" s="759">
        <v>1</v>
      </c>
      <c r="M138" s="759">
        <f t="shared" si="50"/>
        <v>7484</v>
      </c>
      <c r="N138" s="671">
        <v>9357</v>
      </c>
      <c r="O138" s="671"/>
      <c r="P138" s="188" t="s">
        <v>381</v>
      </c>
      <c r="Q138" s="776">
        <v>40723</v>
      </c>
      <c r="R138" s="775"/>
      <c r="S138" s="301">
        <f>L138</f>
        <v>1</v>
      </c>
      <c r="T138" s="808">
        <v>6124</v>
      </c>
      <c r="U138" s="8">
        <f t="shared" si="51"/>
        <v>6124</v>
      </c>
      <c r="V138" s="451"/>
      <c r="W138" s="776"/>
      <c r="X138" s="806"/>
      <c r="Y138" s="806"/>
      <c r="Z138" s="8">
        <f t="shared" si="52"/>
        <v>0</v>
      </c>
    </row>
    <row r="139" spans="1:26">
      <c r="A139" s="758">
        <f t="shared" si="49"/>
        <v>122</v>
      </c>
      <c r="B139" s="293" t="s">
        <v>535</v>
      </c>
      <c r="C139" s="834">
        <f t="shared" si="38"/>
        <v>8231</v>
      </c>
      <c r="D139" s="759">
        <f t="shared" si="57"/>
        <v>476.52644826665647</v>
      </c>
      <c r="E139" s="759">
        <f t="shared" si="57"/>
        <v>118.79791007207963</v>
      </c>
      <c r="F139" s="759">
        <f t="shared" si="57"/>
        <v>551.46638190763133</v>
      </c>
      <c r="G139" s="759">
        <f t="shared" si="57"/>
        <v>63.420159414209984</v>
      </c>
      <c r="H139" s="759">
        <f t="shared" si="57"/>
        <v>28.603028107242288</v>
      </c>
      <c r="I139" s="759">
        <f t="shared" si="57"/>
        <v>120.69886732008695</v>
      </c>
      <c r="J139" s="360"/>
      <c r="K139" s="802">
        <f t="shared" si="39"/>
        <v>9591</v>
      </c>
      <c r="L139" s="759">
        <v>1</v>
      </c>
      <c r="M139" s="759">
        <f t="shared" si="50"/>
        <v>9591</v>
      </c>
      <c r="N139" s="671">
        <v>10343</v>
      </c>
      <c r="O139" s="671"/>
      <c r="P139" s="188" t="s">
        <v>409</v>
      </c>
      <c r="Q139" s="776">
        <v>40723</v>
      </c>
      <c r="R139" s="775"/>
      <c r="S139" s="301">
        <f>L139/2</f>
        <v>0.5</v>
      </c>
      <c r="T139" s="808">
        <v>16462</v>
      </c>
      <c r="U139" s="8">
        <f t="shared" si="51"/>
        <v>8231</v>
      </c>
      <c r="V139" s="451"/>
      <c r="W139" s="776"/>
      <c r="X139" s="806"/>
      <c r="Y139" s="806"/>
      <c r="Z139" s="8">
        <f t="shared" si="52"/>
        <v>0</v>
      </c>
    </row>
    <row r="140" spans="1:26">
      <c r="A140" s="758">
        <f t="shared" si="49"/>
        <v>123</v>
      </c>
      <c r="B140" s="293" t="s">
        <v>536</v>
      </c>
      <c r="C140" s="834">
        <f t="shared" si="38"/>
        <v>36780</v>
      </c>
      <c r="D140" s="759">
        <f t="shared" si="57"/>
        <v>1906.1057930666259</v>
      </c>
      <c r="E140" s="759">
        <f t="shared" si="57"/>
        <v>475.19164028831852</v>
      </c>
      <c r="F140" s="759">
        <f t="shared" si="57"/>
        <v>2205.8655276305253</v>
      </c>
      <c r="G140" s="759">
        <f t="shared" si="57"/>
        <v>253.68063765683993</v>
      </c>
      <c r="H140" s="759">
        <f t="shared" si="57"/>
        <v>114.41211242896915</v>
      </c>
      <c r="I140" s="759">
        <f t="shared" si="57"/>
        <v>482.79546928034779</v>
      </c>
      <c r="J140" s="360"/>
      <c r="K140" s="802">
        <f t="shared" si="39"/>
        <v>42218</v>
      </c>
      <c r="L140" s="759">
        <v>4</v>
      </c>
      <c r="M140" s="759">
        <f t="shared" si="50"/>
        <v>10554.5</v>
      </c>
      <c r="N140" s="671">
        <v>12670</v>
      </c>
      <c r="O140" s="671"/>
      <c r="P140" s="188" t="s">
        <v>441</v>
      </c>
      <c r="Q140" s="776">
        <v>40723</v>
      </c>
      <c r="R140" s="775"/>
      <c r="S140" s="301">
        <f>L140/2</f>
        <v>2</v>
      </c>
      <c r="T140" s="808">
        <v>18390</v>
      </c>
      <c r="U140" s="8">
        <f t="shared" si="51"/>
        <v>36780</v>
      </c>
      <c r="V140" s="451"/>
      <c r="W140" s="776"/>
      <c r="X140" s="806"/>
      <c r="Y140" s="806"/>
      <c r="Z140" s="8">
        <f t="shared" si="52"/>
        <v>0</v>
      </c>
    </row>
    <row r="141" spans="1:26">
      <c r="A141" s="758">
        <f t="shared" si="49"/>
        <v>124</v>
      </c>
      <c r="B141" s="293" t="s">
        <v>541</v>
      </c>
      <c r="C141" s="834">
        <f t="shared" si="38"/>
        <v>8231</v>
      </c>
      <c r="D141" s="759">
        <f t="shared" si="57"/>
        <v>476.52644826665647</v>
      </c>
      <c r="E141" s="759">
        <f t="shared" si="57"/>
        <v>118.79791007207963</v>
      </c>
      <c r="F141" s="759">
        <f t="shared" si="57"/>
        <v>551.46638190763133</v>
      </c>
      <c r="G141" s="759">
        <f t="shared" si="57"/>
        <v>63.420159414209984</v>
      </c>
      <c r="H141" s="759">
        <f t="shared" si="57"/>
        <v>28.603028107242288</v>
      </c>
      <c r="I141" s="759">
        <f t="shared" si="57"/>
        <v>120.69886732008695</v>
      </c>
      <c r="J141" s="360"/>
      <c r="K141" s="802">
        <f t="shared" si="39"/>
        <v>9591</v>
      </c>
      <c r="L141" s="759">
        <v>1</v>
      </c>
      <c r="M141" s="759">
        <f t="shared" si="50"/>
        <v>9591</v>
      </c>
      <c r="N141" s="671">
        <v>12305</v>
      </c>
      <c r="O141" s="671"/>
      <c r="P141" s="188" t="s">
        <v>409</v>
      </c>
      <c r="Q141" s="776">
        <v>40723</v>
      </c>
      <c r="R141" s="775"/>
      <c r="S141" s="301">
        <f>L141/2</f>
        <v>0.5</v>
      </c>
      <c r="T141" s="808">
        <v>16462</v>
      </c>
      <c r="U141" s="8">
        <f t="shared" si="51"/>
        <v>8231</v>
      </c>
      <c r="V141" s="451"/>
      <c r="W141" s="776"/>
      <c r="X141" s="806"/>
      <c r="Y141" s="806"/>
      <c r="Z141" s="8">
        <f t="shared" si="52"/>
        <v>0</v>
      </c>
    </row>
    <row r="142" spans="1:26">
      <c r="A142" s="758">
        <f t="shared" si="49"/>
        <v>125</v>
      </c>
      <c r="B142" s="293" t="s">
        <v>675</v>
      </c>
      <c r="C142" s="834">
        <f t="shared" si="38"/>
        <v>8898</v>
      </c>
      <c r="D142" s="759">
        <f t="shared" si="57"/>
        <v>953.05289653331295</v>
      </c>
      <c r="E142" s="759">
        <f t="shared" si="57"/>
        <v>237.59582014415926</v>
      </c>
      <c r="F142" s="759">
        <f t="shared" si="57"/>
        <v>1102.9327638152627</v>
      </c>
      <c r="G142" s="759">
        <f t="shared" si="57"/>
        <v>126.84031882841997</v>
      </c>
      <c r="H142" s="759">
        <f t="shared" si="57"/>
        <v>57.206056214484576</v>
      </c>
      <c r="I142" s="759">
        <f t="shared" si="57"/>
        <v>241.39773464017389</v>
      </c>
      <c r="J142" s="360"/>
      <c r="K142" s="802">
        <f t="shared" si="39"/>
        <v>11617</v>
      </c>
      <c r="L142" s="759">
        <v>2</v>
      </c>
      <c r="M142" s="759">
        <f t="shared" si="50"/>
        <v>5808.5</v>
      </c>
      <c r="N142" s="671">
        <v>6113</v>
      </c>
      <c r="O142" s="671"/>
      <c r="P142" s="188" t="s">
        <v>382</v>
      </c>
      <c r="Q142" s="776">
        <v>40723</v>
      </c>
      <c r="R142" s="775"/>
      <c r="S142" s="301">
        <f>L142</f>
        <v>2</v>
      </c>
      <c r="T142" s="255">
        <v>4449</v>
      </c>
      <c r="U142" s="8">
        <f t="shared" si="51"/>
        <v>8898</v>
      </c>
      <c r="V142" s="451"/>
      <c r="W142" s="776"/>
      <c r="X142" s="806"/>
      <c r="Y142" s="806"/>
      <c r="Z142" s="8">
        <f t="shared" si="52"/>
        <v>0</v>
      </c>
    </row>
    <row r="143" spans="1:26">
      <c r="A143" s="758">
        <f t="shared" si="49"/>
        <v>126</v>
      </c>
      <c r="B143" s="293" t="s">
        <v>676</v>
      </c>
      <c r="C143" s="834">
        <f t="shared" si="38"/>
        <v>18390</v>
      </c>
      <c r="D143" s="759">
        <f t="shared" si="57"/>
        <v>953.05289653331295</v>
      </c>
      <c r="E143" s="759">
        <f t="shared" si="57"/>
        <v>237.59582014415926</v>
      </c>
      <c r="F143" s="759">
        <f t="shared" si="57"/>
        <v>1102.9327638152627</v>
      </c>
      <c r="G143" s="759">
        <f t="shared" si="57"/>
        <v>126.84031882841997</v>
      </c>
      <c r="H143" s="759">
        <f t="shared" si="57"/>
        <v>57.206056214484576</v>
      </c>
      <c r="I143" s="759">
        <f t="shared" si="57"/>
        <v>241.39773464017389</v>
      </c>
      <c r="J143" s="360"/>
      <c r="K143" s="802">
        <f t="shared" si="39"/>
        <v>21109</v>
      </c>
      <c r="L143" s="759">
        <v>2</v>
      </c>
      <c r="M143" s="759">
        <f t="shared" si="50"/>
        <v>10554.5</v>
      </c>
      <c r="N143" s="671">
        <v>12824</v>
      </c>
      <c r="O143" s="671"/>
      <c r="P143" s="188" t="s">
        <v>441</v>
      </c>
      <c r="Q143" s="776">
        <v>40723</v>
      </c>
      <c r="R143" s="775"/>
      <c r="S143" s="301">
        <f>L143/2</f>
        <v>1</v>
      </c>
      <c r="T143" s="808">
        <v>18390</v>
      </c>
      <c r="U143" s="8">
        <f t="shared" si="51"/>
        <v>18390</v>
      </c>
      <c r="V143" s="451"/>
      <c r="W143" s="776"/>
      <c r="X143" s="806"/>
      <c r="Y143" s="806"/>
      <c r="Z143" s="8">
        <f t="shared" si="52"/>
        <v>0</v>
      </c>
    </row>
    <row r="144" spans="1:26">
      <c r="A144" s="758">
        <f t="shared" si="49"/>
        <v>127</v>
      </c>
      <c r="B144" s="293" t="s">
        <v>531</v>
      </c>
      <c r="C144" s="834">
        <f t="shared" si="38"/>
        <v>444092.5</v>
      </c>
      <c r="D144" s="759">
        <f t="shared" si="57"/>
        <v>17631.478585866291</v>
      </c>
      <c r="E144" s="759">
        <f t="shared" si="57"/>
        <v>4395.5226726669462</v>
      </c>
      <c r="F144" s="759">
        <f t="shared" si="57"/>
        <v>20404.256130582358</v>
      </c>
      <c r="G144" s="759">
        <f t="shared" si="57"/>
        <v>2346.5458983257695</v>
      </c>
      <c r="H144" s="759">
        <f t="shared" si="57"/>
        <v>1058.3120399679647</v>
      </c>
      <c r="I144" s="759">
        <f t="shared" si="57"/>
        <v>4465.8580908432168</v>
      </c>
      <c r="J144" s="360"/>
      <c r="K144" s="802">
        <f t="shared" si="39"/>
        <v>494394</v>
      </c>
      <c r="L144" s="759">
        <v>37</v>
      </c>
      <c r="M144" s="759">
        <f t="shared" si="50"/>
        <v>13362</v>
      </c>
      <c r="N144" s="671">
        <v>14591</v>
      </c>
      <c r="O144" s="671"/>
      <c r="P144" s="40" t="s">
        <v>440</v>
      </c>
      <c r="Q144" s="776">
        <v>40723</v>
      </c>
      <c r="R144" s="775"/>
      <c r="S144" s="301">
        <f>L144/2</f>
        <v>18.5</v>
      </c>
      <c r="T144" s="808">
        <v>24005</v>
      </c>
      <c r="U144" s="8">
        <f t="shared" si="51"/>
        <v>444092.5</v>
      </c>
      <c r="V144" s="451"/>
      <c r="W144" s="776"/>
      <c r="X144" s="806"/>
      <c r="Y144" s="806"/>
      <c r="Z144" s="8">
        <f t="shared" si="52"/>
        <v>0</v>
      </c>
    </row>
    <row r="145" spans="1:26">
      <c r="A145" s="813">
        <f t="shared" si="49"/>
        <v>128</v>
      </c>
      <c r="B145" s="294" t="s">
        <v>677</v>
      </c>
      <c r="C145" s="834">
        <f t="shared" si="38"/>
        <v>7177495</v>
      </c>
      <c r="D145" s="537">
        <f t="shared" si="57"/>
        <v>427444.22409519088</v>
      </c>
      <c r="E145" s="537">
        <f t="shared" si="57"/>
        <v>106561.72533465544</v>
      </c>
      <c r="F145" s="537">
        <f t="shared" si="57"/>
        <v>494665.34457114531</v>
      </c>
      <c r="G145" s="537">
        <f t="shared" si="57"/>
        <v>56887.882994546359</v>
      </c>
      <c r="H145" s="537">
        <f t="shared" si="57"/>
        <v>25656.916212196331</v>
      </c>
      <c r="I145" s="537">
        <f t="shared" si="57"/>
        <v>108266.88398611799</v>
      </c>
      <c r="J145" s="537"/>
      <c r="K145" s="802">
        <f t="shared" si="39"/>
        <v>8396978</v>
      </c>
      <c r="L145" s="537">
        <v>897</v>
      </c>
      <c r="M145" s="537">
        <f t="shared" si="50"/>
        <v>9361.1794871794864</v>
      </c>
      <c r="N145" s="671">
        <v>11877</v>
      </c>
      <c r="O145" s="671"/>
      <c r="P145" s="40" t="s">
        <v>440</v>
      </c>
      <c r="Q145" s="776">
        <v>40723</v>
      </c>
      <c r="R145" s="775"/>
      <c r="S145" s="301">
        <f>L145/3</f>
        <v>299</v>
      </c>
      <c r="T145" s="808">
        <v>24005</v>
      </c>
      <c r="U145" s="8">
        <f t="shared" si="51"/>
        <v>7177495</v>
      </c>
      <c r="V145" s="451"/>
      <c r="W145" s="776"/>
      <c r="X145" s="806"/>
      <c r="Y145" s="806"/>
      <c r="Z145" s="8">
        <f t="shared" si="52"/>
        <v>0</v>
      </c>
    </row>
    <row r="146" spans="1:26">
      <c r="A146" s="758">
        <f>IF(B146&lt;&gt;"",A145+1,"")</f>
        <v>129</v>
      </c>
      <c r="B146" s="293" t="s">
        <v>674</v>
      </c>
      <c r="C146" s="834">
        <f t="shared" si="38"/>
        <v>1067760</v>
      </c>
      <c r="D146" s="759">
        <f t="shared" si="57"/>
        <v>436974.753060524</v>
      </c>
      <c r="E146" s="759">
        <f t="shared" si="57"/>
        <v>108937.68353609701</v>
      </c>
      <c r="F146" s="759">
        <f t="shared" si="57"/>
        <v>505694.67220929795</v>
      </c>
      <c r="G146" s="759">
        <f t="shared" si="57"/>
        <v>58156.286182830554</v>
      </c>
      <c r="H146" s="759">
        <f t="shared" si="57"/>
        <v>26228.976774341179</v>
      </c>
      <c r="I146" s="759">
        <f t="shared" si="57"/>
        <v>110680.86133251974</v>
      </c>
      <c r="J146" s="360"/>
      <c r="K146" s="802">
        <f t="shared" si="39"/>
        <v>2314433</v>
      </c>
      <c r="L146" s="759">
        <v>917</v>
      </c>
      <c r="M146" s="759">
        <f t="shared" si="50"/>
        <v>2523.9182115594331</v>
      </c>
      <c r="N146" s="671">
        <v>2866</v>
      </c>
      <c r="O146" s="671"/>
      <c r="P146" s="188" t="s">
        <v>382</v>
      </c>
      <c r="Q146" s="776">
        <v>40723</v>
      </c>
      <c r="R146" s="775"/>
      <c r="S146" s="301">
        <v>240</v>
      </c>
      <c r="T146" s="255">
        <v>4449</v>
      </c>
      <c r="U146" s="8">
        <f t="shared" si="51"/>
        <v>1067760</v>
      </c>
      <c r="V146" s="451"/>
      <c r="W146" s="776"/>
      <c r="X146" s="806"/>
      <c r="Y146" s="806"/>
      <c r="Z146" s="8">
        <f t="shared" si="52"/>
        <v>0</v>
      </c>
    </row>
    <row r="147" spans="1:26">
      <c r="A147" s="758">
        <f t="shared" si="49"/>
        <v>130</v>
      </c>
      <c r="B147" s="293" t="s">
        <v>678</v>
      </c>
      <c r="C147" s="834">
        <f t="shared" ref="C147:C171" si="58">U147</f>
        <v>1018394</v>
      </c>
      <c r="D147" s="759">
        <f t="shared" si="57"/>
        <v>80532.969757064944</v>
      </c>
      <c r="E147" s="759">
        <f t="shared" si="57"/>
        <v>20076.846802181459</v>
      </c>
      <c r="F147" s="759">
        <f t="shared" si="57"/>
        <v>93197.818542389694</v>
      </c>
      <c r="G147" s="759">
        <f t="shared" si="57"/>
        <v>10718.006941001488</v>
      </c>
      <c r="H147" s="759">
        <f t="shared" si="57"/>
        <v>4833.9117501239471</v>
      </c>
      <c r="I147" s="759">
        <f t="shared" si="57"/>
        <v>20398.108577094696</v>
      </c>
      <c r="J147" s="360"/>
      <c r="K147" s="802">
        <f t="shared" ref="K147:K180" si="59">ROUND(SUM(C147:I147),0)</f>
        <v>1248152</v>
      </c>
      <c r="L147" s="759">
        <v>169</v>
      </c>
      <c r="M147" s="759">
        <f t="shared" si="50"/>
        <v>7385.5147928994083</v>
      </c>
      <c r="N147" s="671">
        <v>8678</v>
      </c>
      <c r="O147" s="671"/>
      <c r="P147" s="293" t="s">
        <v>394</v>
      </c>
      <c r="Q147" s="776">
        <v>40723</v>
      </c>
      <c r="R147" s="775"/>
      <c r="S147" s="301">
        <f>L147</f>
        <v>169</v>
      </c>
      <c r="T147" s="808">
        <v>6026</v>
      </c>
      <c r="U147" s="8">
        <f t="shared" si="51"/>
        <v>1018394</v>
      </c>
      <c r="V147" s="451"/>
      <c r="W147" s="776"/>
      <c r="X147" s="806"/>
      <c r="Y147" s="806"/>
      <c r="Z147" s="8">
        <f t="shared" si="52"/>
        <v>0</v>
      </c>
    </row>
    <row r="148" spans="1:26">
      <c r="A148" s="758">
        <f t="shared" ref="A148:A180" si="60">IF(B148&lt;&gt;"",A147+1,"")</f>
        <v>131</v>
      </c>
      <c r="B148" s="293" t="s">
        <v>674</v>
      </c>
      <c r="C148" s="834">
        <f t="shared" si="58"/>
        <v>189082.5</v>
      </c>
      <c r="D148" s="759">
        <f t="shared" ref="D148:I157" si="61">IF($L$182&lt;&gt;0,D$182/$L$182*$L148,0)</f>
        <v>81009.496205331598</v>
      </c>
      <c r="E148" s="759">
        <f t="shared" si="61"/>
        <v>20195.644712253536</v>
      </c>
      <c r="F148" s="759">
        <f t="shared" si="61"/>
        <v>93749.284924297332</v>
      </c>
      <c r="G148" s="759">
        <f t="shared" si="61"/>
        <v>10781.427100415698</v>
      </c>
      <c r="H148" s="759">
        <f t="shared" si="61"/>
        <v>4862.5147782311888</v>
      </c>
      <c r="I148" s="759">
        <f t="shared" si="61"/>
        <v>20518.807444414782</v>
      </c>
      <c r="J148" s="360"/>
      <c r="K148" s="802">
        <f t="shared" si="59"/>
        <v>420200</v>
      </c>
      <c r="L148" s="759">
        <v>170</v>
      </c>
      <c r="M148" s="759">
        <f t="shared" si="50"/>
        <v>2471.7647058823532</v>
      </c>
      <c r="N148" s="671">
        <v>2457</v>
      </c>
      <c r="O148" s="671"/>
      <c r="P148" s="188" t="s">
        <v>382</v>
      </c>
      <c r="Q148" s="776">
        <v>40723</v>
      </c>
      <c r="R148" s="775"/>
      <c r="S148" s="301">
        <f>L148/4</f>
        <v>42.5</v>
      </c>
      <c r="T148" s="255">
        <v>4449</v>
      </c>
      <c r="U148" s="8">
        <f t="shared" si="51"/>
        <v>189082.5</v>
      </c>
      <c r="V148" s="451"/>
      <c r="W148" s="776"/>
      <c r="X148" s="806"/>
      <c r="Y148" s="806"/>
      <c r="Z148" s="8">
        <f t="shared" si="52"/>
        <v>0</v>
      </c>
    </row>
    <row r="149" spans="1:26" ht="13.5" customHeight="1">
      <c r="A149" s="813">
        <f t="shared" si="60"/>
        <v>132</v>
      </c>
      <c r="B149" s="294" t="s">
        <v>529</v>
      </c>
      <c r="C149" s="834">
        <f t="shared" si="58"/>
        <v>7702734</v>
      </c>
      <c r="D149" s="537">
        <f t="shared" si="61"/>
        <v>210624.69013386217</v>
      </c>
      <c r="E149" s="537">
        <f t="shared" si="61"/>
        <v>52508.6762518592</v>
      </c>
      <c r="F149" s="537">
        <f t="shared" si="61"/>
        <v>243748.14080317304</v>
      </c>
      <c r="G149" s="537">
        <f t="shared" si="61"/>
        <v>28031.710461080813</v>
      </c>
      <c r="H149" s="537">
        <f t="shared" si="61"/>
        <v>12642.538423401091</v>
      </c>
      <c r="I149" s="537">
        <f t="shared" si="61"/>
        <v>53348.899355478432</v>
      </c>
      <c r="J149" s="537"/>
      <c r="K149" s="802">
        <f t="shared" si="59"/>
        <v>8303639</v>
      </c>
      <c r="L149" s="537">
        <v>442</v>
      </c>
      <c r="M149" s="537">
        <f t="shared" si="50"/>
        <v>18786.513574660632</v>
      </c>
      <c r="N149" s="671">
        <v>19814</v>
      </c>
      <c r="O149" s="671"/>
      <c r="P149" s="188" t="s">
        <v>403</v>
      </c>
      <c r="Q149" s="776">
        <v>40723</v>
      </c>
      <c r="R149" s="775"/>
      <c r="S149" s="301">
        <v>442</v>
      </c>
      <c r="T149" s="808">
        <v>17427</v>
      </c>
      <c r="U149" s="8">
        <f t="shared" si="51"/>
        <v>7702734</v>
      </c>
      <c r="V149" s="451"/>
      <c r="W149" s="776"/>
      <c r="X149" s="806"/>
      <c r="Y149" s="806"/>
      <c r="Z149" s="8">
        <f t="shared" si="52"/>
        <v>0</v>
      </c>
    </row>
    <row r="150" spans="1:26">
      <c r="A150" s="758">
        <f>IF(B150&lt;&gt;"",A149+1,"")</f>
        <v>133</v>
      </c>
      <c r="B150" s="293" t="s">
        <v>679</v>
      </c>
      <c r="C150" s="834">
        <f t="shared" si="58"/>
        <v>564480</v>
      </c>
      <c r="D150" s="759">
        <f t="shared" si="61"/>
        <v>17154.952137599634</v>
      </c>
      <c r="E150" s="759">
        <f t="shared" si="61"/>
        <v>4276.7247625948667</v>
      </c>
      <c r="F150" s="759">
        <f t="shared" si="61"/>
        <v>19852.789748674728</v>
      </c>
      <c r="G150" s="759">
        <f t="shared" si="61"/>
        <v>2283.1257389115594</v>
      </c>
      <c r="H150" s="759">
        <f t="shared" si="61"/>
        <v>1029.7090118607223</v>
      </c>
      <c r="I150" s="759">
        <f t="shared" si="61"/>
        <v>4345.1592235231301</v>
      </c>
      <c r="J150" s="360"/>
      <c r="K150" s="802">
        <f t="shared" si="59"/>
        <v>613422</v>
      </c>
      <c r="L150" s="759">
        <v>36</v>
      </c>
      <c r="M150" s="759">
        <f t="shared" si="50"/>
        <v>17039.5</v>
      </c>
      <c r="N150" s="671">
        <v>18185</v>
      </c>
      <c r="O150" s="671"/>
      <c r="P150" s="188" t="s">
        <v>480</v>
      </c>
      <c r="Q150" s="776">
        <v>40723</v>
      </c>
      <c r="R150" s="775"/>
      <c r="S150" s="301">
        <v>18</v>
      </c>
      <c r="T150" s="808">
        <v>31360</v>
      </c>
      <c r="U150" s="8">
        <f t="shared" si="51"/>
        <v>564480</v>
      </c>
      <c r="V150" s="451"/>
      <c r="W150" s="776"/>
      <c r="X150" s="806"/>
      <c r="Y150" s="806"/>
      <c r="Z150" s="8">
        <f t="shared" si="52"/>
        <v>0</v>
      </c>
    </row>
    <row r="151" spans="1:26">
      <c r="A151" s="758">
        <f t="shared" si="60"/>
        <v>134</v>
      </c>
      <c r="B151" s="293" t="s">
        <v>674</v>
      </c>
      <c r="C151" s="834">
        <f t="shared" si="58"/>
        <v>100102.5</v>
      </c>
      <c r="D151" s="759">
        <f t="shared" si="61"/>
        <v>42887.380343999081</v>
      </c>
      <c r="E151" s="759">
        <f t="shared" si="61"/>
        <v>10691.811906487166</v>
      </c>
      <c r="F151" s="759">
        <f t="shared" si="61"/>
        <v>49631.974371686818</v>
      </c>
      <c r="G151" s="759">
        <f t="shared" si="61"/>
        <v>5707.8143472788988</v>
      </c>
      <c r="H151" s="759">
        <f t="shared" si="61"/>
        <v>2574.2725296518061</v>
      </c>
      <c r="I151" s="759">
        <f t="shared" si="61"/>
        <v>10862.898058807825</v>
      </c>
      <c r="J151" s="360"/>
      <c r="K151" s="802">
        <f t="shared" si="59"/>
        <v>222459</v>
      </c>
      <c r="L151" s="759">
        <v>90</v>
      </c>
      <c r="M151" s="759">
        <f t="shared" si="50"/>
        <v>2471.7666666666669</v>
      </c>
      <c r="N151" s="671">
        <v>2734</v>
      </c>
      <c r="O151" s="671"/>
      <c r="P151" s="188" t="s">
        <v>382</v>
      </c>
      <c r="Q151" s="776">
        <v>40723</v>
      </c>
      <c r="R151" s="775"/>
      <c r="S151" s="301">
        <f t="shared" ref="S151:S152" si="62">L151/4</f>
        <v>22.5</v>
      </c>
      <c r="T151" s="255">
        <v>4449</v>
      </c>
      <c r="U151" s="8">
        <f t="shared" si="51"/>
        <v>100102.5</v>
      </c>
      <c r="V151" s="451"/>
      <c r="W151" s="776"/>
      <c r="X151" s="806"/>
      <c r="Y151" s="806"/>
      <c r="Z151" s="8">
        <f t="shared" si="52"/>
        <v>0</v>
      </c>
    </row>
    <row r="152" spans="1:26">
      <c r="A152" s="758">
        <f t="shared" si="60"/>
        <v>135</v>
      </c>
      <c r="B152" s="293" t="s">
        <v>674</v>
      </c>
      <c r="C152" s="834">
        <f t="shared" si="58"/>
        <v>182409</v>
      </c>
      <c r="D152" s="759">
        <f t="shared" si="61"/>
        <v>78150.337515731662</v>
      </c>
      <c r="E152" s="759">
        <f t="shared" si="61"/>
        <v>19482.85725182106</v>
      </c>
      <c r="F152" s="759">
        <f t="shared" si="61"/>
        <v>90440.486632851535</v>
      </c>
      <c r="G152" s="759">
        <f t="shared" si="61"/>
        <v>10400.906143930437</v>
      </c>
      <c r="H152" s="759">
        <f t="shared" si="61"/>
        <v>4690.8966095877349</v>
      </c>
      <c r="I152" s="759">
        <f t="shared" si="61"/>
        <v>19794.614240494258</v>
      </c>
      <c r="J152" s="360"/>
      <c r="K152" s="802">
        <f t="shared" si="59"/>
        <v>405369</v>
      </c>
      <c r="L152" s="759">
        <v>164</v>
      </c>
      <c r="M152" s="759">
        <f t="shared" si="50"/>
        <v>2471.7621951219512</v>
      </c>
      <c r="N152" s="671">
        <v>3065</v>
      </c>
      <c r="O152" s="671"/>
      <c r="P152" s="188" t="s">
        <v>382</v>
      </c>
      <c r="Q152" s="776">
        <v>40723</v>
      </c>
      <c r="R152" s="775"/>
      <c r="S152" s="301">
        <f t="shared" si="62"/>
        <v>41</v>
      </c>
      <c r="T152" s="255">
        <v>4449</v>
      </c>
      <c r="U152" s="8">
        <f t="shared" si="51"/>
        <v>182409</v>
      </c>
      <c r="V152" s="451"/>
      <c r="W152" s="776"/>
      <c r="X152" s="806"/>
      <c r="Y152" s="806"/>
      <c r="Z152" s="8">
        <f t="shared" si="52"/>
        <v>0</v>
      </c>
    </row>
    <row r="153" spans="1:26">
      <c r="A153" s="813">
        <f t="shared" si="60"/>
        <v>136</v>
      </c>
      <c r="B153" s="294" t="s">
        <v>530</v>
      </c>
      <c r="C153" s="834">
        <f t="shared" si="58"/>
        <v>10916625</v>
      </c>
      <c r="D153" s="537">
        <f t="shared" si="61"/>
        <v>304500.4004423935</v>
      </c>
      <c r="E153" s="537">
        <f t="shared" si="61"/>
        <v>75911.864536058885</v>
      </c>
      <c r="F153" s="537">
        <f t="shared" si="61"/>
        <v>352387.01803897641</v>
      </c>
      <c r="G153" s="537">
        <f t="shared" si="61"/>
        <v>40525.48186568018</v>
      </c>
      <c r="H153" s="537">
        <f t="shared" si="61"/>
        <v>18277.334960527824</v>
      </c>
      <c r="I153" s="537">
        <f t="shared" si="61"/>
        <v>77126.576217535563</v>
      </c>
      <c r="J153" s="537"/>
      <c r="K153" s="802">
        <f t="shared" si="59"/>
        <v>11785354</v>
      </c>
      <c r="L153" s="537">
        <v>639</v>
      </c>
      <c r="M153" s="537">
        <f t="shared" si="50"/>
        <v>18443.433489827858</v>
      </c>
      <c r="N153" s="671">
        <v>19248</v>
      </c>
      <c r="O153" s="671"/>
      <c r="P153" s="188" t="s">
        <v>402</v>
      </c>
      <c r="Q153" s="776">
        <v>40723</v>
      </c>
      <c r="R153" s="775"/>
      <c r="S153" s="301">
        <v>645</v>
      </c>
      <c r="T153" s="808">
        <v>16925</v>
      </c>
      <c r="U153" s="8">
        <f t="shared" si="51"/>
        <v>10916625</v>
      </c>
      <c r="V153" s="451"/>
      <c r="W153" s="776"/>
      <c r="X153" s="806"/>
      <c r="Y153" s="806"/>
      <c r="Z153" s="8">
        <f t="shared" si="52"/>
        <v>0</v>
      </c>
    </row>
    <row r="154" spans="1:26">
      <c r="A154" s="758">
        <f>IF(B154&lt;&gt;"",A153+1,"")</f>
        <v>137</v>
      </c>
      <c r="B154" s="293" t="s">
        <v>674</v>
      </c>
      <c r="C154" s="834">
        <f t="shared" si="58"/>
        <v>934290</v>
      </c>
      <c r="D154" s="759">
        <f t="shared" si="61"/>
        <v>100070.55413599785</v>
      </c>
      <c r="E154" s="759">
        <f t="shared" si="61"/>
        <v>24947.561115136723</v>
      </c>
      <c r="F154" s="759">
        <f t="shared" si="61"/>
        <v>115807.94020060258</v>
      </c>
      <c r="G154" s="759">
        <f t="shared" si="61"/>
        <v>13318.233476984096</v>
      </c>
      <c r="H154" s="759">
        <f t="shared" si="61"/>
        <v>6006.6359025208803</v>
      </c>
      <c r="I154" s="759">
        <f t="shared" si="61"/>
        <v>25346.762137218258</v>
      </c>
      <c r="J154" s="360"/>
      <c r="K154" s="802">
        <f t="shared" si="59"/>
        <v>1219788</v>
      </c>
      <c r="L154" s="759">
        <v>210</v>
      </c>
      <c r="M154" s="759">
        <f t="shared" si="50"/>
        <v>5808.5142857142855</v>
      </c>
      <c r="N154" s="671">
        <v>6577</v>
      </c>
      <c r="O154" s="671"/>
      <c r="P154" s="188" t="s">
        <v>382</v>
      </c>
      <c r="Q154" s="776">
        <v>40723</v>
      </c>
      <c r="R154" s="775"/>
      <c r="S154" s="301">
        <f>L154</f>
        <v>210</v>
      </c>
      <c r="T154" s="255">
        <v>4449</v>
      </c>
      <c r="U154" s="8">
        <f t="shared" si="51"/>
        <v>934290</v>
      </c>
      <c r="V154" s="451"/>
      <c r="W154" s="776"/>
      <c r="X154" s="806"/>
      <c r="Y154" s="806"/>
      <c r="Z154" s="8">
        <f t="shared" si="52"/>
        <v>0</v>
      </c>
    </row>
    <row r="155" spans="1:26">
      <c r="A155" s="758">
        <f t="shared" si="60"/>
        <v>138</v>
      </c>
      <c r="B155" s="293" t="s">
        <v>674</v>
      </c>
      <c r="C155" s="834">
        <f t="shared" si="58"/>
        <v>938739</v>
      </c>
      <c r="D155" s="759">
        <f t="shared" si="61"/>
        <v>201094.16116852904</v>
      </c>
      <c r="E155" s="759">
        <f t="shared" si="61"/>
        <v>50132.718050417607</v>
      </c>
      <c r="F155" s="759">
        <f t="shared" si="61"/>
        <v>232718.81316502043</v>
      </c>
      <c r="G155" s="759">
        <f t="shared" si="61"/>
        <v>26763.307272796614</v>
      </c>
      <c r="H155" s="759">
        <f t="shared" si="61"/>
        <v>12070.477861256246</v>
      </c>
      <c r="I155" s="759">
        <f t="shared" si="61"/>
        <v>50934.92200907669</v>
      </c>
      <c r="J155" s="360"/>
      <c r="K155" s="802">
        <f t="shared" si="59"/>
        <v>1512453</v>
      </c>
      <c r="L155" s="759">
        <v>422</v>
      </c>
      <c r="M155" s="759">
        <f t="shared" si="50"/>
        <v>3584.0118483412321</v>
      </c>
      <c r="N155" s="671">
        <v>4705</v>
      </c>
      <c r="O155" s="671"/>
      <c r="P155" s="188" t="s">
        <v>382</v>
      </c>
      <c r="Q155" s="776">
        <v>40723</v>
      </c>
      <c r="R155" s="775"/>
      <c r="S155" s="301">
        <f>L155/2</f>
        <v>211</v>
      </c>
      <c r="T155" s="255">
        <v>4449</v>
      </c>
      <c r="U155" s="8">
        <f t="shared" si="51"/>
        <v>938739</v>
      </c>
      <c r="V155" s="451"/>
      <c r="W155" s="776"/>
      <c r="X155" s="806"/>
      <c r="Y155" s="806"/>
      <c r="Z155" s="8">
        <f t="shared" si="52"/>
        <v>0</v>
      </c>
    </row>
    <row r="156" spans="1:26">
      <c r="A156" s="758">
        <f t="shared" si="60"/>
        <v>139</v>
      </c>
      <c r="B156" s="293" t="s">
        <v>528</v>
      </c>
      <c r="C156" s="834">
        <f t="shared" si="58"/>
        <v>3348660</v>
      </c>
      <c r="D156" s="759">
        <f t="shared" si="61"/>
        <v>99594.027687731199</v>
      </c>
      <c r="E156" s="759">
        <f t="shared" si="61"/>
        <v>24828.763205064643</v>
      </c>
      <c r="F156" s="759">
        <f t="shared" si="61"/>
        <v>115256.47381869495</v>
      </c>
      <c r="G156" s="759">
        <f t="shared" si="61"/>
        <v>13254.813317569886</v>
      </c>
      <c r="H156" s="759">
        <f t="shared" si="61"/>
        <v>5978.0328744136386</v>
      </c>
      <c r="I156" s="759">
        <f t="shared" si="61"/>
        <v>25226.063269898172</v>
      </c>
      <c r="J156" s="360"/>
      <c r="K156" s="802">
        <f t="shared" si="59"/>
        <v>3632798</v>
      </c>
      <c r="L156" s="759">
        <v>209</v>
      </c>
      <c r="M156" s="759">
        <f t="shared" si="50"/>
        <v>17381.808612440193</v>
      </c>
      <c r="N156" s="671">
        <v>17330</v>
      </c>
      <c r="O156" s="671"/>
      <c r="P156" s="40" t="s">
        <v>464</v>
      </c>
      <c r="Q156" s="776">
        <v>40723</v>
      </c>
      <c r="R156" s="775"/>
      <c r="S156" s="301">
        <v>210</v>
      </c>
      <c r="T156" s="808">
        <v>15946</v>
      </c>
      <c r="U156" s="8">
        <f t="shared" si="51"/>
        <v>3348660</v>
      </c>
      <c r="V156" s="451"/>
      <c r="W156" s="776"/>
      <c r="X156" s="806"/>
      <c r="Y156" s="806"/>
      <c r="Z156" s="8">
        <f t="shared" si="52"/>
        <v>0</v>
      </c>
    </row>
    <row r="157" spans="1:26">
      <c r="A157" s="758">
        <f t="shared" si="60"/>
        <v>140</v>
      </c>
      <c r="B157" s="293" t="s">
        <v>680</v>
      </c>
      <c r="C157" s="834">
        <f t="shared" si="58"/>
        <v>892976</v>
      </c>
      <c r="D157" s="759">
        <f t="shared" si="61"/>
        <v>26208.954654666108</v>
      </c>
      <c r="E157" s="759">
        <f t="shared" si="61"/>
        <v>6533.8850539643799</v>
      </c>
      <c r="F157" s="759">
        <f t="shared" si="61"/>
        <v>30330.651004919724</v>
      </c>
      <c r="G157" s="759">
        <f t="shared" si="61"/>
        <v>3488.108767781549</v>
      </c>
      <c r="H157" s="759">
        <f t="shared" si="61"/>
        <v>1573.1665458983259</v>
      </c>
      <c r="I157" s="759">
        <f t="shared" si="61"/>
        <v>6638.4377026047823</v>
      </c>
      <c r="J157" s="360"/>
      <c r="K157" s="802">
        <f t="shared" si="59"/>
        <v>967749</v>
      </c>
      <c r="L157" s="759">
        <v>55</v>
      </c>
      <c r="M157" s="759">
        <f t="shared" si="50"/>
        <v>17595.436363636363</v>
      </c>
      <c r="N157" s="671">
        <v>17203</v>
      </c>
      <c r="O157" s="671"/>
      <c r="P157" s="40" t="s">
        <v>464</v>
      </c>
      <c r="Q157" s="776">
        <v>40723</v>
      </c>
      <c r="R157" s="775"/>
      <c r="S157" s="301">
        <v>56</v>
      </c>
      <c r="T157" s="808">
        <v>15946</v>
      </c>
      <c r="U157" s="8">
        <f t="shared" si="51"/>
        <v>892976</v>
      </c>
      <c r="V157" s="451"/>
      <c r="W157" s="776"/>
      <c r="X157" s="806"/>
      <c r="Y157" s="806"/>
      <c r="Z157" s="8">
        <f t="shared" si="52"/>
        <v>0</v>
      </c>
    </row>
    <row r="158" spans="1:26">
      <c r="A158" s="758">
        <f t="shared" si="60"/>
        <v>141</v>
      </c>
      <c r="B158" s="293" t="s">
        <v>681</v>
      </c>
      <c r="C158" s="834">
        <f t="shared" si="58"/>
        <v>480100</v>
      </c>
      <c r="D158" s="759">
        <f t="shared" ref="D158:I167" si="63">IF($L$182&lt;&gt;0,D$182/$L$182*$L158,0)</f>
        <v>19061.057930666258</v>
      </c>
      <c r="E158" s="759">
        <f t="shared" si="63"/>
        <v>4751.9164028831856</v>
      </c>
      <c r="F158" s="759">
        <f t="shared" si="63"/>
        <v>22058.655276305253</v>
      </c>
      <c r="G158" s="759">
        <f t="shared" si="63"/>
        <v>2536.8063765683992</v>
      </c>
      <c r="H158" s="759">
        <f t="shared" si="63"/>
        <v>1144.1211242896916</v>
      </c>
      <c r="I158" s="759">
        <f t="shared" si="63"/>
        <v>4827.9546928034779</v>
      </c>
      <c r="J158" s="360"/>
      <c r="K158" s="802">
        <f t="shared" si="59"/>
        <v>534481</v>
      </c>
      <c r="L158" s="759">
        <v>40</v>
      </c>
      <c r="M158" s="759">
        <f t="shared" si="50"/>
        <v>13362.025</v>
      </c>
      <c r="N158" s="671">
        <v>14435</v>
      </c>
      <c r="O158" s="671"/>
      <c r="P158" s="40" t="s">
        <v>440</v>
      </c>
      <c r="Q158" s="776">
        <v>40723</v>
      </c>
      <c r="R158" s="775"/>
      <c r="S158" s="301">
        <f>L158/2</f>
        <v>20</v>
      </c>
      <c r="T158" s="808">
        <v>24005</v>
      </c>
      <c r="U158" s="8">
        <f t="shared" si="51"/>
        <v>480100</v>
      </c>
      <c r="V158" s="451"/>
      <c r="W158" s="776"/>
      <c r="X158" s="806"/>
      <c r="Y158" s="806"/>
      <c r="Z158" s="8">
        <f t="shared" si="52"/>
        <v>0</v>
      </c>
    </row>
    <row r="159" spans="1:26">
      <c r="A159" s="758">
        <f>IF(B159&lt;&gt;"",A158+1,"")</f>
        <v>142</v>
      </c>
      <c r="B159" s="293" t="s">
        <v>658</v>
      </c>
      <c r="C159" s="834">
        <f t="shared" si="58"/>
        <v>14414</v>
      </c>
      <c r="D159" s="759">
        <f t="shared" si="63"/>
        <v>953.05289653331295</v>
      </c>
      <c r="E159" s="759">
        <f t="shared" si="63"/>
        <v>237.59582014415926</v>
      </c>
      <c r="F159" s="759">
        <f t="shared" si="63"/>
        <v>1102.9327638152627</v>
      </c>
      <c r="G159" s="759">
        <f t="shared" si="63"/>
        <v>126.84031882841997</v>
      </c>
      <c r="H159" s="759">
        <f t="shared" si="63"/>
        <v>57.206056214484576</v>
      </c>
      <c r="I159" s="759">
        <f t="shared" si="63"/>
        <v>241.39773464017389</v>
      </c>
      <c r="J159" s="360"/>
      <c r="K159" s="802">
        <f t="shared" si="59"/>
        <v>17133</v>
      </c>
      <c r="L159" s="759">
        <v>2</v>
      </c>
      <c r="M159" s="759">
        <f t="shared" si="50"/>
        <v>8566.5</v>
      </c>
      <c r="N159" s="671">
        <v>10434</v>
      </c>
      <c r="O159" s="671"/>
      <c r="P159" s="188" t="s">
        <v>497</v>
      </c>
      <c r="Q159" s="776">
        <v>40723</v>
      </c>
      <c r="R159" s="775"/>
      <c r="S159" s="301">
        <f>L159</f>
        <v>2</v>
      </c>
      <c r="T159" s="808">
        <v>7207</v>
      </c>
      <c r="U159" s="8">
        <f t="shared" si="51"/>
        <v>14414</v>
      </c>
      <c r="V159" s="451"/>
      <c r="W159" s="776"/>
      <c r="X159" s="806"/>
      <c r="Y159" s="806"/>
      <c r="Z159" s="8">
        <f t="shared" si="52"/>
        <v>0</v>
      </c>
    </row>
    <row r="160" spans="1:26">
      <c r="A160" s="758">
        <f t="shared" si="60"/>
        <v>143</v>
      </c>
      <c r="B160" s="293" t="s">
        <v>682</v>
      </c>
      <c r="C160" s="834">
        <f t="shared" si="58"/>
        <v>4511010</v>
      </c>
      <c r="D160" s="759">
        <f t="shared" si="63"/>
        <v>98640.974791197892</v>
      </c>
      <c r="E160" s="759">
        <f t="shared" si="63"/>
        <v>24591.167384920485</v>
      </c>
      <c r="F160" s="759">
        <f t="shared" si="63"/>
        <v>114153.54105487968</v>
      </c>
      <c r="G160" s="759">
        <f t="shared" si="63"/>
        <v>13127.972998741467</v>
      </c>
      <c r="H160" s="759">
        <f t="shared" si="63"/>
        <v>5920.8268181991534</v>
      </c>
      <c r="I160" s="759">
        <f t="shared" si="63"/>
        <v>24984.665535257998</v>
      </c>
      <c r="J160" s="360"/>
      <c r="K160" s="802">
        <f t="shared" si="59"/>
        <v>4792429</v>
      </c>
      <c r="L160" s="759">
        <v>207</v>
      </c>
      <c r="M160" s="759">
        <f t="shared" si="50"/>
        <v>23151.830917874395</v>
      </c>
      <c r="N160" s="671">
        <v>24601</v>
      </c>
      <c r="O160" s="671"/>
      <c r="P160" s="188" t="s">
        <v>450</v>
      </c>
      <c r="Q160" s="776">
        <v>40723</v>
      </c>
      <c r="R160" s="775"/>
      <c r="S160" s="301">
        <v>210</v>
      </c>
      <c r="T160" s="808">
        <v>21481</v>
      </c>
      <c r="U160" s="8">
        <f t="shared" si="51"/>
        <v>4511010</v>
      </c>
      <c r="V160" s="451"/>
      <c r="W160" s="776"/>
      <c r="X160" s="806"/>
      <c r="Y160" s="806"/>
      <c r="Z160" s="8">
        <f t="shared" si="52"/>
        <v>0</v>
      </c>
    </row>
    <row r="161" spans="1:26">
      <c r="A161" s="758">
        <f t="shared" si="60"/>
        <v>144</v>
      </c>
      <c r="B161" s="293" t="s">
        <v>674</v>
      </c>
      <c r="C161" s="834">
        <f t="shared" si="58"/>
        <v>1875780</v>
      </c>
      <c r="D161" s="759">
        <f t="shared" si="63"/>
        <v>96734.868998131264</v>
      </c>
      <c r="E161" s="759">
        <f t="shared" si="63"/>
        <v>24115.975744632164</v>
      </c>
      <c r="F161" s="759">
        <f t="shared" si="63"/>
        <v>111947.67552724916</v>
      </c>
      <c r="G161" s="759">
        <f t="shared" si="63"/>
        <v>12874.292361084626</v>
      </c>
      <c r="H161" s="759">
        <f t="shared" si="63"/>
        <v>5806.4147057701848</v>
      </c>
      <c r="I161" s="759">
        <f t="shared" si="63"/>
        <v>24501.870065977651</v>
      </c>
      <c r="J161" s="360"/>
      <c r="K161" s="802">
        <f t="shared" si="59"/>
        <v>2151761</v>
      </c>
      <c r="L161" s="759">
        <v>203</v>
      </c>
      <c r="M161" s="759">
        <f t="shared" si="50"/>
        <v>10599.807881773399</v>
      </c>
      <c r="N161" s="671">
        <v>12255</v>
      </c>
      <c r="O161" s="671"/>
      <c r="P161" s="188" t="s">
        <v>441</v>
      </c>
      <c r="Q161" s="776">
        <v>40723</v>
      </c>
      <c r="R161" s="775"/>
      <c r="S161" s="301">
        <v>102</v>
      </c>
      <c r="T161" s="808">
        <v>18390</v>
      </c>
      <c r="U161" s="8">
        <f t="shared" si="51"/>
        <v>1875780</v>
      </c>
      <c r="V161" s="451"/>
      <c r="W161" s="776"/>
      <c r="X161" s="806"/>
      <c r="Y161" s="806"/>
      <c r="Z161" s="8">
        <f t="shared" si="52"/>
        <v>0</v>
      </c>
    </row>
    <row r="162" spans="1:26">
      <c r="A162" s="758">
        <f t="shared" si="60"/>
        <v>145</v>
      </c>
      <c r="B162" s="293" t="s">
        <v>683</v>
      </c>
      <c r="C162" s="834">
        <f t="shared" si="58"/>
        <v>156843</v>
      </c>
      <c r="D162" s="759">
        <f t="shared" si="63"/>
        <v>4288.7380343999084</v>
      </c>
      <c r="E162" s="759">
        <f t="shared" si="63"/>
        <v>1069.1811906487167</v>
      </c>
      <c r="F162" s="759">
        <f t="shared" si="63"/>
        <v>4963.197437168682</v>
      </c>
      <c r="G162" s="759">
        <f t="shared" si="63"/>
        <v>570.78143472788986</v>
      </c>
      <c r="H162" s="759">
        <f t="shared" si="63"/>
        <v>257.42725296518057</v>
      </c>
      <c r="I162" s="759">
        <f t="shared" si="63"/>
        <v>1086.2898058807825</v>
      </c>
      <c r="J162" s="360"/>
      <c r="K162" s="802">
        <f t="shared" si="59"/>
        <v>169079</v>
      </c>
      <c r="L162" s="759">
        <v>9</v>
      </c>
      <c r="M162" s="759">
        <f t="shared" si="50"/>
        <v>18786.555555555555</v>
      </c>
      <c r="N162" s="671">
        <v>19640</v>
      </c>
      <c r="O162" s="671"/>
      <c r="P162" s="188" t="s">
        <v>403</v>
      </c>
      <c r="Q162" s="776">
        <v>40723</v>
      </c>
      <c r="R162" s="775"/>
      <c r="S162" s="301">
        <v>9</v>
      </c>
      <c r="T162" s="808">
        <v>17427</v>
      </c>
      <c r="U162" s="8">
        <f t="shared" si="51"/>
        <v>156843</v>
      </c>
      <c r="V162" s="451"/>
      <c r="W162" s="776"/>
      <c r="X162" s="806"/>
      <c r="Y162" s="806"/>
      <c r="Z162" s="8">
        <f t="shared" si="52"/>
        <v>0</v>
      </c>
    </row>
    <row r="163" spans="1:26">
      <c r="A163" s="758">
        <f t="shared" si="60"/>
        <v>146</v>
      </c>
      <c r="B163" s="293" t="s">
        <v>539</v>
      </c>
      <c r="C163" s="834">
        <f t="shared" si="58"/>
        <v>14079</v>
      </c>
      <c r="D163" s="759">
        <f t="shared" si="63"/>
        <v>476.52644826665647</v>
      </c>
      <c r="E163" s="759">
        <f t="shared" si="63"/>
        <v>118.79791007207963</v>
      </c>
      <c r="F163" s="759">
        <f t="shared" si="63"/>
        <v>551.46638190763133</v>
      </c>
      <c r="G163" s="759">
        <f t="shared" si="63"/>
        <v>63.420159414209984</v>
      </c>
      <c r="H163" s="759">
        <f t="shared" si="63"/>
        <v>28.603028107242288</v>
      </c>
      <c r="I163" s="759">
        <f t="shared" si="63"/>
        <v>120.69886732008695</v>
      </c>
      <c r="J163" s="360"/>
      <c r="K163" s="802">
        <f t="shared" si="59"/>
        <v>15439</v>
      </c>
      <c r="L163" s="759">
        <v>1</v>
      </c>
      <c r="M163" s="759">
        <f t="shared" si="50"/>
        <v>15439</v>
      </c>
      <c r="N163" s="671">
        <v>16417</v>
      </c>
      <c r="O163" s="671"/>
      <c r="P163" s="293" t="s">
        <v>378</v>
      </c>
      <c r="Q163" s="776">
        <v>40723</v>
      </c>
      <c r="R163" s="775"/>
      <c r="S163" s="301">
        <f>L163</f>
        <v>1</v>
      </c>
      <c r="T163" s="808">
        <v>14079</v>
      </c>
      <c r="U163" s="8">
        <f t="shared" si="51"/>
        <v>14079</v>
      </c>
      <c r="V163" s="451"/>
      <c r="W163" s="776"/>
      <c r="X163" s="806"/>
      <c r="Y163" s="806"/>
      <c r="Z163" s="8">
        <f t="shared" si="52"/>
        <v>0</v>
      </c>
    </row>
    <row r="164" spans="1:26">
      <c r="A164" s="758">
        <f t="shared" si="60"/>
        <v>147</v>
      </c>
      <c r="B164" s="293" t="s">
        <v>684</v>
      </c>
      <c r="C164" s="834">
        <f t="shared" si="58"/>
        <v>53349</v>
      </c>
      <c r="D164" s="759">
        <f t="shared" si="63"/>
        <v>1429.5793447999695</v>
      </c>
      <c r="E164" s="759">
        <f t="shared" si="63"/>
        <v>356.39373021623891</v>
      </c>
      <c r="F164" s="759">
        <f t="shared" si="63"/>
        <v>1654.399145722894</v>
      </c>
      <c r="G164" s="759">
        <f t="shared" si="63"/>
        <v>190.26047824262994</v>
      </c>
      <c r="H164" s="759">
        <f t="shared" si="63"/>
        <v>85.809084321726857</v>
      </c>
      <c r="I164" s="759">
        <f t="shared" si="63"/>
        <v>362.09660196026084</v>
      </c>
      <c r="J164" s="360"/>
      <c r="K164" s="802">
        <f t="shared" si="59"/>
        <v>57428</v>
      </c>
      <c r="L164" s="759">
        <v>3</v>
      </c>
      <c r="M164" s="759">
        <f t="shared" si="50"/>
        <v>19142.666666666668</v>
      </c>
      <c r="N164" s="671">
        <v>20389</v>
      </c>
      <c r="O164" s="671"/>
      <c r="P164" s="188" t="s">
        <v>456</v>
      </c>
      <c r="Q164" s="776">
        <v>40723</v>
      </c>
      <c r="R164" s="775"/>
      <c r="S164" s="301">
        <v>1.5</v>
      </c>
      <c r="T164" s="808">
        <v>35566</v>
      </c>
      <c r="U164" s="8">
        <f t="shared" si="51"/>
        <v>53349</v>
      </c>
      <c r="V164" s="451"/>
      <c r="W164" s="776"/>
      <c r="X164" s="806"/>
      <c r="Y164" s="806"/>
      <c r="Z164" s="8">
        <f t="shared" si="52"/>
        <v>0</v>
      </c>
    </row>
    <row r="165" spans="1:26">
      <c r="A165" s="758">
        <f t="shared" si="60"/>
        <v>148</v>
      </c>
      <c r="B165" s="293" t="s">
        <v>538</v>
      </c>
      <c r="C165" s="834">
        <f t="shared" si="58"/>
        <v>132027.5</v>
      </c>
      <c r="D165" s="759">
        <f t="shared" si="63"/>
        <v>5241.7909309332208</v>
      </c>
      <c r="E165" s="759">
        <f t="shared" si="63"/>
        <v>1306.7770107928759</v>
      </c>
      <c r="F165" s="759">
        <f t="shared" si="63"/>
        <v>6066.1302009839446</v>
      </c>
      <c r="G165" s="759">
        <f t="shared" si="63"/>
        <v>697.62175355630984</v>
      </c>
      <c r="H165" s="759">
        <f t="shared" si="63"/>
        <v>314.63330917966516</v>
      </c>
      <c r="I165" s="759">
        <f t="shared" si="63"/>
        <v>1327.6875405209564</v>
      </c>
      <c r="J165" s="360"/>
      <c r="K165" s="802">
        <f t="shared" si="59"/>
        <v>146982</v>
      </c>
      <c r="L165" s="759">
        <v>11</v>
      </c>
      <c r="M165" s="759">
        <f t="shared" si="50"/>
        <v>13362</v>
      </c>
      <c r="N165" s="671">
        <v>14129</v>
      </c>
      <c r="O165" s="671"/>
      <c r="P165" s="40" t="s">
        <v>440</v>
      </c>
      <c r="Q165" s="776">
        <v>40723</v>
      </c>
      <c r="R165" s="775"/>
      <c r="S165" s="301">
        <f>L165/2</f>
        <v>5.5</v>
      </c>
      <c r="T165" s="808">
        <v>24005</v>
      </c>
      <c r="U165" s="8">
        <f t="shared" si="51"/>
        <v>132027.5</v>
      </c>
      <c r="V165" s="451"/>
      <c r="W165" s="776"/>
      <c r="X165" s="806"/>
      <c r="Y165" s="806"/>
      <c r="Z165" s="8">
        <f t="shared" si="52"/>
        <v>0</v>
      </c>
    </row>
    <row r="166" spans="1:26">
      <c r="A166" s="758">
        <f t="shared" si="60"/>
        <v>149</v>
      </c>
      <c r="B166" s="293" t="s">
        <v>657</v>
      </c>
      <c r="C166" s="834">
        <f t="shared" si="58"/>
        <v>187382</v>
      </c>
      <c r="D166" s="759">
        <f t="shared" si="63"/>
        <v>12389.687654933068</v>
      </c>
      <c r="E166" s="759">
        <f t="shared" si="63"/>
        <v>3088.7456618740703</v>
      </c>
      <c r="F166" s="759">
        <f t="shared" si="63"/>
        <v>14338.125929598415</v>
      </c>
      <c r="G166" s="759">
        <f t="shared" si="63"/>
        <v>1648.9241447694596</v>
      </c>
      <c r="H166" s="759">
        <f t="shared" si="63"/>
        <v>743.6787307882995</v>
      </c>
      <c r="I166" s="759">
        <f t="shared" si="63"/>
        <v>3138.1705503222606</v>
      </c>
      <c r="J166" s="360"/>
      <c r="K166" s="802">
        <f t="shared" si="59"/>
        <v>222729</v>
      </c>
      <c r="L166" s="759">
        <v>26</v>
      </c>
      <c r="M166" s="759">
        <f t="shared" si="50"/>
        <v>8566.5</v>
      </c>
      <c r="N166" s="671">
        <v>10433</v>
      </c>
      <c r="O166" s="671"/>
      <c r="P166" s="188" t="s">
        <v>497</v>
      </c>
      <c r="Q166" s="776">
        <v>40723</v>
      </c>
      <c r="R166" s="775"/>
      <c r="S166" s="301">
        <f>L166</f>
        <v>26</v>
      </c>
      <c r="T166" s="808">
        <v>7207</v>
      </c>
      <c r="U166" s="8">
        <f t="shared" si="51"/>
        <v>187382</v>
      </c>
      <c r="V166" s="451"/>
      <c r="W166" s="776"/>
      <c r="X166" s="806"/>
      <c r="Y166" s="806"/>
      <c r="Z166" s="8">
        <f t="shared" si="52"/>
        <v>0</v>
      </c>
    </row>
    <row r="167" spans="1:26">
      <c r="A167" s="758">
        <f t="shared" si="60"/>
        <v>150</v>
      </c>
      <c r="B167" s="293" t="s">
        <v>685</v>
      </c>
      <c r="C167" s="834">
        <f t="shared" si="58"/>
        <v>333200</v>
      </c>
      <c r="D167" s="759">
        <f t="shared" si="63"/>
        <v>9530.5289653331292</v>
      </c>
      <c r="E167" s="759">
        <f t="shared" si="63"/>
        <v>2375.9582014415928</v>
      </c>
      <c r="F167" s="759">
        <f t="shared" si="63"/>
        <v>11029.327638152627</v>
      </c>
      <c r="G167" s="759">
        <f t="shared" si="63"/>
        <v>1268.4031882841996</v>
      </c>
      <c r="H167" s="759">
        <f t="shared" si="63"/>
        <v>572.06056214484579</v>
      </c>
      <c r="I167" s="759">
        <f t="shared" si="63"/>
        <v>2413.9773464017389</v>
      </c>
      <c r="J167" s="360"/>
      <c r="K167" s="802">
        <f t="shared" si="59"/>
        <v>360390</v>
      </c>
      <c r="L167" s="759">
        <v>20</v>
      </c>
      <c r="M167" s="759">
        <f t="shared" si="50"/>
        <v>18019.5</v>
      </c>
      <c r="N167" s="671">
        <v>19208</v>
      </c>
      <c r="O167" s="671"/>
      <c r="P167" s="40" t="s">
        <v>463</v>
      </c>
      <c r="Q167" s="776">
        <v>40723</v>
      </c>
      <c r="R167" s="775"/>
      <c r="S167" s="301">
        <v>20</v>
      </c>
      <c r="T167" s="808">
        <v>16660</v>
      </c>
      <c r="U167" s="8">
        <f t="shared" si="51"/>
        <v>333200</v>
      </c>
      <c r="V167" s="451"/>
      <c r="W167" s="776"/>
      <c r="X167" s="806"/>
      <c r="Y167" s="806"/>
      <c r="Z167" s="8">
        <f t="shared" si="52"/>
        <v>0</v>
      </c>
    </row>
    <row r="168" spans="1:26">
      <c r="A168" s="758">
        <f t="shared" si="60"/>
        <v>151</v>
      </c>
      <c r="B168" s="293" t="s">
        <v>686</v>
      </c>
      <c r="C168" s="834">
        <f t="shared" si="58"/>
        <v>1129632</v>
      </c>
      <c r="D168" s="759">
        <f t="shared" ref="D168:I180" si="64">IF($L$182&lt;&gt;0,D$182/$L$182*$L168,0)</f>
        <v>29068.113344266047</v>
      </c>
      <c r="E168" s="759">
        <f t="shared" si="64"/>
        <v>7246.6725143968579</v>
      </c>
      <c r="F168" s="759">
        <f t="shared" si="64"/>
        <v>33639.449296365514</v>
      </c>
      <c r="G168" s="759">
        <f t="shared" si="64"/>
        <v>3868.6297242668088</v>
      </c>
      <c r="H168" s="759">
        <f t="shared" si="64"/>
        <v>1744.7847145417795</v>
      </c>
      <c r="I168" s="759">
        <f t="shared" si="64"/>
        <v>7362.6309065253035</v>
      </c>
      <c r="J168" s="360"/>
      <c r="K168" s="802">
        <f t="shared" si="59"/>
        <v>1212562</v>
      </c>
      <c r="L168" s="759">
        <v>61</v>
      </c>
      <c r="M168" s="759">
        <f t="shared" ref="M168:M180" si="65">IF(L168&lt;&gt;"",K168/L168,"")</f>
        <v>19878.065573770491</v>
      </c>
      <c r="N168" s="671">
        <v>21962</v>
      </c>
      <c r="O168" s="671"/>
      <c r="P168" s="40" t="s">
        <v>461</v>
      </c>
      <c r="Q168" s="776">
        <v>40723</v>
      </c>
      <c r="R168" s="775"/>
      <c r="S168" s="301">
        <v>32</v>
      </c>
      <c r="T168" s="808">
        <v>35301</v>
      </c>
      <c r="U168" s="8">
        <f t="shared" ref="U168:U180" si="66">S168*T168</f>
        <v>1129632</v>
      </c>
      <c r="V168" s="451"/>
      <c r="W168" s="776"/>
      <c r="X168" s="806"/>
      <c r="Y168" s="806"/>
      <c r="Z168" s="8">
        <f t="shared" ref="Z168:Z180" si="67">X168*Y168</f>
        <v>0</v>
      </c>
    </row>
    <row r="169" spans="1:26">
      <c r="A169" s="758">
        <f t="shared" si="60"/>
        <v>152</v>
      </c>
      <c r="B169" s="293" t="s">
        <v>543</v>
      </c>
      <c r="C169" s="834">
        <f t="shared" si="58"/>
        <v>155715</v>
      </c>
      <c r="D169" s="759">
        <f t="shared" si="64"/>
        <v>66713.702757331906</v>
      </c>
      <c r="E169" s="759">
        <f t="shared" si="64"/>
        <v>16631.707410091149</v>
      </c>
      <c r="F169" s="759">
        <f t="shared" si="64"/>
        <v>77205.29346706839</v>
      </c>
      <c r="G169" s="759">
        <f t="shared" si="64"/>
        <v>8878.8223179893976</v>
      </c>
      <c r="H169" s="759">
        <f t="shared" si="64"/>
        <v>4004.4239350139205</v>
      </c>
      <c r="I169" s="759">
        <f t="shared" si="64"/>
        <v>16897.841424812173</v>
      </c>
      <c r="J169" s="360"/>
      <c r="K169" s="802">
        <f t="shared" si="59"/>
        <v>346047</v>
      </c>
      <c r="L169" s="759">
        <v>140</v>
      </c>
      <c r="M169" s="759">
        <f t="shared" si="65"/>
        <v>2471.7642857142855</v>
      </c>
      <c r="N169" s="671">
        <v>3065</v>
      </c>
      <c r="O169" s="671"/>
      <c r="P169" s="188" t="s">
        <v>382</v>
      </c>
      <c r="Q169" s="776">
        <v>40723</v>
      </c>
      <c r="R169" s="775"/>
      <c r="S169" s="301">
        <f>L169/4</f>
        <v>35</v>
      </c>
      <c r="T169" s="255">
        <v>4449</v>
      </c>
      <c r="U169" s="8">
        <f t="shared" si="66"/>
        <v>155715</v>
      </c>
      <c r="V169" s="451"/>
      <c r="W169" s="776"/>
      <c r="X169" s="806"/>
      <c r="Y169" s="806"/>
      <c r="Z169" s="8">
        <f t="shared" si="67"/>
        <v>0</v>
      </c>
    </row>
    <row r="170" spans="1:26">
      <c r="A170" s="758">
        <f t="shared" si="60"/>
        <v>153</v>
      </c>
      <c r="B170" s="293" t="s">
        <v>679</v>
      </c>
      <c r="C170" s="834">
        <f t="shared" si="58"/>
        <v>632800</v>
      </c>
      <c r="D170" s="759">
        <f t="shared" si="64"/>
        <v>19061.057930666258</v>
      </c>
      <c r="E170" s="759">
        <f t="shared" si="64"/>
        <v>4751.9164028831856</v>
      </c>
      <c r="F170" s="759">
        <f t="shared" si="64"/>
        <v>22058.655276305253</v>
      </c>
      <c r="G170" s="759">
        <f t="shared" si="64"/>
        <v>2536.8063765683992</v>
      </c>
      <c r="H170" s="759">
        <f t="shared" si="64"/>
        <v>1144.1211242896916</v>
      </c>
      <c r="I170" s="759">
        <f t="shared" si="64"/>
        <v>4827.9546928034779</v>
      </c>
      <c r="J170" s="360"/>
      <c r="K170" s="802">
        <f t="shared" si="59"/>
        <v>687181</v>
      </c>
      <c r="L170" s="759">
        <v>40</v>
      </c>
      <c r="M170" s="759">
        <f t="shared" si="65"/>
        <v>17179.525000000001</v>
      </c>
      <c r="N170" s="671">
        <v>18185</v>
      </c>
      <c r="O170" s="671"/>
      <c r="P170" s="188" t="s">
        <v>486</v>
      </c>
      <c r="Q170" s="776">
        <v>40723</v>
      </c>
      <c r="R170" s="775"/>
      <c r="S170" s="301">
        <v>20</v>
      </c>
      <c r="T170" s="808">
        <v>31640</v>
      </c>
      <c r="U170" s="8">
        <f t="shared" si="66"/>
        <v>632800</v>
      </c>
      <c r="V170" s="451"/>
      <c r="W170" s="776"/>
      <c r="X170" s="806"/>
      <c r="Y170" s="806"/>
      <c r="Z170" s="8">
        <f t="shared" si="67"/>
        <v>0</v>
      </c>
    </row>
    <row r="171" spans="1:26">
      <c r="A171" s="813">
        <f t="shared" si="60"/>
        <v>154</v>
      </c>
      <c r="B171" s="294" t="s">
        <v>531</v>
      </c>
      <c r="C171" s="834">
        <f t="shared" si="58"/>
        <v>1152240</v>
      </c>
      <c r="D171" s="537">
        <f t="shared" si="64"/>
        <v>45270.012585332363</v>
      </c>
      <c r="E171" s="537">
        <f t="shared" si="64"/>
        <v>11285.801456847565</v>
      </c>
      <c r="F171" s="537">
        <f t="shared" si="64"/>
        <v>52389.306281224977</v>
      </c>
      <c r="G171" s="537">
        <f t="shared" si="64"/>
        <v>6024.9151443499486</v>
      </c>
      <c r="H171" s="537">
        <f t="shared" si="64"/>
        <v>2717.2876701880173</v>
      </c>
      <c r="I171" s="537">
        <f t="shared" si="64"/>
        <v>11466.39239540826</v>
      </c>
      <c r="J171" s="537"/>
      <c r="K171" s="802">
        <f t="shared" si="59"/>
        <v>1281394</v>
      </c>
      <c r="L171" s="537">
        <v>95</v>
      </c>
      <c r="M171" s="537">
        <f t="shared" si="65"/>
        <v>13488.357894736842</v>
      </c>
      <c r="N171" s="671">
        <v>14591</v>
      </c>
      <c r="O171" s="671"/>
      <c r="P171" s="40" t="s">
        <v>440</v>
      </c>
      <c r="Q171" s="776">
        <v>40723</v>
      </c>
      <c r="R171" s="775"/>
      <c r="S171" s="301">
        <v>48</v>
      </c>
      <c r="T171" s="808">
        <v>24005</v>
      </c>
      <c r="U171" s="8">
        <f t="shared" si="66"/>
        <v>1152240</v>
      </c>
      <c r="V171" s="451"/>
      <c r="W171" s="776"/>
      <c r="X171" s="806"/>
      <c r="Y171" s="806"/>
      <c r="Z171" s="8">
        <f t="shared" si="67"/>
        <v>0</v>
      </c>
    </row>
    <row r="172" spans="1:26">
      <c r="A172" s="758">
        <f>IF(B172&lt;&gt;"",A171+1,"")</f>
        <v>155</v>
      </c>
      <c r="B172" s="293" t="s">
        <v>660</v>
      </c>
      <c r="C172" s="25">
        <f t="shared" ref="C172:C176" si="68">U172</f>
        <v>9184000</v>
      </c>
      <c r="D172" s="759">
        <f t="shared" si="64"/>
        <v>953052.89653331297</v>
      </c>
      <c r="E172" s="759">
        <f t="shared" si="64"/>
        <v>237595.82014415925</v>
      </c>
      <c r="F172" s="759">
        <f t="shared" si="64"/>
        <v>1102932.7638152626</v>
      </c>
      <c r="G172" s="759">
        <f t="shared" si="64"/>
        <v>126840.31882841997</v>
      </c>
      <c r="H172" s="759">
        <f t="shared" si="64"/>
        <v>57206.056214484575</v>
      </c>
      <c r="I172" s="759">
        <f t="shared" si="64"/>
        <v>241397.73464017391</v>
      </c>
      <c r="J172" s="360"/>
      <c r="K172" s="802">
        <f t="shared" si="59"/>
        <v>11903026</v>
      </c>
      <c r="L172" s="759">
        <v>2000</v>
      </c>
      <c r="M172" s="759">
        <f t="shared" si="65"/>
        <v>5951.5129999999999</v>
      </c>
      <c r="N172" s="671">
        <v>7229</v>
      </c>
      <c r="O172" s="671"/>
      <c r="P172" s="188" t="s">
        <v>393</v>
      </c>
      <c r="Q172" s="776">
        <v>40723</v>
      </c>
      <c r="R172" s="775"/>
      <c r="S172" s="301">
        <f>L172</f>
        <v>2000</v>
      </c>
      <c r="T172" s="808">
        <v>4592</v>
      </c>
      <c r="U172" s="8">
        <f t="shared" si="66"/>
        <v>9184000</v>
      </c>
      <c r="V172" s="451"/>
      <c r="W172" s="776"/>
      <c r="X172" s="806"/>
      <c r="Y172" s="806"/>
      <c r="Z172" s="8">
        <f t="shared" si="67"/>
        <v>0</v>
      </c>
    </row>
    <row r="173" spans="1:26">
      <c r="A173" s="813">
        <f t="shared" si="60"/>
        <v>156</v>
      </c>
      <c r="B173" s="294" t="s">
        <v>687</v>
      </c>
      <c r="C173" s="25">
        <f t="shared" si="68"/>
        <v>3672765</v>
      </c>
      <c r="D173" s="537">
        <f t="shared" si="64"/>
        <v>145817.09316959689</v>
      </c>
      <c r="E173" s="537">
        <f t="shared" si="64"/>
        <v>36352.160482056366</v>
      </c>
      <c r="F173" s="537">
        <f t="shared" si="64"/>
        <v>168748.71286373519</v>
      </c>
      <c r="G173" s="537">
        <f t="shared" si="64"/>
        <v>19406.568780748254</v>
      </c>
      <c r="H173" s="537">
        <f t="shared" si="64"/>
        <v>8752.5266008161398</v>
      </c>
      <c r="I173" s="537">
        <f t="shared" si="64"/>
        <v>36933.853399946609</v>
      </c>
      <c r="J173" s="537"/>
      <c r="K173" s="802">
        <f t="shared" si="59"/>
        <v>4088776</v>
      </c>
      <c r="L173" s="537">
        <v>306</v>
      </c>
      <c r="M173" s="537">
        <f t="shared" si="65"/>
        <v>13362.013071895424</v>
      </c>
      <c r="N173" s="671">
        <v>14330</v>
      </c>
      <c r="O173" s="671"/>
      <c r="P173" s="40" t="s">
        <v>440</v>
      </c>
      <c r="Q173" s="776">
        <v>40723</v>
      </c>
      <c r="R173" s="775"/>
      <c r="S173" s="301">
        <f>L173/2</f>
        <v>153</v>
      </c>
      <c r="T173" s="808">
        <v>24005</v>
      </c>
      <c r="U173" s="8">
        <f t="shared" si="66"/>
        <v>3672765</v>
      </c>
      <c r="V173" s="451"/>
      <c r="W173" s="776"/>
      <c r="X173" s="806"/>
      <c r="Y173" s="806"/>
      <c r="Z173" s="8">
        <f t="shared" si="67"/>
        <v>0</v>
      </c>
    </row>
    <row r="174" spans="1:26">
      <c r="A174" s="758">
        <f>IF(B174&lt;&gt;"",A173+1,"")</f>
        <v>157</v>
      </c>
      <c r="B174" s="293" t="s">
        <v>599</v>
      </c>
      <c r="C174" s="25">
        <f t="shared" si="68"/>
        <v>2394484</v>
      </c>
      <c r="D174" s="759">
        <f t="shared" si="64"/>
        <v>186321.84127226268</v>
      </c>
      <c r="E174" s="759">
        <f t="shared" si="64"/>
        <v>46449.982838183132</v>
      </c>
      <c r="F174" s="759">
        <f t="shared" si="64"/>
        <v>215623.35532588384</v>
      </c>
      <c r="G174" s="759">
        <f t="shared" si="64"/>
        <v>24797.282330956103</v>
      </c>
      <c r="H174" s="759">
        <f t="shared" si="64"/>
        <v>11183.783989931735</v>
      </c>
      <c r="I174" s="759">
        <f t="shared" si="64"/>
        <v>47193.257122153998</v>
      </c>
      <c r="J174" s="360"/>
      <c r="K174" s="802">
        <f t="shared" si="59"/>
        <v>2926054</v>
      </c>
      <c r="L174" s="759">
        <v>391</v>
      </c>
      <c r="M174" s="759">
        <f t="shared" si="65"/>
        <v>7483.5140664961637</v>
      </c>
      <c r="N174" s="671">
        <v>9760</v>
      </c>
      <c r="O174" s="671"/>
      <c r="P174" s="188" t="s">
        <v>381</v>
      </c>
      <c r="Q174" s="776">
        <v>40723</v>
      </c>
      <c r="R174" s="775"/>
      <c r="S174" s="301">
        <f>L174</f>
        <v>391</v>
      </c>
      <c r="T174" s="808">
        <v>6124</v>
      </c>
      <c r="U174" s="8">
        <f t="shared" si="66"/>
        <v>2394484</v>
      </c>
      <c r="V174" s="451"/>
      <c r="W174" s="776"/>
      <c r="X174" s="806"/>
      <c r="Y174" s="806"/>
      <c r="Z174" s="8">
        <f t="shared" si="67"/>
        <v>0</v>
      </c>
    </row>
    <row r="175" spans="1:26">
      <c r="A175" s="758">
        <f t="shared" si="60"/>
        <v>158</v>
      </c>
      <c r="B175" s="293" t="s">
        <v>594</v>
      </c>
      <c r="C175" s="25">
        <f t="shared" si="68"/>
        <v>1789722</v>
      </c>
      <c r="D175" s="759">
        <f t="shared" si="64"/>
        <v>141528.35513519697</v>
      </c>
      <c r="E175" s="759">
        <f t="shared" si="64"/>
        <v>35282.979291407653</v>
      </c>
      <c r="F175" s="759">
        <f t="shared" si="64"/>
        <v>163785.5154265665</v>
      </c>
      <c r="G175" s="759">
        <f t="shared" si="64"/>
        <v>18835.787346020366</v>
      </c>
      <c r="H175" s="759">
        <f t="shared" si="64"/>
        <v>8495.099347850959</v>
      </c>
      <c r="I175" s="759">
        <f t="shared" si="64"/>
        <v>35847.563594065825</v>
      </c>
      <c r="J175" s="360"/>
      <c r="K175" s="802">
        <f t="shared" si="59"/>
        <v>2193497</v>
      </c>
      <c r="L175" s="759">
        <v>297</v>
      </c>
      <c r="M175" s="759">
        <f t="shared" si="65"/>
        <v>7385.5117845117848</v>
      </c>
      <c r="N175" s="671">
        <v>7500</v>
      </c>
      <c r="O175" s="671"/>
      <c r="P175" s="293" t="s">
        <v>394</v>
      </c>
      <c r="Q175" s="776">
        <v>40723</v>
      </c>
      <c r="R175" s="775"/>
      <c r="S175" s="301">
        <f>L175</f>
        <v>297</v>
      </c>
      <c r="T175" s="808">
        <v>6026</v>
      </c>
      <c r="U175" s="8">
        <f t="shared" si="66"/>
        <v>1789722</v>
      </c>
      <c r="V175" s="451"/>
      <c r="W175" s="776"/>
      <c r="X175" s="806"/>
      <c r="Y175" s="806"/>
      <c r="Z175" s="8">
        <f t="shared" si="67"/>
        <v>0</v>
      </c>
    </row>
    <row r="176" spans="1:26">
      <c r="A176" s="758">
        <f t="shared" si="60"/>
        <v>159</v>
      </c>
      <c r="B176" s="293" t="s">
        <v>689</v>
      </c>
      <c r="C176" s="25">
        <f t="shared" si="68"/>
        <v>608626</v>
      </c>
      <c r="D176" s="759">
        <f t="shared" si="64"/>
        <v>48129.171274932305</v>
      </c>
      <c r="E176" s="759">
        <f t="shared" si="64"/>
        <v>11998.588917280043</v>
      </c>
      <c r="F176" s="759">
        <f t="shared" si="64"/>
        <v>55698.104572670767</v>
      </c>
      <c r="G176" s="759">
        <f t="shared" si="64"/>
        <v>6405.436100835208</v>
      </c>
      <c r="H176" s="759">
        <f t="shared" si="64"/>
        <v>2888.9058388314711</v>
      </c>
      <c r="I176" s="759">
        <f t="shared" si="64"/>
        <v>12190.585599328782</v>
      </c>
      <c r="J176" s="360"/>
      <c r="K176" s="802">
        <f t="shared" si="59"/>
        <v>745937</v>
      </c>
      <c r="L176" s="759">
        <v>101</v>
      </c>
      <c r="M176" s="759">
        <f t="shared" si="65"/>
        <v>7385.5148514851489</v>
      </c>
      <c r="N176" s="671">
        <v>8800</v>
      </c>
      <c r="O176" s="671"/>
      <c r="P176" s="293" t="s">
        <v>394</v>
      </c>
      <c r="Q176" s="776">
        <v>40723</v>
      </c>
      <c r="R176" s="775"/>
      <c r="S176" s="301">
        <f>L176</f>
        <v>101</v>
      </c>
      <c r="T176" s="808">
        <v>6026</v>
      </c>
      <c r="U176" s="8">
        <f t="shared" si="66"/>
        <v>608626</v>
      </c>
      <c r="V176" s="451"/>
      <c r="W176" s="776"/>
      <c r="X176" s="806"/>
      <c r="Y176" s="806"/>
      <c r="Z176" s="8">
        <f t="shared" si="67"/>
        <v>0</v>
      </c>
    </row>
    <row r="177" spans="1:26">
      <c r="A177" s="758">
        <f t="shared" si="60"/>
        <v>160</v>
      </c>
      <c r="B177" s="293" t="s">
        <v>688</v>
      </c>
      <c r="C177" s="25">
        <f t="shared" ref="C177:C180" si="69">U177</f>
        <v>620678</v>
      </c>
      <c r="D177" s="759">
        <f t="shared" si="64"/>
        <v>49082.224171465619</v>
      </c>
      <c r="E177" s="759">
        <f t="shared" si="64"/>
        <v>12236.184737424202</v>
      </c>
      <c r="F177" s="759">
        <f t="shared" si="64"/>
        <v>56801.037336486028</v>
      </c>
      <c r="G177" s="759">
        <f t="shared" si="64"/>
        <v>6532.2764196636281</v>
      </c>
      <c r="H177" s="759">
        <f t="shared" si="64"/>
        <v>2946.1118950459559</v>
      </c>
      <c r="I177" s="759">
        <f t="shared" si="64"/>
        <v>12431.983333968956</v>
      </c>
      <c r="J177" s="360"/>
      <c r="K177" s="802">
        <f t="shared" si="59"/>
        <v>760708</v>
      </c>
      <c r="L177" s="759">
        <v>103</v>
      </c>
      <c r="M177" s="759">
        <f t="shared" si="65"/>
        <v>7385.5145631067962</v>
      </c>
      <c r="N177" s="671">
        <v>7630</v>
      </c>
      <c r="O177" s="671"/>
      <c r="P177" s="293" t="s">
        <v>394</v>
      </c>
      <c r="Q177" s="776">
        <v>40723</v>
      </c>
      <c r="R177" s="775"/>
      <c r="S177" s="301">
        <f>L177</f>
        <v>103</v>
      </c>
      <c r="T177" s="808">
        <v>6026</v>
      </c>
      <c r="U177" s="8">
        <f t="shared" si="66"/>
        <v>620678</v>
      </c>
      <c r="V177" s="451"/>
      <c r="W177" s="776"/>
      <c r="X177" s="806"/>
      <c r="Y177" s="806"/>
      <c r="Z177" s="8">
        <f t="shared" si="67"/>
        <v>0</v>
      </c>
    </row>
    <row r="178" spans="1:26">
      <c r="A178" s="758">
        <f t="shared" si="60"/>
        <v>161</v>
      </c>
      <c r="B178" s="293" t="s">
        <v>591</v>
      </c>
      <c r="C178" s="25">
        <f t="shared" si="69"/>
        <v>1653190</v>
      </c>
      <c r="D178" s="759">
        <f t="shared" si="64"/>
        <v>51941.382861065555</v>
      </c>
      <c r="E178" s="759">
        <f t="shared" si="64"/>
        <v>12948.972197856679</v>
      </c>
      <c r="F178" s="759">
        <f t="shared" si="64"/>
        <v>60109.835627931818</v>
      </c>
      <c r="G178" s="759">
        <f t="shared" si="64"/>
        <v>6912.7973761488884</v>
      </c>
      <c r="H178" s="759">
        <f t="shared" si="64"/>
        <v>3117.7300636894092</v>
      </c>
      <c r="I178" s="759">
        <f t="shared" si="64"/>
        <v>13156.176537889478</v>
      </c>
      <c r="J178" s="360"/>
      <c r="K178" s="802">
        <f t="shared" si="59"/>
        <v>1801377</v>
      </c>
      <c r="L178" s="759">
        <v>109</v>
      </c>
      <c r="M178" s="759">
        <f t="shared" si="65"/>
        <v>16526.394495412846</v>
      </c>
      <c r="N178" s="671">
        <v>18940</v>
      </c>
      <c r="O178" s="671"/>
      <c r="P178" s="40" t="s">
        <v>482</v>
      </c>
      <c r="Q178" s="776">
        <v>40723</v>
      </c>
      <c r="R178" s="775"/>
      <c r="S178" s="301">
        <v>55</v>
      </c>
      <c r="T178" s="808">
        <v>30058</v>
      </c>
      <c r="U178" s="8">
        <f t="shared" si="66"/>
        <v>1653190</v>
      </c>
      <c r="V178" s="451"/>
      <c r="W178" s="776"/>
      <c r="X178" s="806"/>
      <c r="Y178" s="806"/>
      <c r="Z178" s="8">
        <f t="shared" si="67"/>
        <v>0</v>
      </c>
    </row>
    <row r="179" spans="1:26">
      <c r="A179" s="758">
        <f t="shared" si="60"/>
        <v>162</v>
      </c>
      <c r="B179" s="293" t="s">
        <v>690</v>
      </c>
      <c r="C179" s="25">
        <f t="shared" si="69"/>
        <v>2104544</v>
      </c>
      <c r="D179" s="759">
        <f t="shared" si="64"/>
        <v>49558.750619732273</v>
      </c>
      <c r="E179" s="759">
        <f t="shared" si="64"/>
        <v>12354.982647496281</v>
      </c>
      <c r="F179" s="759">
        <f t="shared" si="64"/>
        <v>57352.503718393658</v>
      </c>
      <c r="G179" s="759">
        <f t="shared" si="64"/>
        <v>6595.6965790778386</v>
      </c>
      <c r="H179" s="759">
        <f t="shared" si="64"/>
        <v>2974.714923153198</v>
      </c>
      <c r="I179" s="759">
        <f t="shared" si="64"/>
        <v>12552.682201289042</v>
      </c>
      <c r="J179" s="360"/>
      <c r="K179" s="802">
        <f t="shared" si="59"/>
        <v>2245933</v>
      </c>
      <c r="L179" s="759">
        <v>104</v>
      </c>
      <c r="M179" s="759">
        <f t="shared" si="65"/>
        <v>21595.509615384617</v>
      </c>
      <c r="N179" s="671">
        <v>23100</v>
      </c>
      <c r="O179" s="671"/>
      <c r="P179" s="188" t="s">
        <v>449</v>
      </c>
      <c r="Q179" s="776">
        <v>40723</v>
      </c>
      <c r="R179" s="775"/>
      <c r="S179" s="830">
        <v>104</v>
      </c>
      <c r="T179" s="289">
        <v>20236</v>
      </c>
      <c r="U179" s="8">
        <f t="shared" si="66"/>
        <v>2104544</v>
      </c>
      <c r="V179" s="451"/>
      <c r="W179" s="776"/>
      <c r="X179" s="806"/>
      <c r="Y179" s="806"/>
      <c r="Z179" s="8">
        <f t="shared" si="67"/>
        <v>0</v>
      </c>
    </row>
    <row r="180" spans="1:26">
      <c r="A180" s="758">
        <f t="shared" si="60"/>
        <v>163</v>
      </c>
      <c r="B180" s="293" t="s">
        <v>660</v>
      </c>
      <c r="C180" s="25">
        <f t="shared" si="69"/>
        <v>4688228</v>
      </c>
      <c r="D180" s="759">
        <f t="shared" si="64"/>
        <v>370737.57675145875</v>
      </c>
      <c r="E180" s="759">
        <f t="shared" si="64"/>
        <v>92424.774036077957</v>
      </c>
      <c r="F180" s="759">
        <f t="shared" si="64"/>
        <v>429040.84512413718</v>
      </c>
      <c r="G180" s="759">
        <f t="shared" si="64"/>
        <v>49340.884024255371</v>
      </c>
      <c r="H180" s="759">
        <f t="shared" si="64"/>
        <v>22253.1558674345</v>
      </c>
      <c r="I180" s="759">
        <f t="shared" si="64"/>
        <v>93903.71877502765</v>
      </c>
      <c r="J180" s="360"/>
      <c r="K180" s="802">
        <f t="shared" si="59"/>
        <v>5745929</v>
      </c>
      <c r="L180" s="759">
        <v>778</v>
      </c>
      <c r="M180" s="759">
        <f t="shared" si="65"/>
        <v>7385.5128534704372</v>
      </c>
      <c r="N180" s="671">
        <v>7229</v>
      </c>
      <c r="O180" s="671"/>
      <c r="P180" s="293" t="s">
        <v>394</v>
      </c>
      <c r="Q180" s="776">
        <v>40724</v>
      </c>
      <c r="R180" s="775"/>
      <c r="S180" s="301">
        <f>L180</f>
        <v>778</v>
      </c>
      <c r="T180" s="808">
        <v>6026</v>
      </c>
      <c r="U180" s="8">
        <f t="shared" si="66"/>
        <v>4688228</v>
      </c>
      <c r="V180" s="451"/>
      <c r="W180" s="776"/>
      <c r="X180" s="806"/>
      <c r="Y180" s="806"/>
      <c r="Z180" s="8">
        <f t="shared" si="67"/>
        <v>0</v>
      </c>
    </row>
    <row r="181" spans="1:26" s="780" customFormat="1">
      <c r="A181" s="758"/>
      <c r="B181" s="788"/>
      <c r="C181" s="789"/>
      <c r="D181" s="790"/>
      <c r="E181" s="791"/>
      <c r="F181" s="791"/>
      <c r="G181" s="300"/>
      <c r="H181" s="791"/>
      <c r="I181" s="475"/>
      <c r="J181" s="455"/>
      <c r="K181" s="790"/>
      <c r="L181" s="793"/>
      <c r="M181" s="791"/>
      <c r="N181" s="671"/>
      <c r="O181" s="671"/>
      <c r="P181" s="451"/>
      <c r="Q181" s="776"/>
      <c r="R181" s="775"/>
      <c r="S181" s="838"/>
      <c r="T181" s="808"/>
      <c r="U181" s="25"/>
      <c r="V181" s="451"/>
      <c r="W181" s="776"/>
      <c r="X181" s="808"/>
      <c r="Y181" s="808"/>
      <c r="Z181" s="794"/>
    </row>
    <row r="182" spans="1:26" s="755" customFormat="1">
      <c r="A182" s="760"/>
      <c r="B182" s="761" t="s">
        <v>258</v>
      </c>
      <c r="C182" s="538">
        <f>SUM(C18:C181)</f>
        <v>259568928</v>
      </c>
      <c r="D182" s="538">
        <v>12495000</v>
      </c>
      <c r="E182" s="538">
        <f>$Z$182</f>
        <v>3115000</v>
      </c>
      <c r="F182" s="538">
        <v>14460000</v>
      </c>
      <c r="G182" s="538">
        <v>1662940</v>
      </c>
      <c r="H182" s="538">
        <v>750000</v>
      </c>
      <c r="I182" s="538">
        <v>3164845</v>
      </c>
      <c r="J182" s="452">
        <f>ROUND(SUM(J18:J181),0)</f>
        <v>0</v>
      </c>
      <c r="K182" s="538">
        <f>ROUND(SUM(K18:K181),0)</f>
        <v>295216715</v>
      </c>
      <c r="L182" s="538">
        <f>ROUND(SUM(L18:L181),0)</f>
        <v>26221</v>
      </c>
      <c r="M182" s="538"/>
      <c r="N182" s="769"/>
      <c r="O182" s="769"/>
      <c r="P182" s="781"/>
      <c r="Q182" s="782"/>
      <c r="R182" s="783"/>
      <c r="S182" s="831"/>
      <c r="T182" s="27"/>
      <c r="U182" s="47">
        <f>SUM(U18:U181)</f>
        <v>259568928</v>
      </c>
      <c r="V182" s="781"/>
      <c r="W182" s="782"/>
      <c r="X182" s="795"/>
      <c r="Y182" s="27"/>
      <c r="Z182" s="47">
        <f>SUM(Z18:Z181)</f>
        <v>3115000</v>
      </c>
    </row>
    <row r="183" spans="1:26" s="755" customFormat="1">
      <c r="A183" s="762"/>
      <c r="B183" s="763"/>
      <c r="C183" s="756"/>
      <c r="D183" s="756"/>
      <c r="E183" s="756"/>
      <c r="F183" s="756"/>
      <c r="G183" s="756"/>
      <c r="H183" s="756"/>
      <c r="I183" s="756"/>
      <c r="J183" s="453"/>
      <c r="K183" s="756">
        <v>324946305</v>
      </c>
      <c r="L183" s="756"/>
      <c r="M183" s="756"/>
      <c r="N183" s="769"/>
      <c r="O183" s="769"/>
      <c r="P183" s="454"/>
      <c r="Q183" s="784"/>
      <c r="R183" s="785"/>
      <c r="S183" s="828"/>
      <c r="T183" s="772"/>
      <c r="U183" s="786"/>
      <c r="V183" s="454"/>
      <c r="W183" s="784"/>
      <c r="X183" s="772"/>
      <c r="Y183" s="772"/>
      <c r="Z183" s="796"/>
    </row>
    <row r="184" spans="1:26" s="755" customFormat="1">
      <c r="A184" s="762"/>
      <c r="B184" s="763"/>
      <c r="C184" s="756"/>
      <c r="D184" s="756"/>
      <c r="E184" s="756"/>
      <c r="F184" s="756"/>
      <c r="G184" s="756"/>
      <c r="H184" s="756"/>
      <c r="I184" s="756"/>
      <c r="J184" s="453"/>
      <c r="K184" s="756"/>
      <c r="L184" s="756"/>
      <c r="M184" s="756"/>
      <c r="N184" s="769"/>
      <c r="O184" s="769"/>
      <c r="P184" s="454"/>
      <c r="Q184" s="784"/>
      <c r="R184" s="785"/>
      <c r="S184" s="828"/>
      <c r="T184" s="772"/>
      <c r="U184" s="786"/>
      <c r="V184" s="454"/>
      <c r="W184" s="784"/>
      <c r="X184" s="772"/>
      <c r="Y184" s="772"/>
      <c r="Z184" s="796"/>
    </row>
    <row r="185" spans="1:26" s="755" customFormat="1">
      <c r="A185" s="762"/>
      <c r="B185" s="763"/>
      <c r="C185" s="756"/>
      <c r="D185" s="756"/>
      <c r="E185" s="756"/>
      <c r="F185" s="756"/>
      <c r="G185" s="756"/>
      <c r="H185" s="756"/>
      <c r="I185" s="756"/>
      <c r="J185" s="453"/>
      <c r="K185" s="756">
        <f>K183-K182</f>
        <v>29729590</v>
      </c>
      <c r="L185" s="756"/>
      <c r="M185" s="756"/>
      <c r="N185" s="769"/>
      <c r="O185" s="769"/>
      <c r="P185" s="752"/>
      <c r="Q185" s="784"/>
      <c r="R185" s="785"/>
      <c r="S185" s="828"/>
      <c r="T185" s="772"/>
      <c r="U185" s="796"/>
      <c r="V185" s="454"/>
      <c r="W185" s="784"/>
      <c r="X185" s="772"/>
      <c r="Y185" s="772"/>
      <c r="Z185" s="796"/>
    </row>
    <row r="186" spans="1:26" s="755" customFormat="1">
      <c r="A186" s="762"/>
      <c r="B186" s="763"/>
      <c r="C186" s="756"/>
      <c r="D186" s="756"/>
      <c r="E186" s="756"/>
      <c r="F186" s="756"/>
      <c r="G186" s="756"/>
      <c r="H186" s="756"/>
      <c r="I186" s="756"/>
      <c r="J186" s="453"/>
      <c r="K186" s="756"/>
      <c r="L186" s="756"/>
      <c r="M186" s="756"/>
      <c r="N186" s="769"/>
      <c r="O186" s="769"/>
      <c r="P186" s="752"/>
      <c r="Q186" s="784"/>
      <c r="R186" s="785"/>
      <c r="S186" s="828"/>
      <c r="T186" s="772"/>
      <c r="U186" s="796"/>
      <c r="V186" s="454"/>
      <c r="W186" s="784"/>
      <c r="X186" s="772"/>
      <c r="Y186" s="772"/>
      <c r="Z186" s="796"/>
    </row>
    <row r="187" spans="1:26">
      <c r="P187" s="454"/>
      <c r="Q187" s="784"/>
      <c r="R187" s="785"/>
      <c r="S187" s="828"/>
      <c r="T187" s="772"/>
      <c r="U187" s="786"/>
      <c r="V187" s="454"/>
      <c r="W187" s="784"/>
      <c r="X187" s="772"/>
      <c r="Y187" s="772"/>
      <c r="Z187" s="796"/>
    </row>
    <row r="188" spans="1:26">
      <c r="P188" s="454"/>
      <c r="Q188" s="784"/>
      <c r="R188" s="785"/>
      <c r="S188" s="828"/>
      <c r="T188" s="772"/>
      <c r="U188" s="786"/>
      <c r="V188" s="454"/>
      <c r="W188" s="784"/>
      <c r="X188" s="772"/>
      <c r="Y188" s="772"/>
      <c r="Z188" s="796"/>
    </row>
    <row r="189" spans="1:26">
      <c r="P189" s="454"/>
      <c r="Q189" s="784"/>
      <c r="R189" s="785"/>
      <c r="S189" s="828"/>
      <c r="T189" s="772"/>
      <c r="U189" s="786"/>
      <c r="V189" s="454"/>
      <c r="W189" s="784"/>
      <c r="X189" s="772"/>
      <c r="Y189" s="772"/>
      <c r="Z189" s="796"/>
    </row>
    <row r="190" spans="1:26">
      <c r="P190" s="454"/>
      <c r="Q190" s="784"/>
      <c r="R190" s="785"/>
      <c r="S190" s="828"/>
      <c r="T190" s="772"/>
      <c r="U190" s="786"/>
      <c r="V190" s="454"/>
      <c r="W190" s="784"/>
      <c r="X190" s="772"/>
      <c r="Y190" s="772"/>
      <c r="Z190" s="796"/>
    </row>
    <row r="191" spans="1:26">
      <c r="P191" s="454"/>
      <c r="Q191" s="784"/>
      <c r="R191" s="785"/>
      <c r="S191" s="828"/>
      <c r="T191" s="772"/>
      <c r="U191" s="786"/>
      <c r="V191" s="454"/>
      <c r="W191" s="784"/>
      <c r="X191" s="772"/>
      <c r="Y191" s="772"/>
      <c r="Z191" s="796"/>
    </row>
    <row r="192" spans="1:26" ht="18" customHeight="1">
      <c r="A192" s="576" t="str">
        <f>TH!$A$1</f>
        <v>Đơn vị: CÔNG TY TNHH MỘT THÀNH VIÊN KHỞI NGUYÊN AN</v>
      </c>
      <c r="B192" s="755"/>
      <c r="C192" s="289"/>
      <c r="D192" s="289"/>
      <c r="E192" s="289"/>
      <c r="F192" s="289"/>
      <c r="G192" s="289"/>
      <c r="H192" s="289"/>
      <c r="I192" s="289"/>
      <c r="J192" s="439"/>
      <c r="K192" s="289"/>
      <c r="L192" s="604"/>
      <c r="M192" s="289"/>
      <c r="N192" s="769"/>
      <c r="O192" s="769"/>
      <c r="P192" s="454"/>
      <c r="Q192" s="784"/>
      <c r="R192" s="785"/>
      <c r="S192" s="828"/>
      <c r="T192" s="772"/>
      <c r="U192" s="786"/>
      <c r="V192" s="454"/>
      <c r="W192" s="784"/>
      <c r="X192" s="772"/>
      <c r="Y192" s="772"/>
      <c r="Z192" s="796"/>
    </row>
    <row r="193" spans="1:26" ht="18.75" customHeight="1">
      <c r="A193" s="756" t="s">
        <v>553</v>
      </c>
      <c r="B193" s="756"/>
      <c r="C193" s="756"/>
      <c r="D193" s="756"/>
      <c r="E193" s="756"/>
      <c r="F193" s="756"/>
      <c r="G193" s="756"/>
      <c r="H193" s="756"/>
      <c r="I193" s="756"/>
      <c r="J193" s="440"/>
      <c r="K193" s="756"/>
      <c r="L193" s="756"/>
      <c r="M193" s="756"/>
      <c r="N193" s="769"/>
      <c r="O193" s="769"/>
      <c r="P193" s="454"/>
      <c r="Q193" s="784"/>
      <c r="R193" s="785"/>
      <c r="S193" s="828"/>
      <c r="T193" s="772"/>
      <c r="U193" s="786"/>
      <c r="V193" s="454"/>
      <c r="W193" s="784"/>
      <c r="X193" s="772"/>
      <c r="Y193" s="772"/>
      <c r="Z193" s="796"/>
    </row>
    <row r="194" spans="1:26" ht="12.75" hidden="1" customHeight="1">
      <c r="A194" s="812"/>
      <c r="B194" s="804"/>
      <c r="C194" s="804"/>
      <c r="D194" s="804"/>
      <c r="E194" s="804"/>
      <c r="F194" s="804"/>
      <c r="G194" s="804"/>
      <c r="H194" s="804"/>
      <c r="I194" s="804"/>
      <c r="J194" s="442"/>
      <c r="K194" s="804"/>
      <c r="L194" s="771"/>
      <c r="M194" s="804"/>
      <c r="N194" s="769"/>
      <c r="O194" s="769"/>
      <c r="P194" s="454"/>
      <c r="Q194" s="784"/>
      <c r="R194" s="785"/>
      <c r="S194" s="828"/>
      <c r="T194" s="772"/>
      <c r="U194" s="786"/>
      <c r="V194" s="454"/>
      <c r="W194" s="784"/>
      <c r="X194" s="772"/>
      <c r="Y194" s="772"/>
      <c r="Z194" s="764"/>
    </row>
    <row r="195" spans="1:26" s="448" customFormat="1" ht="30.75" customHeight="1">
      <c r="A195" s="836" t="s">
        <v>35</v>
      </c>
      <c r="B195" s="443" t="s">
        <v>246</v>
      </c>
      <c r="C195" s="444" t="s">
        <v>250</v>
      </c>
      <c r="D195" s="444" t="s">
        <v>562</v>
      </c>
      <c r="E195" s="444" t="s">
        <v>251</v>
      </c>
      <c r="F195" s="444" t="s">
        <v>550</v>
      </c>
      <c r="G195" s="444" t="s">
        <v>252</v>
      </c>
      <c r="H195" s="445" t="s">
        <v>253</v>
      </c>
      <c r="I195" s="444" t="s">
        <v>549</v>
      </c>
      <c r="J195" s="445" t="s">
        <v>254</v>
      </c>
      <c r="K195" s="444" t="s">
        <v>255</v>
      </c>
      <c r="L195" s="446" t="s">
        <v>248</v>
      </c>
      <c r="M195" s="444" t="s">
        <v>256</v>
      </c>
      <c r="N195" s="447"/>
      <c r="O195" s="447"/>
      <c r="P195" s="443" t="s">
        <v>246</v>
      </c>
      <c r="Q195" s="444" t="s">
        <v>240</v>
      </c>
      <c r="R195" s="749"/>
      <c r="S195" s="824" t="s">
        <v>205</v>
      </c>
      <c r="T195" s="444" t="s">
        <v>249</v>
      </c>
      <c r="U195" s="444" t="s">
        <v>257</v>
      </c>
      <c r="V195" s="443" t="s">
        <v>246</v>
      </c>
      <c r="W195" s="444" t="s">
        <v>240</v>
      </c>
      <c r="X195" s="444" t="s">
        <v>205</v>
      </c>
      <c r="Y195" s="444" t="s">
        <v>249</v>
      </c>
      <c r="Z195" s="443" t="s">
        <v>257</v>
      </c>
    </row>
    <row r="196" spans="1:26" ht="13.5" customHeight="1">
      <c r="A196" s="758">
        <f>IF(B196&lt;&gt;"",ROW()-(ROW()-1),"")</f>
        <v>1</v>
      </c>
      <c r="B196" s="293" t="s">
        <v>693</v>
      </c>
      <c r="C196" s="25">
        <f>U196</f>
        <v>747224</v>
      </c>
      <c r="D196" s="759">
        <f t="shared" ref="D196:I205" si="70">IF($L$350&lt;&gt;0,D$350/$L$350*$L196,0)</f>
        <v>89944.470152707087</v>
      </c>
      <c r="E196" s="759">
        <f t="shared" si="70"/>
        <v>23726.834798704305</v>
      </c>
      <c r="F196" s="759">
        <f t="shared" si="70"/>
        <v>50356.035631652012</v>
      </c>
      <c r="G196" s="759">
        <f t="shared" si="70"/>
        <v>9149.9490976399811</v>
      </c>
      <c r="H196" s="759">
        <f t="shared" si="70"/>
        <v>87266.697516581829</v>
      </c>
      <c r="I196" s="759">
        <f t="shared" si="70"/>
        <v>15133.455961746105</v>
      </c>
      <c r="J196" s="360"/>
      <c r="K196" s="25">
        <f>SUM(C196:I196)+1</f>
        <v>1022802.4431590312</v>
      </c>
      <c r="L196" s="759">
        <v>124</v>
      </c>
      <c r="M196" s="759">
        <f>IF(L196&lt;&gt;"",K196/L196,"")</f>
        <v>8248.4067996696067</v>
      </c>
      <c r="N196" s="671">
        <v>10748</v>
      </c>
      <c r="O196" s="671"/>
      <c r="P196" s="293" t="s">
        <v>394</v>
      </c>
      <c r="Q196" s="774">
        <v>40739</v>
      </c>
      <c r="R196" s="775"/>
      <c r="S196" s="301">
        <f>L196</f>
        <v>124</v>
      </c>
      <c r="T196" s="808">
        <v>6026</v>
      </c>
      <c r="U196" s="25">
        <f t="shared" ref="U196:U197" si="71">ROUND(S196*T196,0)</f>
        <v>747224</v>
      </c>
      <c r="V196" s="449" t="s">
        <v>383</v>
      </c>
      <c r="W196" s="776">
        <v>40725</v>
      </c>
      <c r="X196" s="808">
        <v>50</v>
      </c>
      <c r="Y196" s="797">
        <v>23500</v>
      </c>
      <c r="Z196" s="25">
        <f t="shared" ref="Z196:Z349" si="72">ROUND(X196*Y196,0)</f>
        <v>1175000</v>
      </c>
    </row>
    <row r="197" spans="1:26" ht="13.5" customHeight="1">
      <c r="A197" s="758">
        <f>IF(B197&lt;&gt;"",A196+1,"")</f>
        <v>2</v>
      </c>
      <c r="B197" s="293" t="s">
        <v>694</v>
      </c>
      <c r="C197" s="25">
        <f t="shared" ref="C197:C243" si="73">U197</f>
        <v>10949708</v>
      </c>
      <c r="D197" s="759">
        <f t="shared" si="70"/>
        <v>937163.35030078678</v>
      </c>
      <c r="E197" s="759">
        <f t="shared" si="70"/>
        <v>247218.31096714485</v>
      </c>
      <c r="F197" s="759">
        <f t="shared" si="70"/>
        <v>524677.40351689036</v>
      </c>
      <c r="G197" s="759">
        <f t="shared" si="70"/>
        <v>95336.56640444239</v>
      </c>
      <c r="H197" s="759">
        <f t="shared" si="70"/>
        <v>909262.68702761072</v>
      </c>
      <c r="I197" s="759">
        <f t="shared" si="70"/>
        <v>157680.84760141908</v>
      </c>
      <c r="J197" s="360"/>
      <c r="K197" s="25">
        <f t="shared" ref="K197:K205" si="74">SUM(C197:I197)+1</f>
        <v>13821048.165818296</v>
      </c>
      <c r="L197" s="759">
        <v>1292</v>
      </c>
      <c r="M197" s="759">
        <f t="shared" ref="M197:M200" si="75">IF(L197&lt;&gt;"",K197/L197,"")</f>
        <v>10697.405701097752</v>
      </c>
      <c r="N197" s="671">
        <v>14010</v>
      </c>
      <c r="O197" s="671"/>
      <c r="P197" s="40" t="s">
        <v>476</v>
      </c>
      <c r="Q197" s="776">
        <v>40739</v>
      </c>
      <c r="R197" s="775"/>
      <c r="S197" s="301">
        <v>487</v>
      </c>
      <c r="T197" s="808">
        <v>22484</v>
      </c>
      <c r="U197" s="25">
        <f t="shared" si="71"/>
        <v>10949708</v>
      </c>
      <c r="V197" s="449" t="s">
        <v>383</v>
      </c>
      <c r="W197" s="776">
        <v>40745</v>
      </c>
      <c r="X197" s="808">
        <v>50</v>
      </c>
      <c r="Y197" s="808">
        <v>24000</v>
      </c>
      <c r="Z197" s="25">
        <f t="shared" si="72"/>
        <v>1200000</v>
      </c>
    </row>
    <row r="198" spans="1:26" ht="13.5" customHeight="1">
      <c r="A198" s="758">
        <f t="shared" ref="A198:A261" si="76">IF(B198&lt;&gt;"",A197+1,"")</f>
        <v>3</v>
      </c>
      <c r="B198" s="293" t="s">
        <v>695</v>
      </c>
      <c r="C198" s="25">
        <f t="shared" si="73"/>
        <v>428805</v>
      </c>
      <c r="D198" s="759">
        <f t="shared" si="70"/>
        <v>19584.683017121704</v>
      </c>
      <c r="E198" s="759">
        <f t="shared" si="70"/>
        <v>5166.3269319759374</v>
      </c>
      <c r="F198" s="759">
        <f t="shared" si="70"/>
        <v>10964.62066173068</v>
      </c>
      <c r="G198" s="759">
        <f t="shared" si="70"/>
        <v>1992.3276260990283</v>
      </c>
      <c r="H198" s="759">
        <f t="shared" si="70"/>
        <v>19001.619620546044</v>
      </c>
      <c r="I198" s="759">
        <f t="shared" si="70"/>
        <v>3295.1879916705229</v>
      </c>
      <c r="J198" s="360"/>
      <c r="K198" s="25">
        <f t="shared" si="74"/>
        <v>488810.76584914397</v>
      </c>
      <c r="L198" s="759">
        <v>27</v>
      </c>
      <c r="M198" s="759">
        <f t="shared" si="75"/>
        <v>18104.102438857182</v>
      </c>
      <c r="N198" s="671">
        <v>18287</v>
      </c>
      <c r="O198" s="671"/>
      <c r="P198" s="40" t="s">
        <v>492</v>
      </c>
      <c r="Q198" s="776">
        <v>40739</v>
      </c>
      <c r="R198" s="775"/>
      <c r="S198" s="301">
        <v>13</v>
      </c>
      <c r="T198" s="808">
        <v>32985</v>
      </c>
      <c r="U198" s="25">
        <f t="shared" ref="U198:U349" si="77">ROUND(S198*T198,0)</f>
        <v>428805</v>
      </c>
      <c r="V198" s="451" t="s">
        <v>358</v>
      </c>
      <c r="W198" s="776">
        <v>40725</v>
      </c>
      <c r="X198" s="808">
        <v>28</v>
      </c>
      <c r="Y198" s="806">
        <v>42000</v>
      </c>
      <c r="Z198" s="25">
        <f t="shared" si="72"/>
        <v>1176000</v>
      </c>
    </row>
    <row r="199" spans="1:26" ht="13.5" customHeight="1">
      <c r="A199" s="758">
        <f t="shared" si="76"/>
        <v>4</v>
      </c>
      <c r="B199" s="293" t="s">
        <v>696</v>
      </c>
      <c r="C199" s="25">
        <f t="shared" si="73"/>
        <v>266940</v>
      </c>
      <c r="D199" s="759">
        <f t="shared" si="70"/>
        <v>87043.035631652019</v>
      </c>
      <c r="E199" s="759">
        <f t="shared" si="70"/>
        <v>22961.453031004166</v>
      </c>
      <c r="F199" s="759">
        <f t="shared" si="70"/>
        <v>48731.647385469689</v>
      </c>
      <c r="G199" s="759">
        <f t="shared" si="70"/>
        <v>8854.789449329015</v>
      </c>
      <c r="H199" s="759">
        <f t="shared" si="70"/>
        <v>84451.642757982423</v>
      </c>
      <c r="I199" s="759">
        <f t="shared" si="70"/>
        <v>14645.279962980101</v>
      </c>
      <c r="J199" s="360"/>
      <c r="K199" s="25">
        <f t="shared" si="74"/>
        <v>533628.84821841738</v>
      </c>
      <c r="L199" s="759">
        <v>120</v>
      </c>
      <c r="M199" s="759">
        <f t="shared" si="75"/>
        <v>4446.9070684868111</v>
      </c>
      <c r="N199" s="671">
        <v>4504</v>
      </c>
      <c r="O199" s="671"/>
      <c r="P199" s="188" t="s">
        <v>382</v>
      </c>
      <c r="Q199" s="776">
        <v>40739</v>
      </c>
      <c r="R199" s="775"/>
      <c r="S199" s="301">
        <f>L199/2</f>
        <v>60</v>
      </c>
      <c r="T199" s="808">
        <f>4449</f>
        <v>4449</v>
      </c>
      <c r="U199" s="25">
        <f t="shared" si="77"/>
        <v>266940</v>
      </c>
      <c r="V199" s="451" t="s">
        <v>392</v>
      </c>
      <c r="W199" s="776">
        <v>40725</v>
      </c>
      <c r="X199" s="808">
        <v>6413.5</v>
      </c>
      <c r="Y199" s="808">
        <v>220</v>
      </c>
      <c r="Z199" s="25">
        <f t="shared" si="72"/>
        <v>1410970</v>
      </c>
    </row>
    <row r="200" spans="1:26" ht="13.5" customHeight="1">
      <c r="A200" s="758">
        <f>IF(B200&lt;&gt;"",A199+1,"")</f>
        <v>5</v>
      </c>
      <c r="B200" s="293" t="s">
        <v>697</v>
      </c>
      <c r="C200" s="25">
        <f t="shared" si="73"/>
        <v>266940</v>
      </c>
      <c r="D200" s="759">
        <f t="shared" si="70"/>
        <v>435215.17815826007</v>
      </c>
      <c r="E200" s="759">
        <f t="shared" si="70"/>
        <v>114807.26515502084</v>
      </c>
      <c r="F200" s="759">
        <f t="shared" si="70"/>
        <v>243658.23692734845</v>
      </c>
      <c r="G200" s="759">
        <f t="shared" si="70"/>
        <v>44273.947246645075</v>
      </c>
      <c r="H200" s="759">
        <f t="shared" si="70"/>
        <v>422258.21378991212</v>
      </c>
      <c r="I200" s="759">
        <f t="shared" si="70"/>
        <v>73226.399814900506</v>
      </c>
      <c r="J200" s="360"/>
      <c r="K200" s="25">
        <f t="shared" si="74"/>
        <v>1600380.2410920872</v>
      </c>
      <c r="L200" s="759">
        <v>600</v>
      </c>
      <c r="M200" s="759">
        <f t="shared" si="75"/>
        <v>2667.3004018201455</v>
      </c>
      <c r="N200" s="671">
        <v>2538</v>
      </c>
      <c r="O200" s="671"/>
      <c r="P200" s="188" t="s">
        <v>382</v>
      </c>
      <c r="Q200" s="776">
        <v>40739</v>
      </c>
      <c r="R200" s="775"/>
      <c r="S200" s="301">
        <f>L200/10</f>
        <v>60</v>
      </c>
      <c r="T200" s="808">
        <f>4449</f>
        <v>4449</v>
      </c>
      <c r="U200" s="25">
        <f t="shared" si="77"/>
        <v>266940</v>
      </c>
      <c r="V200" s="451"/>
      <c r="W200" s="776"/>
      <c r="X200" s="808"/>
      <c r="Y200" s="808"/>
      <c r="Z200" s="25">
        <f t="shared" si="72"/>
        <v>0</v>
      </c>
    </row>
    <row r="201" spans="1:26" ht="13.5" customHeight="1">
      <c r="A201" s="758">
        <f t="shared" si="76"/>
        <v>6</v>
      </c>
      <c r="B201" s="293" t="s">
        <v>698</v>
      </c>
      <c r="C201" s="25">
        <f t="shared" si="73"/>
        <v>78064</v>
      </c>
      <c r="D201" s="759">
        <f t="shared" si="70"/>
        <v>123310.96714484037</v>
      </c>
      <c r="E201" s="759">
        <f t="shared" si="70"/>
        <v>32528.725127255901</v>
      </c>
      <c r="F201" s="759">
        <f t="shared" si="70"/>
        <v>69036.500462748721</v>
      </c>
      <c r="G201" s="759">
        <f t="shared" si="70"/>
        <v>12544.285053216105</v>
      </c>
      <c r="H201" s="759">
        <f t="shared" si="70"/>
        <v>119639.8272404751</v>
      </c>
      <c r="I201" s="759">
        <f t="shared" si="70"/>
        <v>20747.479947555144</v>
      </c>
      <c r="J201" s="360"/>
      <c r="K201" s="25">
        <f t="shared" si="74"/>
        <v>455872.78497609135</v>
      </c>
      <c r="L201" s="759">
        <v>170</v>
      </c>
      <c r="M201" s="759">
        <f t="shared" ref="M201:M227" si="78">IF(L201&lt;&gt;"",K201/L201,"")</f>
        <v>2681.6046175064198</v>
      </c>
      <c r="N201" s="671">
        <v>2333</v>
      </c>
      <c r="O201" s="671"/>
      <c r="P201" s="293" t="s">
        <v>393</v>
      </c>
      <c r="Q201" s="776">
        <v>40739</v>
      </c>
      <c r="R201" s="775"/>
      <c r="S201" s="301">
        <f>L201/10</f>
        <v>17</v>
      </c>
      <c r="T201" s="808">
        <v>4592</v>
      </c>
      <c r="U201" s="25">
        <f t="shared" si="77"/>
        <v>78064</v>
      </c>
      <c r="V201" s="451"/>
      <c r="W201" s="776"/>
      <c r="X201" s="808"/>
      <c r="Y201" s="808"/>
      <c r="Z201" s="25"/>
    </row>
    <row r="202" spans="1:26" ht="13.5" customHeight="1">
      <c r="A202" s="758">
        <f t="shared" si="76"/>
        <v>7</v>
      </c>
      <c r="B202" s="293" t="s">
        <v>699</v>
      </c>
      <c r="C202" s="25">
        <f t="shared" si="73"/>
        <v>444897</v>
      </c>
      <c r="D202" s="759">
        <f t="shared" si="70"/>
        <v>72535.863026376683</v>
      </c>
      <c r="E202" s="759">
        <f t="shared" si="70"/>
        <v>19134.544192503472</v>
      </c>
      <c r="F202" s="759">
        <f t="shared" si="70"/>
        <v>40609.706154558073</v>
      </c>
      <c r="G202" s="759">
        <f t="shared" si="70"/>
        <v>7378.9912077741792</v>
      </c>
      <c r="H202" s="759">
        <f t="shared" si="70"/>
        <v>70376.368964985348</v>
      </c>
      <c r="I202" s="759">
        <f t="shared" si="70"/>
        <v>12204.399969150085</v>
      </c>
      <c r="J202" s="360"/>
      <c r="K202" s="25">
        <f t="shared" si="74"/>
        <v>667137.87351534783</v>
      </c>
      <c r="L202" s="759">
        <v>100</v>
      </c>
      <c r="M202" s="759">
        <f t="shared" si="78"/>
        <v>6671.3787351534784</v>
      </c>
      <c r="N202" s="671">
        <v>6577</v>
      </c>
      <c r="O202" s="671"/>
      <c r="P202" s="188" t="s">
        <v>382</v>
      </c>
      <c r="Q202" s="776">
        <v>40739</v>
      </c>
      <c r="R202" s="775"/>
      <c r="S202" s="301">
        <f>L202</f>
        <v>100</v>
      </c>
      <c r="T202" s="808">
        <v>4448.97</v>
      </c>
      <c r="U202" s="25">
        <f t="shared" si="77"/>
        <v>444897</v>
      </c>
      <c r="V202" s="451"/>
      <c r="W202" s="776"/>
      <c r="X202" s="808"/>
      <c r="Y202" s="808"/>
      <c r="Z202" s="25"/>
    </row>
    <row r="203" spans="1:26" ht="13.5" customHeight="1">
      <c r="A203" s="758">
        <f t="shared" si="76"/>
        <v>8</v>
      </c>
      <c r="B203" s="293" t="s">
        <v>699</v>
      </c>
      <c r="C203" s="25">
        <f t="shared" si="73"/>
        <v>26694</v>
      </c>
      <c r="D203" s="759">
        <f t="shared" si="70"/>
        <v>43521.51781582601</v>
      </c>
      <c r="E203" s="759">
        <f t="shared" si="70"/>
        <v>11480.726515502083</v>
      </c>
      <c r="F203" s="759">
        <f t="shared" si="70"/>
        <v>24365.823692734844</v>
      </c>
      <c r="G203" s="759">
        <f t="shared" si="70"/>
        <v>4427.3947246645075</v>
      </c>
      <c r="H203" s="759">
        <f t="shared" si="70"/>
        <v>42225.821378991212</v>
      </c>
      <c r="I203" s="759">
        <f t="shared" si="70"/>
        <v>7322.6399814900506</v>
      </c>
      <c r="J203" s="360"/>
      <c r="K203" s="25">
        <f t="shared" si="74"/>
        <v>160038.92410920869</v>
      </c>
      <c r="L203" s="759">
        <v>60</v>
      </c>
      <c r="M203" s="759">
        <f t="shared" si="78"/>
        <v>2667.3154018201449</v>
      </c>
      <c r="N203" s="671">
        <v>2711</v>
      </c>
      <c r="O203" s="671"/>
      <c r="P203" s="188" t="s">
        <v>382</v>
      </c>
      <c r="Q203" s="776">
        <v>40739</v>
      </c>
      <c r="R203" s="775"/>
      <c r="S203" s="301">
        <f>L203/10</f>
        <v>6</v>
      </c>
      <c r="T203" s="808">
        <f>4449</f>
        <v>4449</v>
      </c>
      <c r="U203" s="25">
        <f t="shared" si="77"/>
        <v>26694</v>
      </c>
      <c r="V203" s="451"/>
      <c r="W203" s="776"/>
      <c r="X203" s="808"/>
      <c r="Y203" s="808"/>
      <c r="Z203" s="25"/>
    </row>
    <row r="204" spans="1:26" ht="13.5" customHeight="1">
      <c r="A204" s="758">
        <f t="shared" si="76"/>
        <v>9</v>
      </c>
      <c r="B204" s="293" t="s">
        <v>528</v>
      </c>
      <c r="C204" s="25">
        <f t="shared" si="73"/>
        <v>71925</v>
      </c>
      <c r="D204" s="759">
        <f t="shared" si="70"/>
        <v>4352.151781582601</v>
      </c>
      <c r="E204" s="759">
        <f t="shared" si="70"/>
        <v>1148.0726515502083</v>
      </c>
      <c r="F204" s="759">
        <f t="shared" si="70"/>
        <v>2436.5823692734843</v>
      </c>
      <c r="G204" s="759">
        <f t="shared" si="70"/>
        <v>442.73947246645071</v>
      </c>
      <c r="H204" s="759">
        <f t="shared" si="70"/>
        <v>4222.5821378991213</v>
      </c>
      <c r="I204" s="759">
        <f t="shared" si="70"/>
        <v>732.26399814900503</v>
      </c>
      <c r="J204" s="360"/>
      <c r="K204" s="25">
        <f t="shared" si="74"/>
        <v>85260.39241092086</v>
      </c>
      <c r="L204" s="759">
        <v>6</v>
      </c>
      <c r="M204" s="759">
        <f t="shared" si="78"/>
        <v>14210.065401820144</v>
      </c>
      <c r="N204" s="671">
        <v>17330</v>
      </c>
      <c r="O204" s="671"/>
      <c r="P204" s="40" t="s">
        <v>490</v>
      </c>
      <c r="Q204" s="776">
        <v>40741</v>
      </c>
      <c r="R204" s="775"/>
      <c r="S204" s="301">
        <f>L204/2</f>
        <v>3</v>
      </c>
      <c r="T204" s="808">
        <v>23975</v>
      </c>
      <c r="U204" s="25">
        <f t="shared" si="77"/>
        <v>71925</v>
      </c>
      <c r="V204" s="451"/>
      <c r="W204" s="776"/>
      <c r="X204" s="808"/>
      <c r="Y204" s="808"/>
      <c r="Z204" s="25"/>
    </row>
    <row r="205" spans="1:26" ht="13.5" customHeight="1">
      <c r="A205" s="758">
        <f t="shared" si="76"/>
        <v>10</v>
      </c>
      <c r="B205" s="293" t="s">
        <v>529</v>
      </c>
      <c r="C205" s="25">
        <f t="shared" si="73"/>
        <v>799900</v>
      </c>
      <c r="D205" s="759">
        <f t="shared" si="70"/>
        <v>36267.931513188341</v>
      </c>
      <c r="E205" s="759">
        <f t="shared" si="70"/>
        <v>9567.272096251736</v>
      </c>
      <c r="F205" s="759">
        <f t="shared" si="70"/>
        <v>20304.853077279036</v>
      </c>
      <c r="G205" s="759">
        <f t="shared" si="70"/>
        <v>3689.4956038870896</v>
      </c>
      <c r="H205" s="759">
        <f t="shared" si="70"/>
        <v>35188.184482492674</v>
      </c>
      <c r="I205" s="759">
        <f t="shared" si="70"/>
        <v>6102.1999845750424</v>
      </c>
      <c r="J205" s="360"/>
      <c r="K205" s="25">
        <f t="shared" si="74"/>
        <v>911020.93675767386</v>
      </c>
      <c r="L205" s="759">
        <v>50</v>
      </c>
      <c r="M205" s="759">
        <f t="shared" si="78"/>
        <v>18220.418735153478</v>
      </c>
      <c r="N205" s="671">
        <v>19814</v>
      </c>
      <c r="O205" s="671"/>
      <c r="P205" s="188" t="s">
        <v>384</v>
      </c>
      <c r="Q205" s="776">
        <v>40741</v>
      </c>
      <c r="R205" s="775"/>
      <c r="S205" s="301">
        <v>50</v>
      </c>
      <c r="T205" s="808">
        <v>15998</v>
      </c>
      <c r="U205" s="25">
        <f t="shared" si="77"/>
        <v>799900</v>
      </c>
      <c r="V205" s="451"/>
      <c r="W205" s="776"/>
      <c r="X205" s="808"/>
      <c r="Y205" s="808"/>
      <c r="Z205" s="25"/>
    </row>
    <row r="206" spans="1:26" ht="13.5" customHeight="1">
      <c r="A206" s="758">
        <f t="shared" si="76"/>
        <v>11</v>
      </c>
      <c r="B206" s="293" t="s">
        <v>700</v>
      </c>
      <c r="C206" s="25">
        <f t="shared" si="73"/>
        <v>2166626</v>
      </c>
      <c r="D206" s="759">
        <f t="shared" ref="D206:I215" si="79">IF($L$350&lt;&gt;0,D$350/$L$350*$L206,0)</f>
        <v>87768.39426191579</v>
      </c>
      <c r="E206" s="759">
        <f t="shared" si="79"/>
        <v>23152.7984729292</v>
      </c>
      <c r="F206" s="759">
        <f t="shared" si="79"/>
        <v>49137.74444701527</v>
      </c>
      <c r="G206" s="759">
        <f t="shared" si="79"/>
        <v>8928.579361406757</v>
      </c>
      <c r="H206" s="759">
        <f t="shared" si="79"/>
        <v>85155.406447632282</v>
      </c>
      <c r="I206" s="759">
        <f t="shared" si="79"/>
        <v>14767.323962671602</v>
      </c>
      <c r="J206" s="360"/>
      <c r="K206" s="25">
        <f t="shared" ref="K206:K260" si="80">SUM(C206:I206)</f>
        <v>2435536.2469535707</v>
      </c>
      <c r="L206" s="759">
        <v>121</v>
      </c>
      <c r="M206" s="759">
        <f t="shared" si="78"/>
        <v>20128.398735153478</v>
      </c>
      <c r="N206" s="671">
        <v>21646</v>
      </c>
      <c r="O206" s="671"/>
      <c r="P206" s="40" t="s">
        <v>460</v>
      </c>
      <c r="Q206" s="776">
        <v>40741</v>
      </c>
      <c r="R206" s="775"/>
      <c r="S206" s="301">
        <f>L206/2</f>
        <v>60.5</v>
      </c>
      <c r="T206" s="808">
        <v>35812</v>
      </c>
      <c r="U206" s="25">
        <f t="shared" si="77"/>
        <v>2166626</v>
      </c>
      <c r="V206" s="451"/>
      <c r="W206" s="776"/>
      <c r="X206" s="808"/>
      <c r="Y206" s="808"/>
      <c r="Z206" s="25"/>
    </row>
    <row r="207" spans="1:26" ht="13.5" customHeight="1">
      <c r="A207" s="758">
        <f t="shared" si="76"/>
        <v>12</v>
      </c>
      <c r="B207" s="293" t="s">
        <v>530</v>
      </c>
      <c r="C207" s="25">
        <f t="shared" si="73"/>
        <v>1342356</v>
      </c>
      <c r="D207" s="759">
        <f t="shared" si="79"/>
        <v>60204.766311892643</v>
      </c>
      <c r="E207" s="759">
        <f t="shared" si="79"/>
        <v>15881.671679777883</v>
      </c>
      <c r="F207" s="759">
        <f t="shared" si="79"/>
        <v>33706.056108283199</v>
      </c>
      <c r="G207" s="759">
        <f t="shared" si="79"/>
        <v>6124.5627024525684</v>
      </c>
      <c r="H207" s="759">
        <f t="shared" si="79"/>
        <v>58412.386240937842</v>
      </c>
      <c r="I207" s="759">
        <f t="shared" si="79"/>
        <v>10129.65197439457</v>
      </c>
      <c r="J207" s="360"/>
      <c r="K207" s="25">
        <f t="shared" si="80"/>
        <v>1526815.0950177384</v>
      </c>
      <c r="L207" s="759">
        <v>83</v>
      </c>
      <c r="M207" s="759">
        <f t="shared" si="78"/>
        <v>18395.362590575161</v>
      </c>
      <c r="N207" s="671">
        <v>19248</v>
      </c>
      <c r="O207" s="671"/>
      <c r="P207" s="188" t="s">
        <v>401</v>
      </c>
      <c r="Q207" s="776">
        <v>40741</v>
      </c>
      <c r="R207" s="775"/>
      <c r="S207" s="301">
        <v>83</v>
      </c>
      <c r="T207" s="808">
        <v>16172.963855421687</v>
      </c>
      <c r="U207" s="25">
        <f t="shared" si="77"/>
        <v>1342356</v>
      </c>
      <c r="V207" s="451"/>
      <c r="W207" s="776"/>
      <c r="X207" s="808"/>
      <c r="Y207" s="808"/>
      <c r="Z207" s="25"/>
    </row>
    <row r="208" spans="1:26" ht="13.5" customHeight="1">
      <c r="A208" s="758">
        <f t="shared" si="76"/>
        <v>13</v>
      </c>
      <c r="B208" s="293" t="s">
        <v>531</v>
      </c>
      <c r="C208" s="25">
        <f t="shared" si="73"/>
        <v>8087</v>
      </c>
      <c r="D208" s="759">
        <f t="shared" si="79"/>
        <v>725.35863026376683</v>
      </c>
      <c r="E208" s="759">
        <f t="shared" si="79"/>
        <v>191.34544192503472</v>
      </c>
      <c r="F208" s="759">
        <f t="shared" si="79"/>
        <v>406.09706154558074</v>
      </c>
      <c r="G208" s="759">
        <f t="shared" si="79"/>
        <v>73.789912077741789</v>
      </c>
      <c r="H208" s="759">
        <f t="shared" si="79"/>
        <v>703.76368964985352</v>
      </c>
      <c r="I208" s="759">
        <f t="shared" si="79"/>
        <v>122.04399969150084</v>
      </c>
      <c r="J208" s="360"/>
      <c r="K208" s="25">
        <f t="shared" si="80"/>
        <v>10309.398735153478</v>
      </c>
      <c r="L208" s="759">
        <v>1</v>
      </c>
      <c r="M208" s="759">
        <f t="shared" si="78"/>
        <v>10309.398735153478</v>
      </c>
      <c r="N208" s="671">
        <v>14591</v>
      </c>
      <c r="O208" s="671"/>
      <c r="P208" s="188" t="s">
        <v>401</v>
      </c>
      <c r="Q208" s="776">
        <v>40741</v>
      </c>
      <c r="R208" s="775"/>
      <c r="S208" s="301">
        <f t="shared" ref="S208:S214" si="81">L208/2</f>
        <v>0.5</v>
      </c>
      <c r="T208" s="808">
        <v>16173</v>
      </c>
      <c r="U208" s="25">
        <f t="shared" si="77"/>
        <v>8087</v>
      </c>
      <c r="V208" s="451"/>
      <c r="W208" s="776"/>
      <c r="X208" s="808"/>
      <c r="Y208" s="808"/>
      <c r="Z208" s="25"/>
    </row>
    <row r="209" spans="1:26" ht="13.5" customHeight="1">
      <c r="A209" s="758">
        <f t="shared" si="76"/>
        <v>14</v>
      </c>
      <c r="B209" s="293" t="s">
        <v>701</v>
      </c>
      <c r="C209" s="25">
        <f t="shared" si="73"/>
        <v>1432480</v>
      </c>
      <c r="D209" s="759">
        <f t="shared" si="79"/>
        <v>58028.690421101346</v>
      </c>
      <c r="E209" s="759">
        <f t="shared" si="79"/>
        <v>15307.635354002778</v>
      </c>
      <c r="F209" s="759">
        <f t="shared" si="79"/>
        <v>32487.76492364646</v>
      </c>
      <c r="G209" s="759">
        <f t="shared" si="79"/>
        <v>5903.1929662193434</v>
      </c>
      <c r="H209" s="759">
        <f t="shared" si="79"/>
        <v>56301.09517198828</v>
      </c>
      <c r="I209" s="759">
        <f t="shared" si="79"/>
        <v>9763.5199753200668</v>
      </c>
      <c r="J209" s="360"/>
      <c r="K209" s="25">
        <f t="shared" si="80"/>
        <v>1610271.8988122779</v>
      </c>
      <c r="L209" s="759">
        <v>80</v>
      </c>
      <c r="M209" s="759">
        <f t="shared" si="78"/>
        <v>20128.398735153474</v>
      </c>
      <c r="N209" s="671">
        <v>20979</v>
      </c>
      <c r="O209" s="671"/>
      <c r="P209" s="40" t="s">
        <v>460</v>
      </c>
      <c r="Q209" s="776">
        <v>40741</v>
      </c>
      <c r="R209" s="775"/>
      <c r="S209" s="301">
        <f t="shared" si="81"/>
        <v>40</v>
      </c>
      <c r="T209" s="808">
        <v>35812</v>
      </c>
      <c r="U209" s="25">
        <f t="shared" si="77"/>
        <v>1432480</v>
      </c>
      <c r="V209" s="451"/>
      <c r="W209" s="776"/>
      <c r="X209" s="808"/>
      <c r="Y209" s="808"/>
      <c r="Z209" s="25"/>
    </row>
    <row r="210" spans="1:26" ht="13.5" customHeight="1">
      <c r="A210" s="758">
        <f t="shared" si="76"/>
        <v>15</v>
      </c>
      <c r="B210" s="293" t="s">
        <v>702</v>
      </c>
      <c r="C210" s="25">
        <f t="shared" si="73"/>
        <v>2307162</v>
      </c>
      <c r="D210" s="759">
        <f t="shared" si="79"/>
        <v>113155.94632114762</v>
      </c>
      <c r="E210" s="759">
        <f t="shared" si="79"/>
        <v>29849.888940305416</v>
      </c>
      <c r="F210" s="759">
        <f t="shared" si="79"/>
        <v>63351.141601110598</v>
      </c>
      <c r="G210" s="759">
        <f t="shared" si="79"/>
        <v>11511.226284127719</v>
      </c>
      <c r="H210" s="759">
        <f t="shared" si="79"/>
        <v>109787.13558537715</v>
      </c>
      <c r="I210" s="759">
        <f t="shared" si="79"/>
        <v>19038.863951874133</v>
      </c>
      <c r="J210" s="360"/>
      <c r="K210" s="25">
        <f t="shared" si="80"/>
        <v>2653856.2026839424</v>
      </c>
      <c r="L210" s="759">
        <v>156</v>
      </c>
      <c r="M210" s="759">
        <f t="shared" si="78"/>
        <v>17011.898735153478</v>
      </c>
      <c r="N210" s="671">
        <v>18287</v>
      </c>
      <c r="O210" s="671"/>
      <c r="P210" s="188" t="s">
        <v>444</v>
      </c>
      <c r="Q210" s="776">
        <v>40741</v>
      </c>
      <c r="R210" s="775"/>
      <c r="S210" s="301">
        <f t="shared" si="81"/>
        <v>78</v>
      </c>
      <c r="T210" s="808">
        <v>29579</v>
      </c>
      <c r="U210" s="25">
        <f t="shared" si="77"/>
        <v>2307162</v>
      </c>
      <c r="V210" s="451"/>
      <c r="W210" s="776"/>
      <c r="X210" s="808"/>
      <c r="Y210" s="808"/>
      <c r="Z210" s="25"/>
    </row>
    <row r="211" spans="1:26" ht="13.5" customHeight="1">
      <c r="A211" s="758">
        <f>IF(B211&lt;&gt;"",A210+1,"")</f>
        <v>16</v>
      </c>
      <c r="B211" s="293" t="s">
        <v>703</v>
      </c>
      <c r="C211" s="25">
        <f t="shared" si="73"/>
        <v>3233915</v>
      </c>
      <c r="D211" s="759">
        <f t="shared" si="79"/>
        <v>442468.76446089777</v>
      </c>
      <c r="E211" s="759">
        <f t="shared" si="79"/>
        <v>116720.71957427118</v>
      </c>
      <c r="F211" s="759">
        <f t="shared" si="79"/>
        <v>247719.20754280424</v>
      </c>
      <c r="G211" s="759">
        <f t="shared" si="79"/>
        <v>45011.846367422491</v>
      </c>
      <c r="H211" s="759">
        <f t="shared" si="79"/>
        <v>429295.85068641067</v>
      </c>
      <c r="I211" s="759">
        <f t="shared" si="79"/>
        <v>74446.839811815516</v>
      </c>
      <c r="J211" s="360"/>
      <c r="K211" s="25">
        <f t="shared" si="80"/>
        <v>4589578.2284436226</v>
      </c>
      <c r="L211" s="759">
        <v>610</v>
      </c>
      <c r="M211" s="759">
        <f t="shared" si="78"/>
        <v>7523.8987351534797</v>
      </c>
      <c r="N211" s="671">
        <v>9338</v>
      </c>
      <c r="O211" s="671"/>
      <c r="P211" s="188" t="s">
        <v>422</v>
      </c>
      <c r="Q211" s="776">
        <v>40741</v>
      </c>
      <c r="R211" s="775"/>
      <c r="S211" s="301">
        <f t="shared" si="81"/>
        <v>305</v>
      </c>
      <c r="T211" s="289">
        <v>10603</v>
      </c>
      <c r="U211" s="25">
        <f t="shared" si="77"/>
        <v>3233915</v>
      </c>
      <c r="V211" s="451"/>
      <c r="W211" s="776"/>
      <c r="X211" s="808"/>
      <c r="Y211" s="808"/>
      <c r="Z211" s="25"/>
    </row>
    <row r="212" spans="1:26" ht="13.5" customHeight="1">
      <c r="A212" s="758">
        <f t="shared" si="76"/>
        <v>17</v>
      </c>
      <c r="B212" s="293" t="s">
        <v>704</v>
      </c>
      <c r="C212" s="25">
        <f t="shared" si="73"/>
        <v>848208</v>
      </c>
      <c r="D212" s="759">
        <f t="shared" si="79"/>
        <v>118958.81536325776</v>
      </c>
      <c r="E212" s="759">
        <f t="shared" si="79"/>
        <v>31380.652475705694</v>
      </c>
      <c r="F212" s="759">
        <f t="shared" si="79"/>
        <v>66599.918093475237</v>
      </c>
      <c r="G212" s="759">
        <f t="shared" si="79"/>
        <v>12101.545580749653</v>
      </c>
      <c r="H212" s="759">
        <f t="shared" si="79"/>
        <v>115417.24510257598</v>
      </c>
      <c r="I212" s="759">
        <f t="shared" si="79"/>
        <v>20015.215949406138</v>
      </c>
      <c r="J212" s="360"/>
      <c r="K212" s="25">
        <f t="shared" si="80"/>
        <v>1212681.3925651705</v>
      </c>
      <c r="L212" s="759">
        <v>164</v>
      </c>
      <c r="M212" s="759">
        <f t="shared" si="78"/>
        <v>7394.3987351534788</v>
      </c>
      <c r="N212" s="671">
        <v>7868</v>
      </c>
      <c r="O212" s="671"/>
      <c r="P212" s="188" t="s">
        <v>451</v>
      </c>
      <c r="Q212" s="776">
        <v>40744</v>
      </c>
      <c r="R212" s="775"/>
      <c r="S212" s="301">
        <f t="shared" si="81"/>
        <v>82</v>
      </c>
      <c r="T212" s="808">
        <v>10344</v>
      </c>
      <c r="U212" s="25">
        <f t="shared" si="77"/>
        <v>848208</v>
      </c>
      <c r="V212" s="451"/>
      <c r="W212" s="776"/>
      <c r="X212" s="808"/>
      <c r="Y212" s="808"/>
      <c r="Z212" s="25"/>
    </row>
    <row r="213" spans="1:26" ht="13.5" customHeight="1">
      <c r="A213" s="758">
        <f t="shared" si="76"/>
        <v>18</v>
      </c>
      <c r="B213" s="293" t="s">
        <v>705</v>
      </c>
      <c r="C213" s="25">
        <f t="shared" si="73"/>
        <v>5172</v>
      </c>
      <c r="D213" s="759">
        <f t="shared" si="79"/>
        <v>725.35863026376683</v>
      </c>
      <c r="E213" s="759">
        <f t="shared" si="79"/>
        <v>191.34544192503472</v>
      </c>
      <c r="F213" s="759">
        <f t="shared" si="79"/>
        <v>406.09706154558074</v>
      </c>
      <c r="G213" s="759">
        <f t="shared" si="79"/>
        <v>73.789912077741789</v>
      </c>
      <c r="H213" s="759">
        <f t="shared" si="79"/>
        <v>703.76368964985352</v>
      </c>
      <c r="I213" s="759">
        <f t="shared" si="79"/>
        <v>122.04399969150084</v>
      </c>
      <c r="J213" s="360"/>
      <c r="K213" s="25">
        <f t="shared" si="80"/>
        <v>7394.3987351534788</v>
      </c>
      <c r="L213" s="759">
        <v>1</v>
      </c>
      <c r="M213" s="759">
        <f t="shared" si="78"/>
        <v>7394.3987351534788</v>
      </c>
      <c r="N213" s="671">
        <v>8450</v>
      </c>
      <c r="O213" s="671"/>
      <c r="P213" s="188" t="s">
        <v>451</v>
      </c>
      <c r="Q213" s="776">
        <v>40744</v>
      </c>
      <c r="R213" s="775"/>
      <c r="S213" s="301">
        <f t="shared" si="81"/>
        <v>0.5</v>
      </c>
      <c r="T213" s="808">
        <v>10344</v>
      </c>
      <c r="U213" s="25">
        <f t="shared" si="77"/>
        <v>5172</v>
      </c>
      <c r="V213" s="451"/>
      <c r="W213" s="776"/>
      <c r="X213" s="808"/>
      <c r="Y213" s="808"/>
      <c r="Z213" s="25"/>
    </row>
    <row r="214" spans="1:26" ht="13.5" customHeight="1">
      <c r="A214" s="758">
        <f t="shared" si="76"/>
        <v>19</v>
      </c>
      <c r="B214" s="293" t="s">
        <v>706</v>
      </c>
      <c r="C214" s="25">
        <f t="shared" si="73"/>
        <v>2225</v>
      </c>
      <c r="D214" s="759">
        <f t="shared" si="79"/>
        <v>725.35863026376683</v>
      </c>
      <c r="E214" s="759">
        <f t="shared" si="79"/>
        <v>191.34544192503472</v>
      </c>
      <c r="F214" s="759">
        <f t="shared" si="79"/>
        <v>406.09706154558074</v>
      </c>
      <c r="G214" s="759">
        <f t="shared" si="79"/>
        <v>73.789912077741789</v>
      </c>
      <c r="H214" s="759">
        <f t="shared" si="79"/>
        <v>703.76368964985352</v>
      </c>
      <c r="I214" s="759">
        <f t="shared" si="79"/>
        <v>122.04399969150084</v>
      </c>
      <c r="J214" s="360"/>
      <c r="K214" s="25">
        <f t="shared" si="80"/>
        <v>4447.3987351534788</v>
      </c>
      <c r="L214" s="759">
        <v>1</v>
      </c>
      <c r="M214" s="759">
        <f t="shared" si="78"/>
        <v>4447.3987351534788</v>
      </c>
      <c r="N214" s="671">
        <v>4751</v>
      </c>
      <c r="O214" s="671"/>
      <c r="P214" s="188" t="s">
        <v>382</v>
      </c>
      <c r="Q214" s="776">
        <v>40744</v>
      </c>
      <c r="R214" s="775"/>
      <c r="S214" s="301">
        <f t="shared" si="81"/>
        <v>0.5</v>
      </c>
      <c r="T214" s="808">
        <f>4449</f>
        <v>4449</v>
      </c>
      <c r="U214" s="25">
        <f t="shared" si="77"/>
        <v>2225</v>
      </c>
      <c r="V214" s="451"/>
      <c r="W214" s="776"/>
      <c r="X214" s="808"/>
      <c r="Y214" s="808"/>
      <c r="Z214" s="25"/>
    </row>
    <row r="215" spans="1:26" ht="13.5" customHeight="1">
      <c r="A215" s="758">
        <f t="shared" si="76"/>
        <v>20</v>
      </c>
      <c r="B215" s="293" t="s">
        <v>707</v>
      </c>
      <c r="C215" s="25">
        <f t="shared" si="73"/>
        <v>4449</v>
      </c>
      <c r="D215" s="759">
        <f t="shared" si="79"/>
        <v>725.35863026376683</v>
      </c>
      <c r="E215" s="759">
        <f t="shared" si="79"/>
        <v>191.34544192503472</v>
      </c>
      <c r="F215" s="759">
        <f t="shared" si="79"/>
        <v>406.09706154558074</v>
      </c>
      <c r="G215" s="759">
        <f t="shared" si="79"/>
        <v>73.789912077741789</v>
      </c>
      <c r="H215" s="759">
        <f t="shared" si="79"/>
        <v>703.76368964985352</v>
      </c>
      <c r="I215" s="759">
        <f t="shared" si="79"/>
        <v>122.04399969150084</v>
      </c>
      <c r="J215" s="360"/>
      <c r="K215" s="25">
        <f t="shared" si="80"/>
        <v>6671.3987351534788</v>
      </c>
      <c r="L215" s="759">
        <v>1</v>
      </c>
      <c r="M215" s="759">
        <f t="shared" si="78"/>
        <v>6671.3987351534788</v>
      </c>
      <c r="N215" s="671">
        <v>6560</v>
      </c>
      <c r="O215" s="671"/>
      <c r="P215" s="188" t="s">
        <v>382</v>
      </c>
      <c r="Q215" s="776">
        <v>40744</v>
      </c>
      <c r="R215" s="775"/>
      <c r="S215" s="301">
        <f>L215</f>
        <v>1</v>
      </c>
      <c r="T215" s="808">
        <f>4449</f>
        <v>4449</v>
      </c>
      <c r="U215" s="25">
        <f t="shared" si="77"/>
        <v>4449</v>
      </c>
      <c r="V215" s="451"/>
      <c r="W215" s="776"/>
      <c r="X215" s="808"/>
      <c r="Y215" s="808"/>
      <c r="Z215" s="25"/>
    </row>
    <row r="216" spans="1:26" ht="13.5" customHeight="1">
      <c r="A216" s="758">
        <f t="shared" si="76"/>
        <v>21</v>
      </c>
      <c r="B216" s="293" t="s">
        <v>708</v>
      </c>
      <c r="C216" s="25">
        <f t="shared" si="73"/>
        <v>33741</v>
      </c>
      <c r="D216" s="759">
        <f t="shared" ref="D216:I225" si="82">IF($L$350&lt;&gt;0,D$350/$L$350*$L216,0)</f>
        <v>4352.151781582601</v>
      </c>
      <c r="E216" s="759">
        <f t="shared" si="82"/>
        <v>1148.0726515502083</v>
      </c>
      <c r="F216" s="759">
        <f t="shared" si="82"/>
        <v>2436.5823692734843</v>
      </c>
      <c r="G216" s="759">
        <f t="shared" si="82"/>
        <v>442.73947246645071</v>
      </c>
      <c r="H216" s="759">
        <f t="shared" si="82"/>
        <v>4222.5821378991213</v>
      </c>
      <c r="I216" s="759">
        <f t="shared" si="82"/>
        <v>732.26399814900503</v>
      </c>
      <c r="J216" s="360"/>
      <c r="K216" s="25">
        <f t="shared" si="80"/>
        <v>47075.392410920875</v>
      </c>
      <c r="L216" s="759">
        <v>6</v>
      </c>
      <c r="M216" s="759">
        <f t="shared" si="78"/>
        <v>7845.8987351534788</v>
      </c>
      <c r="N216" s="671">
        <v>9594</v>
      </c>
      <c r="O216" s="671"/>
      <c r="P216" s="188" t="s">
        <v>435</v>
      </c>
      <c r="Q216" s="776">
        <v>40744</v>
      </c>
      <c r="R216" s="775"/>
      <c r="S216" s="301">
        <v>3</v>
      </c>
      <c r="T216" s="808">
        <v>11247</v>
      </c>
      <c r="U216" s="25">
        <f t="shared" si="77"/>
        <v>33741</v>
      </c>
      <c r="V216" s="451"/>
      <c r="W216" s="776"/>
      <c r="X216" s="808"/>
      <c r="Y216" s="808"/>
      <c r="Z216" s="25"/>
    </row>
    <row r="217" spans="1:26" ht="13.5" customHeight="1">
      <c r="A217" s="758">
        <f t="shared" si="76"/>
        <v>22</v>
      </c>
      <c r="B217" s="293" t="s">
        <v>709</v>
      </c>
      <c r="C217" s="25">
        <f t="shared" si="73"/>
        <v>4449</v>
      </c>
      <c r="D217" s="759">
        <f t="shared" si="82"/>
        <v>725.35863026376683</v>
      </c>
      <c r="E217" s="759">
        <f t="shared" si="82"/>
        <v>191.34544192503472</v>
      </c>
      <c r="F217" s="759">
        <f t="shared" si="82"/>
        <v>406.09706154558074</v>
      </c>
      <c r="G217" s="759">
        <f t="shared" si="82"/>
        <v>73.789912077741789</v>
      </c>
      <c r="H217" s="759">
        <f t="shared" si="82"/>
        <v>703.76368964985352</v>
      </c>
      <c r="I217" s="759">
        <f t="shared" si="82"/>
        <v>122.04399969150084</v>
      </c>
      <c r="J217" s="360"/>
      <c r="K217" s="25">
        <f t="shared" si="80"/>
        <v>6671.3987351534788</v>
      </c>
      <c r="L217" s="759">
        <v>1</v>
      </c>
      <c r="M217" s="759">
        <f t="shared" si="78"/>
        <v>6671.3987351534788</v>
      </c>
      <c r="N217" s="671">
        <v>7094</v>
      </c>
      <c r="O217" s="671"/>
      <c r="P217" s="188" t="s">
        <v>382</v>
      </c>
      <c r="Q217" s="776">
        <v>40744</v>
      </c>
      <c r="R217" s="775"/>
      <c r="S217" s="301">
        <f>L217</f>
        <v>1</v>
      </c>
      <c r="T217" s="808">
        <f>4449</f>
        <v>4449</v>
      </c>
      <c r="U217" s="25">
        <f t="shared" si="77"/>
        <v>4449</v>
      </c>
      <c r="V217" s="451"/>
      <c r="W217" s="776"/>
      <c r="X217" s="808"/>
      <c r="Y217" s="808"/>
      <c r="Z217" s="25"/>
    </row>
    <row r="218" spans="1:26" ht="13.5" customHeight="1">
      <c r="A218" s="758">
        <f t="shared" si="76"/>
        <v>23</v>
      </c>
      <c r="B218" s="293" t="s">
        <v>532</v>
      </c>
      <c r="C218" s="25">
        <f t="shared" si="73"/>
        <v>18078</v>
      </c>
      <c r="D218" s="759">
        <f t="shared" si="82"/>
        <v>2176.0758907913005</v>
      </c>
      <c r="E218" s="759">
        <f t="shared" si="82"/>
        <v>574.03632577510416</v>
      </c>
      <c r="F218" s="759">
        <f t="shared" si="82"/>
        <v>1218.2911846367422</v>
      </c>
      <c r="G218" s="759">
        <f t="shared" si="82"/>
        <v>221.36973623322535</v>
      </c>
      <c r="H218" s="759">
        <f t="shared" si="82"/>
        <v>2111.2910689495607</v>
      </c>
      <c r="I218" s="759">
        <f t="shared" si="82"/>
        <v>366.13199907450252</v>
      </c>
      <c r="J218" s="360"/>
      <c r="K218" s="25">
        <f t="shared" si="80"/>
        <v>24745.196205460437</v>
      </c>
      <c r="L218" s="759">
        <v>3</v>
      </c>
      <c r="M218" s="759">
        <f t="shared" si="78"/>
        <v>8248.3987351534797</v>
      </c>
      <c r="N218" s="671">
        <v>9263</v>
      </c>
      <c r="O218" s="671"/>
      <c r="P218" s="293" t="s">
        <v>394</v>
      </c>
      <c r="Q218" s="776">
        <v>40744</v>
      </c>
      <c r="R218" s="775"/>
      <c r="S218" s="301">
        <f>L218</f>
        <v>3</v>
      </c>
      <c r="T218" s="808">
        <v>6026</v>
      </c>
      <c r="U218" s="25">
        <f t="shared" si="77"/>
        <v>18078</v>
      </c>
      <c r="V218" s="451"/>
      <c r="W218" s="776"/>
      <c r="X218" s="808"/>
      <c r="Y218" s="808"/>
      <c r="Z218" s="25"/>
    </row>
    <row r="219" spans="1:26" ht="13.5" customHeight="1">
      <c r="A219" s="758">
        <f t="shared" si="76"/>
        <v>24</v>
      </c>
      <c r="B219" s="293" t="s">
        <v>533</v>
      </c>
      <c r="C219" s="25">
        <f t="shared" si="73"/>
        <v>78540</v>
      </c>
      <c r="D219" s="759">
        <f t="shared" si="82"/>
        <v>8704.3035631652019</v>
      </c>
      <c r="E219" s="759">
        <f t="shared" si="82"/>
        <v>2296.1453031004166</v>
      </c>
      <c r="F219" s="759">
        <f t="shared" si="82"/>
        <v>4873.1647385469687</v>
      </c>
      <c r="G219" s="759">
        <f t="shared" si="82"/>
        <v>885.47894493290141</v>
      </c>
      <c r="H219" s="759">
        <f t="shared" si="82"/>
        <v>8445.1642757982427</v>
      </c>
      <c r="I219" s="759">
        <f t="shared" si="82"/>
        <v>1464.5279962980101</v>
      </c>
      <c r="J219" s="360"/>
      <c r="K219" s="25">
        <f t="shared" si="80"/>
        <v>105208.78482184175</v>
      </c>
      <c r="L219" s="759">
        <v>12</v>
      </c>
      <c r="M219" s="759">
        <f t="shared" si="78"/>
        <v>8767.3987351534797</v>
      </c>
      <c r="N219" s="671">
        <v>10595</v>
      </c>
      <c r="O219" s="671"/>
      <c r="P219" s="40" t="s">
        <v>470</v>
      </c>
      <c r="Q219" s="776">
        <v>40744</v>
      </c>
      <c r="R219" s="775"/>
      <c r="S219" s="301">
        <f>L219/2</f>
        <v>6</v>
      </c>
      <c r="T219" s="253">
        <v>13090</v>
      </c>
      <c r="U219" s="25">
        <f t="shared" si="77"/>
        <v>78540</v>
      </c>
      <c r="V219" s="451"/>
      <c r="W219" s="776"/>
      <c r="X219" s="808"/>
      <c r="Y219" s="808"/>
      <c r="Z219" s="25"/>
    </row>
    <row r="220" spans="1:26" ht="13.5" customHeight="1">
      <c r="A220" s="758">
        <f t="shared" si="76"/>
        <v>25</v>
      </c>
      <c r="B220" s="293" t="s">
        <v>534</v>
      </c>
      <c r="C220" s="25">
        <f t="shared" si="73"/>
        <v>40757</v>
      </c>
      <c r="D220" s="759">
        <f t="shared" si="82"/>
        <v>3626.7931513188341</v>
      </c>
      <c r="E220" s="759">
        <f t="shared" si="82"/>
        <v>956.7272096251736</v>
      </c>
      <c r="F220" s="759">
        <f t="shared" si="82"/>
        <v>2030.4853077279038</v>
      </c>
      <c r="G220" s="759">
        <f t="shared" si="82"/>
        <v>368.94956038870896</v>
      </c>
      <c r="H220" s="759">
        <f t="shared" si="82"/>
        <v>3518.8184482492675</v>
      </c>
      <c r="I220" s="759">
        <f t="shared" si="82"/>
        <v>610.21999845750418</v>
      </c>
      <c r="J220" s="360"/>
      <c r="K220" s="25">
        <f t="shared" si="80"/>
        <v>51868.9936757674</v>
      </c>
      <c r="L220" s="759">
        <v>5</v>
      </c>
      <c r="M220" s="759">
        <f t="shared" si="78"/>
        <v>10373.798735153479</v>
      </c>
      <c r="N220" s="671">
        <v>11321</v>
      </c>
      <c r="O220" s="671"/>
      <c r="P220" s="40" t="s">
        <v>469</v>
      </c>
      <c r="Q220" s="776">
        <v>40745</v>
      </c>
      <c r="R220" s="775"/>
      <c r="S220" s="301">
        <f>L220/2</f>
        <v>2.5</v>
      </c>
      <c r="T220" s="808">
        <v>16302.8</v>
      </c>
      <c r="U220" s="25">
        <f t="shared" si="77"/>
        <v>40757</v>
      </c>
      <c r="V220" s="451"/>
      <c r="W220" s="776"/>
      <c r="X220" s="808"/>
      <c r="Y220" s="808"/>
      <c r="Z220" s="25"/>
    </row>
    <row r="221" spans="1:26" ht="13.5" customHeight="1">
      <c r="A221" s="758">
        <f t="shared" si="76"/>
        <v>26</v>
      </c>
      <c r="B221" s="293" t="s">
        <v>535</v>
      </c>
      <c r="C221" s="25">
        <f t="shared" si="73"/>
        <v>8152</v>
      </c>
      <c r="D221" s="759">
        <f t="shared" si="82"/>
        <v>725.35863026376683</v>
      </c>
      <c r="E221" s="759">
        <f t="shared" si="82"/>
        <v>191.34544192503472</v>
      </c>
      <c r="F221" s="759">
        <f t="shared" si="82"/>
        <v>406.09706154558074</v>
      </c>
      <c r="G221" s="759">
        <f t="shared" si="82"/>
        <v>73.789912077741789</v>
      </c>
      <c r="H221" s="759">
        <f t="shared" si="82"/>
        <v>703.76368964985352</v>
      </c>
      <c r="I221" s="759">
        <f t="shared" si="82"/>
        <v>122.04399969150084</v>
      </c>
      <c r="J221" s="360"/>
      <c r="K221" s="25">
        <f t="shared" si="80"/>
        <v>10374.398735153478</v>
      </c>
      <c r="L221" s="759">
        <v>1</v>
      </c>
      <c r="M221" s="759">
        <f t="shared" si="78"/>
        <v>10374.398735153478</v>
      </c>
      <c r="N221" s="671">
        <v>10253</v>
      </c>
      <c r="O221" s="671"/>
      <c r="P221" s="40" t="s">
        <v>469</v>
      </c>
      <c r="Q221" s="776">
        <v>40745</v>
      </c>
      <c r="R221" s="775"/>
      <c r="S221" s="301">
        <f>L221/2</f>
        <v>0.5</v>
      </c>
      <c r="T221" s="808">
        <v>16303</v>
      </c>
      <c r="U221" s="25">
        <f t="shared" si="77"/>
        <v>8152</v>
      </c>
      <c r="V221" s="451"/>
      <c r="W221" s="776"/>
      <c r="X221" s="808"/>
      <c r="Y221" s="808"/>
      <c r="Z221" s="25"/>
    </row>
    <row r="222" spans="1:26" ht="13.5" customHeight="1">
      <c r="A222" s="758">
        <f t="shared" si="76"/>
        <v>27</v>
      </c>
      <c r="B222" s="293" t="s">
        <v>536</v>
      </c>
      <c r="C222" s="25">
        <f t="shared" si="73"/>
        <v>8087</v>
      </c>
      <c r="D222" s="759">
        <f t="shared" si="82"/>
        <v>725.35863026376683</v>
      </c>
      <c r="E222" s="759">
        <f t="shared" si="82"/>
        <v>191.34544192503472</v>
      </c>
      <c r="F222" s="759">
        <f t="shared" si="82"/>
        <v>406.09706154558074</v>
      </c>
      <c r="G222" s="759">
        <f t="shared" si="82"/>
        <v>73.789912077741789</v>
      </c>
      <c r="H222" s="759">
        <f t="shared" si="82"/>
        <v>703.76368964985352</v>
      </c>
      <c r="I222" s="759">
        <f t="shared" si="82"/>
        <v>122.04399969150084</v>
      </c>
      <c r="J222" s="360"/>
      <c r="K222" s="25">
        <f t="shared" si="80"/>
        <v>10309.398735153478</v>
      </c>
      <c r="L222" s="759">
        <v>1</v>
      </c>
      <c r="M222" s="759">
        <f t="shared" si="78"/>
        <v>10309.398735153478</v>
      </c>
      <c r="N222" s="671">
        <v>12564</v>
      </c>
      <c r="O222" s="671"/>
      <c r="P222" s="188" t="s">
        <v>401</v>
      </c>
      <c r="Q222" s="776">
        <v>40745</v>
      </c>
      <c r="R222" s="775"/>
      <c r="S222" s="301">
        <f>L222/2</f>
        <v>0.5</v>
      </c>
      <c r="T222" s="808">
        <v>16173</v>
      </c>
      <c r="U222" s="25">
        <f t="shared" si="77"/>
        <v>8087</v>
      </c>
      <c r="V222" s="451"/>
      <c r="W222" s="776"/>
      <c r="X222" s="808"/>
      <c r="Y222" s="808"/>
      <c r="Z222" s="25"/>
    </row>
    <row r="223" spans="1:26" ht="13.5" customHeight="1">
      <c r="A223" s="758">
        <f t="shared" si="76"/>
        <v>28</v>
      </c>
      <c r="B223" s="293" t="s">
        <v>710</v>
      </c>
      <c r="C223" s="25">
        <f t="shared" si="73"/>
        <v>215154</v>
      </c>
      <c r="D223" s="759">
        <f t="shared" si="82"/>
        <v>13056.455344747803</v>
      </c>
      <c r="E223" s="759">
        <f t="shared" si="82"/>
        <v>3444.217954650625</v>
      </c>
      <c r="F223" s="759">
        <f t="shared" si="82"/>
        <v>7309.7471078204535</v>
      </c>
      <c r="G223" s="759">
        <f t="shared" si="82"/>
        <v>1328.2184173993521</v>
      </c>
      <c r="H223" s="759">
        <f t="shared" si="82"/>
        <v>12667.746413697363</v>
      </c>
      <c r="I223" s="759">
        <f t="shared" si="82"/>
        <v>2196.791994447015</v>
      </c>
      <c r="J223" s="360"/>
      <c r="K223" s="25">
        <f t="shared" si="80"/>
        <v>255157.17723276262</v>
      </c>
      <c r="L223" s="759">
        <v>18</v>
      </c>
      <c r="M223" s="759">
        <f t="shared" si="78"/>
        <v>14175.39873515348</v>
      </c>
      <c r="N223" s="671">
        <v>14438</v>
      </c>
      <c r="O223" s="671"/>
      <c r="P223" s="40" t="s">
        <v>487</v>
      </c>
      <c r="Q223" s="776">
        <v>40745</v>
      </c>
      <c r="R223" s="775"/>
      <c r="S223" s="301">
        <v>9</v>
      </c>
      <c r="T223" s="808">
        <v>23906</v>
      </c>
      <c r="U223" s="25">
        <f t="shared" si="77"/>
        <v>215154</v>
      </c>
      <c r="V223" s="451"/>
      <c r="W223" s="776"/>
      <c r="X223" s="808"/>
      <c r="Y223" s="808"/>
      <c r="Z223" s="25"/>
    </row>
    <row r="224" spans="1:26" ht="13.5" customHeight="1">
      <c r="A224" s="758">
        <f t="shared" si="76"/>
        <v>29</v>
      </c>
      <c r="B224" s="293" t="s">
        <v>537</v>
      </c>
      <c r="C224" s="25">
        <f t="shared" si="73"/>
        <v>1892898</v>
      </c>
      <c r="D224" s="759">
        <f t="shared" si="82"/>
        <v>120409.53262378529</v>
      </c>
      <c r="E224" s="759">
        <f t="shared" si="82"/>
        <v>31763.343359555765</v>
      </c>
      <c r="F224" s="759">
        <f t="shared" si="82"/>
        <v>67412.112216566398</v>
      </c>
      <c r="G224" s="759">
        <f t="shared" si="82"/>
        <v>12249.125404905137</v>
      </c>
      <c r="H224" s="759">
        <f t="shared" si="82"/>
        <v>116824.77248187568</v>
      </c>
      <c r="I224" s="759">
        <f t="shared" si="82"/>
        <v>20259.30394878914</v>
      </c>
      <c r="J224" s="360"/>
      <c r="K224" s="25">
        <f t="shared" si="80"/>
        <v>2261816.1900354773</v>
      </c>
      <c r="L224" s="759">
        <v>166</v>
      </c>
      <c r="M224" s="759">
        <f t="shared" si="78"/>
        <v>13625.398735153478</v>
      </c>
      <c r="N224" s="671">
        <v>15618</v>
      </c>
      <c r="O224" s="671"/>
      <c r="P224" s="188" t="s">
        <v>406</v>
      </c>
      <c r="Q224" s="776">
        <v>40745</v>
      </c>
      <c r="R224" s="775"/>
      <c r="S224" s="301">
        <f>L224/2</f>
        <v>83</v>
      </c>
      <c r="T224" s="253">
        <v>22806</v>
      </c>
      <c r="U224" s="25">
        <f t="shared" si="77"/>
        <v>1892898</v>
      </c>
      <c r="V224" s="451"/>
      <c r="W224" s="776"/>
      <c r="X224" s="808"/>
      <c r="Y224" s="808"/>
      <c r="Z224" s="25"/>
    </row>
    <row r="225" spans="1:26" ht="13.5" customHeight="1">
      <c r="A225" s="758">
        <f t="shared" si="76"/>
        <v>30</v>
      </c>
      <c r="B225" s="293" t="s">
        <v>711</v>
      </c>
      <c r="C225" s="25">
        <f t="shared" si="73"/>
        <v>14280</v>
      </c>
      <c r="D225" s="759">
        <f t="shared" si="82"/>
        <v>1450.7172605275337</v>
      </c>
      <c r="E225" s="759">
        <f t="shared" si="82"/>
        <v>382.69088385006944</v>
      </c>
      <c r="F225" s="759">
        <f t="shared" si="82"/>
        <v>812.19412309116149</v>
      </c>
      <c r="G225" s="759">
        <f t="shared" si="82"/>
        <v>147.57982415548358</v>
      </c>
      <c r="H225" s="759">
        <f t="shared" si="82"/>
        <v>1407.527379299707</v>
      </c>
      <c r="I225" s="759">
        <f t="shared" si="82"/>
        <v>244.08799938300169</v>
      </c>
      <c r="J225" s="360"/>
      <c r="K225" s="25">
        <f t="shared" si="80"/>
        <v>18724.797470306956</v>
      </c>
      <c r="L225" s="759">
        <v>2</v>
      </c>
      <c r="M225" s="759">
        <f t="shared" si="78"/>
        <v>9362.3987351534779</v>
      </c>
      <c r="N225" s="671">
        <v>10026</v>
      </c>
      <c r="O225" s="671"/>
      <c r="P225" s="40" t="s">
        <v>471</v>
      </c>
      <c r="Q225" s="776">
        <v>40745</v>
      </c>
      <c r="R225" s="775"/>
      <c r="S225" s="301">
        <f>L225/2</f>
        <v>1</v>
      </c>
      <c r="T225" s="253">
        <v>14280</v>
      </c>
      <c r="U225" s="25">
        <f t="shared" si="77"/>
        <v>14280</v>
      </c>
      <c r="V225" s="451"/>
      <c r="W225" s="776"/>
      <c r="X225" s="808"/>
      <c r="Y225" s="808"/>
      <c r="Z225" s="25"/>
    </row>
    <row r="226" spans="1:26" ht="13.5" customHeight="1">
      <c r="A226" s="758">
        <f t="shared" si="76"/>
        <v>31</v>
      </c>
      <c r="B226" s="293" t="s">
        <v>712</v>
      </c>
      <c r="C226" s="25">
        <f t="shared" si="73"/>
        <v>8152</v>
      </c>
      <c r="D226" s="759">
        <f t="shared" ref="D226:I235" si="83">IF($L$350&lt;&gt;0,D$350/$L$350*$L226,0)</f>
        <v>725.35863026376683</v>
      </c>
      <c r="E226" s="759">
        <f t="shared" si="83"/>
        <v>191.34544192503472</v>
      </c>
      <c r="F226" s="759">
        <f t="shared" si="83"/>
        <v>406.09706154558074</v>
      </c>
      <c r="G226" s="759">
        <f t="shared" si="83"/>
        <v>73.789912077741789</v>
      </c>
      <c r="H226" s="759">
        <f t="shared" si="83"/>
        <v>703.76368964985352</v>
      </c>
      <c r="I226" s="759">
        <f t="shared" si="83"/>
        <v>122.04399969150084</v>
      </c>
      <c r="J226" s="360"/>
      <c r="K226" s="25">
        <f t="shared" si="80"/>
        <v>10374.398735153478</v>
      </c>
      <c r="L226" s="759">
        <v>1</v>
      </c>
      <c r="M226" s="759">
        <f t="shared" si="78"/>
        <v>10374.398735153478</v>
      </c>
      <c r="N226" s="671">
        <v>10723</v>
      </c>
      <c r="O226" s="671"/>
      <c r="P226" s="40" t="s">
        <v>469</v>
      </c>
      <c r="Q226" s="776">
        <v>40745</v>
      </c>
      <c r="R226" s="775"/>
      <c r="S226" s="301">
        <f t="shared" ref="S226" si="84">L226/2</f>
        <v>0.5</v>
      </c>
      <c r="T226" s="808">
        <v>16303</v>
      </c>
      <c r="U226" s="25">
        <f t="shared" si="77"/>
        <v>8152</v>
      </c>
      <c r="V226" s="451"/>
      <c r="W226" s="776"/>
      <c r="X226" s="808"/>
      <c r="Y226" s="808"/>
      <c r="Z226" s="25"/>
    </row>
    <row r="227" spans="1:26" ht="13.5" customHeight="1">
      <c r="A227" s="758">
        <f t="shared" si="76"/>
        <v>32</v>
      </c>
      <c r="B227" s="293" t="s">
        <v>538</v>
      </c>
      <c r="C227" s="25">
        <f t="shared" si="73"/>
        <v>42412</v>
      </c>
      <c r="D227" s="759">
        <f t="shared" si="83"/>
        <v>2901.4345210550673</v>
      </c>
      <c r="E227" s="759">
        <f t="shared" si="83"/>
        <v>765.38176770013888</v>
      </c>
      <c r="F227" s="759">
        <f t="shared" si="83"/>
        <v>1624.388246182323</v>
      </c>
      <c r="G227" s="759">
        <f t="shared" si="83"/>
        <v>295.15964831096716</v>
      </c>
      <c r="H227" s="759">
        <f t="shared" si="83"/>
        <v>2815.0547585994141</v>
      </c>
      <c r="I227" s="759">
        <f t="shared" si="83"/>
        <v>488.17599876600337</v>
      </c>
      <c r="J227" s="360"/>
      <c r="K227" s="25">
        <f t="shared" si="80"/>
        <v>51301.594940613912</v>
      </c>
      <c r="L227" s="759">
        <v>4</v>
      </c>
      <c r="M227" s="759">
        <f t="shared" si="78"/>
        <v>12825.398735153478</v>
      </c>
      <c r="N227" s="671">
        <v>14010</v>
      </c>
      <c r="O227" s="671"/>
      <c r="P227" s="188" t="s">
        <v>422</v>
      </c>
      <c r="Q227" s="776">
        <v>40745</v>
      </c>
      <c r="R227" s="775"/>
      <c r="S227" s="301">
        <f>L227</f>
        <v>4</v>
      </c>
      <c r="T227" s="808">
        <v>10603</v>
      </c>
      <c r="U227" s="25">
        <f t="shared" si="77"/>
        <v>42412</v>
      </c>
      <c r="V227" s="451"/>
      <c r="W227" s="776"/>
      <c r="X227" s="808"/>
      <c r="Y227" s="808"/>
      <c r="Z227" s="25"/>
    </row>
    <row r="228" spans="1:26" ht="13.5" customHeight="1">
      <c r="A228" s="758">
        <f t="shared" si="76"/>
        <v>33</v>
      </c>
      <c r="B228" s="293" t="s">
        <v>713</v>
      </c>
      <c r="C228" s="25">
        <f t="shared" si="73"/>
        <v>35574</v>
      </c>
      <c r="D228" s="759">
        <f t="shared" si="83"/>
        <v>2176.0758907913005</v>
      </c>
      <c r="E228" s="759">
        <f t="shared" si="83"/>
        <v>574.03632577510416</v>
      </c>
      <c r="F228" s="759">
        <f t="shared" si="83"/>
        <v>1218.2911846367422</v>
      </c>
      <c r="G228" s="759">
        <f t="shared" si="83"/>
        <v>221.36973623322535</v>
      </c>
      <c r="H228" s="759">
        <f t="shared" si="83"/>
        <v>2111.2910689495607</v>
      </c>
      <c r="I228" s="759">
        <f t="shared" si="83"/>
        <v>366.13199907450252</v>
      </c>
      <c r="J228" s="360"/>
      <c r="K228" s="25">
        <f t="shared" si="80"/>
        <v>42241.19620546043</v>
      </c>
      <c r="L228" s="759">
        <v>3</v>
      </c>
      <c r="M228" s="759">
        <f t="shared" ref="M228:M291" si="85">IF(L228&lt;&gt;"",K228/L228,"")</f>
        <v>14080.398735153476</v>
      </c>
      <c r="N228" s="671">
        <v>15054</v>
      </c>
      <c r="O228" s="671"/>
      <c r="P228" s="188" t="s">
        <v>405</v>
      </c>
      <c r="Q228" s="776">
        <v>40745</v>
      </c>
      <c r="R228" s="775"/>
      <c r="S228" s="301">
        <f>L228/2</f>
        <v>1.5</v>
      </c>
      <c r="T228" s="253">
        <v>23716</v>
      </c>
      <c r="U228" s="25">
        <f t="shared" si="77"/>
        <v>35574</v>
      </c>
      <c r="V228" s="451"/>
      <c r="W228" s="776"/>
      <c r="X228" s="808"/>
      <c r="Y228" s="808"/>
      <c r="Z228" s="25"/>
    </row>
    <row r="229" spans="1:26" ht="13.5" customHeight="1">
      <c r="A229" s="758">
        <f t="shared" si="76"/>
        <v>34</v>
      </c>
      <c r="B229" s="293" t="s">
        <v>539</v>
      </c>
      <c r="C229" s="25">
        <f t="shared" si="73"/>
        <v>35574</v>
      </c>
      <c r="D229" s="759">
        <f t="shared" si="83"/>
        <v>2176.0758907913005</v>
      </c>
      <c r="E229" s="759">
        <f t="shared" si="83"/>
        <v>574.03632577510416</v>
      </c>
      <c r="F229" s="759">
        <f t="shared" si="83"/>
        <v>1218.2911846367422</v>
      </c>
      <c r="G229" s="759">
        <f t="shared" si="83"/>
        <v>221.36973623322535</v>
      </c>
      <c r="H229" s="759">
        <f t="shared" si="83"/>
        <v>2111.2910689495607</v>
      </c>
      <c r="I229" s="759">
        <f t="shared" si="83"/>
        <v>366.13199907450252</v>
      </c>
      <c r="J229" s="360"/>
      <c r="K229" s="25">
        <f t="shared" si="80"/>
        <v>42241.19620546043</v>
      </c>
      <c r="L229" s="759">
        <v>3</v>
      </c>
      <c r="M229" s="759">
        <f t="shared" si="85"/>
        <v>14080.398735153476</v>
      </c>
      <c r="N229" s="671">
        <v>16284</v>
      </c>
      <c r="O229" s="671"/>
      <c r="P229" s="188" t="s">
        <v>405</v>
      </c>
      <c r="Q229" s="776">
        <v>40745</v>
      </c>
      <c r="R229" s="775"/>
      <c r="S229" s="301">
        <f>L229/2</f>
        <v>1.5</v>
      </c>
      <c r="T229" s="253">
        <v>23716</v>
      </c>
      <c r="U229" s="25">
        <f>ROUND(S229*T229,0)</f>
        <v>35574</v>
      </c>
      <c r="V229" s="451"/>
      <c r="W229" s="776"/>
      <c r="X229" s="808"/>
      <c r="Y229" s="808"/>
      <c r="Z229" s="25"/>
    </row>
    <row r="230" spans="1:26" ht="13.5" customHeight="1">
      <c r="A230" s="758">
        <f t="shared" si="76"/>
        <v>35</v>
      </c>
      <c r="B230" s="293" t="s">
        <v>714</v>
      </c>
      <c r="C230" s="25">
        <f t="shared" si="73"/>
        <v>1231524</v>
      </c>
      <c r="D230" s="759">
        <f t="shared" si="83"/>
        <v>77613.373438223047</v>
      </c>
      <c r="E230" s="759">
        <f t="shared" si="83"/>
        <v>20473.962285978716</v>
      </c>
      <c r="F230" s="759">
        <f t="shared" si="83"/>
        <v>43452.385585377138</v>
      </c>
      <c r="G230" s="759">
        <f t="shared" si="83"/>
        <v>7895.5205923183712</v>
      </c>
      <c r="H230" s="759">
        <f t="shared" si="83"/>
        <v>75302.714792534331</v>
      </c>
      <c r="I230" s="759">
        <f t="shared" si="83"/>
        <v>13058.707966990591</v>
      </c>
      <c r="J230" s="360"/>
      <c r="K230" s="25">
        <f t="shared" si="80"/>
        <v>1469320.6646614221</v>
      </c>
      <c r="L230" s="759">
        <v>107</v>
      </c>
      <c r="M230" s="759">
        <f t="shared" si="85"/>
        <v>13731.968828611421</v>
      </c>
      <c r="N230" s="671">
        <v>16832</v>
      </c>
      <c r="O230" s="671"/>
      <c r="P230" s="188" t="s">
        <v>406</v>
      </c>
      <c r="Q230" s="776">
        <v>40745</v>
      </c>
      <c r="R230" s="775"/>
      <c r="S230" s="301">
        <v>54</v>
      </c>
      <c r="T230" s="253">
        <v>22806</v>
      </c>
      <c r="U230" s="25">
        <f>ROUND(S230*T230,0)</f>
        <v>1231524</v>
      </c>
      <c r="V230" s="451"/>
      <c r="W230" s="776"/>
      <c r="X230" s="808"/>
      <c r="Y230" s="808"/>
      <c r="Z230" s="25"/>
    </row>
    <row r="231" spans="1:26" ht="13.5" customHeight="1">
      <c r="A231" s="758">
        <f>IF(B231&lt;&gt;"",A230+1,"")</f>
        <v>36</v>
      </c>
      <c r="B231" s="293" t="s">
        <v>715</v>
      </c>
      <c r="C231" s="25">
        <f t="shared" si="73"/>
        <v>695893</v>
      </c>
      <c r="D231" s="759">
        <f t="shared" si="83"/>
        <v>60204.766311892643</v>
      </c>
      <c r="E231" s="759">
        <f t="shared" si="83"/>
        <v>15881.671679777883</v>
      </c>
      <c r="F231" s="759">
        <f t="shared" si="83"/>
        <v>33706.056108283199</v>
      </c>
      <c r="G231" s="759">
        <f t="shared" si="83"/>
        <v>6124.5627024525684</v>
      </c>
      <c r="H231" s="759">
        <f t="shared" si="83"/>
        <v>58412.386240937842</v>
      </c>
      <c r="I231" s="759">
        <f t="shared" si="83"/>
        <v>10129.65197439457</v>
      </c>
      <c r="J231" s="360"/>
      <c r="K231" s="25">
        <f t="shared" si="80"/>
        <v>880352.09501773876</v>
      </c>
      <c r="L231" s="759">
        <v>83</v>
      </c>
      <c r="M231" s="759">
        <f t="shared" si="85"/>
        <v>10606.651747201671</v>
      </c>
      <c r="N231" s="671">
        <v>11079</v>
      </c>
      <c r="O231" s="671"/>
      <c r="P231" s="188" t="s">
        <v>434</v>
      </c>
      <c r="Q231" s="776">
        <v>40745</v>
      </c>
      <c r="R231" s="775"/>
      <c r="S231" s="301">
        <v>41</v>
      </c>
      <c r="T231" s="808">
        <v>16973</v>
      </c>
      <c r="U231" s="25">
        <f>ROUND(S231*T231,0)</f>
        <v>695893</v>
      </c>
      <c r="V231" s="451"/>
      <c r="W231" s="776"/>
      <c r="X231" s="808"/>
      <c r="Y231" s="808"/>
      <c r="Z231" s="25"/>
    </row>
    <row r="232" spans="1:26" ht="13.5" customHeight="1">
      <c r="A232" s="758">
        <f t="shared" si="76"/>
        <v>37</v>
      </c>
      <c r="B232" s="293" t="s">
        <v>716</v>
      </c>
      <c r="C232" s="25">
        <f t="shared" si="73"/>
        <v>263772</v>
      </c>
      <c r="D232" s="759">
        <f t="shared" si="83"/>
        <v>36993.290143452105</v>
      </c>
      <c r="E232" s="759">
        <f t="shared" si="83"/>
        <v>9758.6175381767716</v>
      </c>
      <c r="F232" s="759">
        <f t="shared" si="83"/>
        <v>20710.950138824617</v>
      </c>
      <c r="G232" s="759">
        <f t="shared" si="83"/>
        <v>3763.2855159648311</v>
      </c>
      <c r="H232" s="759">
        <f t="shared" si="83"/>
        <v>35891.948172142533</v>
      </c>
      <c r="I232" s="759">
        <f t="shared" si="83"/>
        <v>6224.2439842665426</v>
      </c>
      <c r="J232" s="360"/>
      <c r="K232" s="25">
        <f t="shared" si="80"/>
        <v>377114.33549282746</v>
      </c>
      <c r="L232" s="759">
        <v>51</v>
      </c>
      <c r="M232" s="759">
        <f t="shared" si="85"/>
        <v>7394.3987351534797</v>
      </c>
      <c r="N232" s="671">
        <v>8450</v>
      </c>
      <c r="O232" s="671"/>
      <c r="P232" s="188" t="s">
        <v>451</v>
      </c>
      <c r="Q232" s="776">
        <v>40745</v>
      </c>
      <c r="R232" s="775"/>
      <c r="S232" s="301">
        <f>L232/2</f>
        <v>25.5</v>
      </c>
      <c r="T232" s="808">
        <v>10344</v>
      </c>
      <c r="U232" s="25">
        <f t="shared" si="77"/>
        <v>263772</v>
      </c>
      <c r="V232" s="451"/>
      <c r="W232" s="776"/>
      <c r="X232" s="808"/>
      <c r="Y232" s="808"/>
      <c r="Z232" s="25"/>
    </row>
    <row r="233" spans="1:26" ht="13.5" customHeight="1">
      <c r="A233" s="758">
        <f t="shared" si="76"/>
        <v>38</v>
      </c>
      <c r="B233" s="293" t="s">
        <v>708</v>
      </c>
      <c r="C233" s="25">
        <f t="shared" si="73"/>
        <v>542340</v>
      </c>
      <c r="D233" s="759">
        <f t="shared" si="83"/>
        <v>65282.276723739014</v>
      </c>
      <c r="E233" s="759">
        <f t="shared" si="83"/>
        <v>17221.089773253123</v>
      </c>
      <c r="F233" s="759">
        <f t="shared" si="83"/>
        <v>36548.735539102265</v>
      </c>
      <c r="G233" s="759">
        <f t="shared" si="83"/>
        <v>6641.0920869967613</v>
      </c>
      <c r="H233" s="759">
        <f t="shared" si="83"/>
        <v>63338.732068486817</v>
      </c>
      <c r="I233" s="759">
        <f t="shared" si="83"/>
        <v>10983.959972235076</v>
      </c>
      <c r="J233" s="360"/>
      <c r="K233" s="25">
        <f t="shared" si="80"/>
        <v>742355.88616381295</v>
      </c>
      <c r="L233" s="759">
        <v>90</v>
      </c>
      <c r="M233" s="759">
        <f t="shared" si="85"/>
        <v>8248.3987351534779</v>
      </c>
      <c r="N233" s="671">
        <v>9594</v>
      </c>
      <c r="O233" s="671"/>
      <c r="P233" s="293" t="s">
        <v>394</v>
      </c>
      <c r="Q233" s="776">
        <v>40745</v>
      </c>
      <c r="R233" s="775"/>
      <c r="S233" s="301">
        <f>L233</f>
        <v>90</v>
      </c>
      <c r="T233" s="808">
        <v>6026</v>
      </c>
      <c r="U233" s="25">
        <f t="shared" si="77"/>
        <v>542340</v>
      </c>
      <c r="V233" s="451"/>
      <c r="W233" s="776"/>
      <c r="X233" s="808"/>
      <c r="Y233" s="808"/>
      <c r="Z233" s="25"/>
    </row>
    <row r="234" spans="1:26" ht="13.5" customHeight="1">
      <c r="A234" s="758">
        <f t="shared" si="76"/>
        <v>39</v>
      </c>
      <c r="B234" s="293" t="s">
        <v>710</v>
      </c>
      <c r="C234" s="25">
        <f t="shared" si="73"/>
        <v>7187425</v>
      </c>
      <c r="D234" s="759">
        <f t="shared" si="83"/>
        <v>485264.92364646</v>
      </c>
      <c r="E234" s="759">
        <f t="shared" si="83"/>
        <v>128010.10064784823</v>
      </c>
      <c r="F234" s="759">
        <f t="shared" si="83"/>
        <v>271678.93417399353</v>
      </c>
      <c r="G234" s="759">
        <f t="shared" si="83"/>
        <v>49365.451180009259</v>
      </c>
      <c r="H234" s="759">
        <f t="shared" si="83"/>
        <v>470817.90837575198</v>
      </c>
      <c r="I234" s="759">
        <f t="shared" si="83"/>
        <v>81647.435793614059</v>
      </c>
      <c r="J234" s="360"/>
      <c r="K234" s="25">
        <f t="shared" si="80"/>
        <v>8674209.7538176775</v>
      </c>
      <c r="L234" s="759">
        <v>669</v>
      </c>
      <c r="M234" s="759">
        <f t="shared" si="85"/>
        <v>12965.933862208785</v>
      </c>
      <c r="N234" s="671">
        <v>14438</v>
      </c>
      <c r="O234" s="671"/>
      <c r="P234" s="188" t="s">
        <v>495</v>
      </c>
      <c r="Q234" s="776">
        <v>40745</v>
      </c>
      <c r="R234" s="775"/>
      <c r="S234" s="301">
        <v>335</v>
      </c>
      <c r="T234" s="832">
        <v>21455</v>
      </c>
      <c r="U234" s="25">
        <f t="shared" si="77"/>
        <v>7187425</v>
      </c>
      <c r="V234" s="451"/>
      <c r="W234" s="776"/>
      <c r="X234" s="808"/>
      <c r="Y234" s="808"/>
      <c r="Z234" s="25"/>
    </row>
    <row r="235" spans="1:26" ht="13.5" customHeight="1">
      <c r="A235" s="758">
        <f>IF(B235&lt;&gt;"",A234+1,"")</f>
        <v>40</v>
      </c>
      <c r="B235" s="293" t="s">
        <v>533</v>
      </c>
      <c r="C235" s="25">
        <f t="shared" si="73"/>
        <v>1060576</v>
      </c>
      <c r="D235" s="759">
        <f t="shared" si="83"/>
        <v>127663.11892642296</v>
      </c>
      <c r="E235" s="759">
        <f t="shared" si="83"/>
        <v>33676.797778806111</v>
      </c>
      <c r="F235" s="759">
        <f t="shared" si="83"/>
        <v>71473.082832022206</v>
      </c>
      <c r="G235" s="759">
        <f t="shared" si="83"/>
        <v>12987.024525682555</v>
      </c>
      <c r="H235" s="759">
        <f t="shared" si="83"/>
        <v>123862.40937837421</v>
      </c>
      <c r="I235" s="759">
        <f t="shared" si="83"/>
        <v>21479.743945704147</v>
      </c>
      <c r="J235" s="360"/>
      <c r="K235" s="25">
        <f t="shared" si="80"/>
        <v>1451718.1773870119</v>
      </c>
      <c r="L235" s="759">
        <v>176</v>
      </c>
      <c r="M235" s="759">
        <f t="shared" si="85"/>
        <v>8248.3987351534761</v>
      </c>
      <c r="N235" s="671">
        <v>10595</v>
      </c>
      <c r="O235" s="671"/>
      <c r="P235" s="293" t="s">
        <v>394</v>
      </c>
      <c r="Q235" s="776">
        <v>40745</v>
      </c>
      <c r="R235" s="775"/>
      <c r="S235" s="301">
        <f>L235</f>
        <v>176</v>
      </c>
      <c r="T235" s="808">
        <v>6026</v>
      </c>
      <c r="U235" s="25">
        <f t="shared" si="77"/>
        <v>1060576</v>
      </c>
      <c r="V235" s="451"/>
      <c r="W235" s="776"/>
      <c r="X235" s="808"/>
      <c r="Y235" s="808"/>
      <c r="Z235" s="25"/>
    </row>
    <row r="236" spans="1:26" ht="13.5" customHeight="1">
      <c r="A236" s="758">
        <f t="shared" si="76"/>
        <v>41</v>
      </c>
      <c r="B236" s="293" t="s">
        <v>703</v>
      </c>
      <c r="C236" s="25">
        <f t="shared" si="73"/>
        <v>301300</v>
      </c>
      <c r="D236" s="759">
        <f t="shared" ref="D236:I245" si="86">IF($L$350&lt;&gt;0,D$350/$L$350*$L236,0)</f>
        <v>36267.931513188341</v>
      </c>
      <c r="E236" s="759">
        <f t="shared" si="86"/>
        <v>9567.272096251736</v>
      </c>
      <c r="F236" s="759">
        <f t="shared" si="86"/>
        <v>20304.853077279036</v>
      </c>
      <c r="G236" s="759">
        <f t="shared" si="86"/>
        <v>3689.4956038870896</v>
      </c>
      <c r="H236" s="759">
        <f t="shared" si="86"/>
        <v>35188.184482492674</v>
      </c>
      <c r="I236" s="759">
        <f t="shared" si="86"/>
        <v>6102.1999845750424</v>
      </c>
      <c r="J236" s="360"/>
      <c r="K236" s="25">
        <f t="shared" si="80"/>
        <v>412419.93675767392</v>
      </c>
      <c r="L236" s="759">
        <v>50</v>
      </c>
      <c r="M236" s="759">
        <f t="shared" si="85"/>
        <v>8248.3987351534779</v>
      </c>
      <c r="N236" s="671">
        <v>9793</v>
      </c>
      <c r="O236" s="671"/>
      <c r="P236" s="293" t="s">
        <v>394</v>
      </c>
      <c r="Q236" s="776">
        <v>40746</v>
      </c>
      <c r="R236" s="775"/>
      <c r="S236" s="301">
        <f>L236</f>
        <v>50</v>
      </c>
      <c r="T236" s="808">
        <v>6026</v>
      </c>
      <c r="U236" s="25">
        <f t="shared" si="77"/>
        <v>301300</v>
      </c>
      <c r="V236" s="451"/>
      <c r="W236" s="776"/>
      <c r="X236" s="808"/>
      <c r="Y236" s="808"/>
      <c r="Z236" s="25"/>
    </row>
    <row r="237" spans="1:26" ht="13.5" customHeight="1">
      <c r="A237" s="758">
        <f t="shared" si="76"/>
        <v>42</v>
      </c>
      <c r="B237" s="293" t="s">
        <v>538</v>
      </c>
      <c r="C237" s="25">
        <f t="shared" si="73"/>
        <v>544824</v>
      </c>
      <c r="D237" s="759">
        <f t="shared" si="86"/>
        <v>33366.496992133274</v>
      </c>
      <c r="E237" s="759">
        <f t="shared" si="86"/>
        <v>8801.8903285515971</v>
      </c>
      <c r="F237" s="759">
        <f t="shared" si="86"/>
        <v>18680.464831096713</v>
      </c>
      <c r="G237" s="759">
        <f t="shared" si="86"/>
        <v>3394.3359555761222</v>
      </c>
      <c r="H237" s="759">
        <f t="shared" si="86"/>
        <v>32373.12972389326</v>
      </c>
      <c r="I237" s="759">
        <f t="shared" si="86"/>
        <v>5614.023985809039</v>
      </c>
      <c r="J237" s="360"/>
      <c r="K237" s="25">
        <f t="shared" si="80"/>
        <v>647054.34181706014</v>
      </c>
      <c r="L237" s="759">
        <v>46</v>
      </c>
      <c r="M237" s="759">
        <f t="shared" si="85"/>
        <v>14066.398735153482</v>
      </c>
      <c r="N237" s="671">
        <v>14010</v>
      </c>
      <c r="O237" s="671"/>
      <c r="P237" s="40" t="s">
        <v>488</v>
      </c>
      <c r="Q237" s="776">
        <v>40746</v>
      </c>
      <c r="R237" s="775"/>
      <c r="S237" s="301">
        <v>23</v>
      </c>
      <c r="T237" s="832">
        <v>23688</v>
      </c>
      <c r="U237" s="25">
        <f t="shared" si="77"/>
        <v>544824</v>
      </c>
      <c r="V237" s="451"/>
      <c r="W237" s="776"/>
      <c r="X237" s="808"/>
      <c r="Y237" s="808"/>
      <c r="Z237" s="25"/>
    </row>
    <row r="238" spans="1:26" ht="13.5" customHeight="1">
      <c r="A238" s="758">
        <f t="shared" si="76"/>
        <v>43</v>
      </c>
      <c r="B238" s="293" t="s">
        <v>717</v>
      </c>
      <c r="C238" s="25">
        <f t="shared" si="73"/>
        <v>577082</v>
      </c>
      <c r="D238" s="759">
        <f t="shared" si="86"/>
        <v>49324.386857936144</v>
      </c>
      <c r="E238" s="759">
        <f t="shared" si="86"/>
        <v>13011.490050902361</v>
      </c>
      <c r="F238" s="759">
        <f t="shared" si="86"/>
        <v>27614.600185099491</v>
      </c>
      <c r="G238" s="759">
        <f t="shared" si="86"/>
        <v>5017.7140212864415</v>
      </c>
      <c r="H238" s="759">
        <f t="shared" si="86"/>
        <v>47855.930896190039</v>
      </c>
      <c r="I238" s="759">
        <f t="shared" si="86"/>
        <v>8298.9919790220574</v>
      </c>
      <c r="J238" s="360"/>
      <c r="K238" s="25">
        <f t="shared" si="80"/>
        <v>728205.11399043654</v>
      </c>
      <c r="L238" s="759">
        <v>68</v>
      </c>
      <c r="M238" s="759">
        <f t="shared" si="85"/>
        <v>10708.898735153478</v>
      </c>
      <c r="N238" s="671">
        <v>11067</v>
      </c>
      <c r="O238" s="671"/>
      <c r="P238" s="188" t="s">
        <v>434</v>
      </c>
      <c r="Q238" s="776">
        <v>40746</v>
      </c>
      <c r="R238" s="775"/>
      <c r="S238" s="301">
        <f t="shared" ref="S238" si="87">L238/2</f>
        <v>34</v>
      </c>
      <c r="T238" s="808">
        <v>16973</v>
      </c>
      <c r="U238" s="25">
        <f t="shared" si="77"/>
        <v>577082</v>
      </c>
      <c r="V238" s="451"/>
      <c r="W238" s="776"/>
      <c r="X238" s="808"/>
      <c r="Y238" s="808"/>
      <c r="Z238" s="25"/>
    </row>
    <row r="239" spans="1:26" ht="13.5" customHeight="1">
      <c r="A239" s="758">
        <f t="shared" si="76"/>
        <v>44</v>
      </c>
      <c r="B239" s="293" t="s">
        <v>540</v>
      </c>
      <c r="C239" s="25">
        <f t="shared" si="73"/>
        <v>570150</v>
      </c>
      <c r="D239" s="759">
        <f t="shared" si="86"/>
        <v>36267.931513188341</v>
      </c>
      <c r="E239" s="759">
        <f t="shared" si="86"/>
        <v>9567.272096251736</v>
      </c>
      <c r="F239" s="759">
        <f t="shared" si="86"/>
        <v>20304.853077279036</v>
      </c>
      <c r="G239" s="759">
        <f t="shared" si="86"/>
        <v>3689.4956038870896</v>
      </c>
      <c r="H239" s="759">
        <f t="shared" si="86"/>
        <v>35188.184482492674</v>
      </c>
      <c r="I239" s="759">
        <f t="shared" si="86"/>
        <v>6102.1999845750424</v>
      </c>
      <c r="J239" s="360"/>
      <c r="K239" s="25">
        <f t="shared" si="80"/>
        <v>681269.93675767386</v>
      </c>
      <c r="L239" s="759">
        <v>50</v>
      </c>
      <c r="M239" s="759">
        <f t="shared" si="85"/>
        <v>13625.398735153478</v>
      </c>
      <c r="N239" s="671">
        <v>16713</v>
      </c>
      <c r="O239" s="671"/>
      <c r="P239" s="188" t="s">
        <v>406</v>
      </c>
      <c r="Q239" s="776">
        <v>40746</v>
      </c>
      <c r="R239" s="775"/>
      <c r="S239" s="301">
        <f>L239/2</f>
        <v>25</v>
      </c>
      <c r="T239" s="253">
        <v>22806</v>
      </c>
      <c r="U239" s="25">
        <f t="shared" si="77"/>
        <v>570150</v>
      </c>
      <c r="V239" s="451"/>
      <c r="W239" s="776"/>
      <c r="X239" s="808"/>
      <c r="Y239" s="808"/>
      <c r="Z239" s="25"/>
    </row>
    <row r="240" spans="1:26" ht="13.5" customHeight="1">
      <c r="A240" s="758">
        <f t="shared" si="76"/>
        <v>45</v>
      </c>
      <c r="B240" s="293" t="s">
        <v>541</v>
      </c>
      <c r="C240" s="25">
        <f t="shared" si="73"/>
        <v>16303</v>
      </c>
      <c r="D240" s="759">
        <f t="shared" si="86"/>
        <v>1450.7172605275337</v>
      </c>
      <c r="E240" s="759">
        <f t="shared" si="86"/>
        <v>382.69088385006944</v>
      </c>
      <c r="F240" s="759">
        <f t="shared" si="86"/>
        <v>812.19412309116149</v>
      </c>
      <c r="G240" s="759">
        <f t="shared" si="86"/>
        <v>147.57982415548358</v>
      </c>
      <c r="H240" s="759">
        <f t="shared" si="86"/>
        <v>1407.527379299707</v>
      </c>
      <c r="I240" s="759">
        <f t="shared" si="86"/>
        <v>244.08799938300169</v>
      </c>
      <c r="J240" s="360"/>
      <c r="K240" s="25">
        <f t="shared" si="80"/>
        <v>20747.797470306956</v>
      </c>
      <c r="L240" s="759">
        <v>2</v>
      </c>
      <c r="M240" s="759">
        <f t="shared" si="85"/>
        <v>10373.898735153478</v>
      </c>
      <c r="N240" s="671">
        <v>12207</v>
      </c>
      <c r="O240" s="671"/>
      <c r="P240" s="40" t="s">
        <v>469</v>
      </c>
      <c r="Q240" s="776">
        <v>40746</v>
      </c>
      <c r="R240" s="775"/>
      <c r="S240" s="301">
        <f>L240/2</f>
        <v>1</v>
      </c>
      <c r="T240" s="808">
        <v>16303</v>
      </c>
      <c r="U240" s="25">
        <f t="shared" si="77"/>
        <v>16303</v>
      </c>
      <c r="V240" s="451"/>
      <c r="W240" s="776"/>
      <c r="X240" s="808"/>
      <c r="Y240" s="808"/>
      <c r="Z240" s="25"/>
    </row>
    <row r="241" spans="1:26" ht="13.5" customHeight="1">
      <c r="A241" s="758">
        <f t="shared" si="76"/>
        <v>46</v>
      </c>
      <c r="B241" s="293" t="s">
        <v>718</v>
      </c>
      <c r="C241" s="25">
        <f t="shared" si="73"/>
        <v>11858</v>
      </c>
      <c r="D241" s="759">
        <f t="shared" si="86"/>
        <v>725.35863026376683</v>
      </c>
      <c r="E241" s="759">
        <f t="shared" si="86"/>
        <v>191.34544192503472</v>
      </c>
      <c r="F241" s="759">
        <f t="shared" si="86"/>
        <v>406.09706154558074</v>
      </c>
      <c r="G241" s="759">
        <f t="shared" si="86"/>
        <v>73.789912077741789</v>
      </c>
      <c r="H241" s="759">
        <f t="shared" si="86"/>
        <v>703.76368964985352</v>
      </c>
      <c r="I241" s="759">
        <f t="shared" si="86"/>
        <v>122.04399969150084</v>
      </c>
      <c r="J241" s="360"/>
      <c r="K241" s="25">
        <f t="shared" si="80"/>
        <v>14080.398735153478</v>
      </c>
      <c r="L241" s="759">
        <v>1</v>
      </c>
      <c r="M241" s="759">
        <f t="shared" si="85"/>
        <v>14080.398735153478</v>
      </c>
      <c r="N241" s="671">
        <v>13099</v>
      </c>
      <c r="O241" s="671"/>
      <c r="P241" s="188" t="s">
        <v>405</v>
      </c>
      <c r="Q241" s="776">
        <v>40746</v>
      </c>
      <c r="R241" s="775"/>
      <c r="S241" s="301">
        <f>L241/2</f>
        <v>0.5</v>
      </c>
      <c r="T241" s="253">
        <v>23716</v>
      </c>
      <c r="U241" s="25">
        <f t="shared" si="77"/>
        <v>11858</v>
      </c>
      <c r="V241" s="451"/>
      <c r="W241" s="776"/>
      <c r="X241" s="808"/>
      <c r="Y241" s="808"/>
      <c r="Z241" s="25"/>
    </row>
    <row r="242" spans="1:26" ht="13.5" customHeight="1">
      <c r="A242" s="758">
        <f t="shared" si="76"/>
        <v>47</v>
      </c>
      <c r="B242" s="293" t="s">
        <v>542</v>
      </c>
      <c r="C242" s="25">
        <f t="shared" si="73"/>
        <v>40757</v>
      </c>
      <c r="D242" s="759">
        <f t="shared" si="86"/>
        <v>3626.7931513188341</v>
      </c>
      <c r="E242" s="759">
        <f t="shared" si="86"/>
        <v>956.7272096251736</v>
      </c>
      <c r="F242" s="759">
        <f t="shared" si="86"/>
        <v>2030.4853077279038</v>
      </c>
      <c r="G242" s="759">
        <f t="shared" si="86"/>
        <v>368.94956038870896</v>
      </c>
      <c r="H242" s="759">
        <f t="shared" si="86"/>
        <v>3518.8184482492675</v>
      </c>
      <c r="I242" s="759">
        <f t="shared" si="86"/>
        <v>610.21999845750418</v>
      </c>
      <c r="J242" s="360"/>
      <c r="K242" s="25">
        <f t="shared" si="80"/>
        <v>51868.9936757674</v>
      </c>
      <c r="L242" s="759">
        <v>5</v>
      </c>
      <c r="M242" s="759">
        <f t="shared" si="85"/>
        <v>10373.798735153479</v>
      </c>
      <c r="N242" s="671">
        <v>12179</v>
      </c>
      <c r="O242" s="671"/>
      <c r="P242" s="40" t="s">
        <v>469</v>
      </c>
      <c r="Q242" s="776">
        <v>40746</v>
      </c>
      <c r="R242" s="775"/>
      <c r="S242" s="301">
        <f>L242/2</f>
        <v>2.5</v>
      </c>
      <c r="T242" s="808">
        <v>16302.8</v>
      </c>
      <c r="U242" s="25">
        <f t="shared" si="77"/>
        <v>40757</v>
      </c>
      <c r="V242" s="451"/>
      <c r="W242" s="776"/>
      <c r="X242" s="808"/>
      <c r="Y242" s="808"/>
      <c r="Z242" s="25"/>
    </row>
    <row r="243" spans="1:26" ht="13.5" customHeight="1">
      <c r="A243" s="758">
        <f t="shared" si="76"/>
        <v>48</v>
      </c>
      <c r="B243" s="293" t="s">
        <v>535</v>
      </c>
      <c r="C243" s="25">
        <f t="shared" si="73"/>
        <v>43608</v>
      </c>
      <c r="D243" s="759">
        <f t="shared" si="86"/>
        <v>4352.151781582601</v>
      </c>
      <c r="E243" s="759">
        <f t="shared" si="86"/>
        <v>1148.0726515502083</v>
      </c>
      <c r="F243" s="759">
        <f t="shared" si="86"/>
        <v>2436.5823692734843</v>
      </c>
      <c r="G243" s="759">
        <f t="shared" si="86"/>
        <v>442.73947246645071</v>
      </c>
      <c r="H243" s="759">
        <f t="shared" si="86"/>
        <v>4222.5821378991213</v>
      </c>
      <c r="I243" s="759">
        <f t="shared" si="86"/>
        <v>732.26399814900503</v>
      </c>
      <c r="J243" s="360"/>
      <c r="K243" s="25">
        <f t="shared" si="80"/>
        <v>56942.392410920875</v>
      </c>
      <c r="L243" s="759">
        <v>6</v>
      </c>
      <c r="M243" s="759">
        <f t="shared" si="85"/>
        <v>9490.3987351534797</v>
      </c>
      <c r="N243" s="671">
        <v>10253</v>
      </c>
      <c r="O243" s="671"/>
      <c r="P243" s="188" t="s">
        <v>426</v>
      </c>
      <c r="Q243" s="776">
        <v>40746</v>
      </c>
      <c r="R243" s="775"/>
      <c r="S243" s="301">
        <f>L243</f>
        <v>6</v>
      </c>
      <c r="T243" s="253">
        <v>7268</v>
      </c>
      <c r="U243" s="25">
        <f t="shared" si="77"/>
        <v>43608</v>
      </c>
      <c r="V243" s="451"/>
      <c r="W243" s="776"/>
      <c r="X243" s="808"/>
      <c r="Y243" s="808"/>
      <c r="Z243" s="25"/>
    </row>
    <row r="244" spans="1:26" ht="13.5" customHeight="1">
      <c r="A244" s="758">
        <f t="shared" si="76"/>
        <v>49</v>
      </c>
      <c r="B244" s="293" t="s">
        <v>713</v>
      </c>
      <c r="C244" s="25">
        <f t="shared" ref="C244:C291" si="88">U244</f>
        <v>114030</v>
      </c>
      <c r="D244" s="759">
        <f t="shared" si="86"/>
        <v>7253.5863026376683</v>
      </c>
      <c r="E244" s="759">
        <f t="shared" si="86"/>
        <v>1913.4544192503472</v>
      </c>
      <c r="F244" s="759">
        <f t="shared" si="86"/>
        <v>4060.9706154558075</v>
      </c>
      <c r="G244" s="759">
        <f t="shared" si="86"/>
        <v>737.89912077741792</v>
      </c>
      <c r="H244" s="759">
        <f t="shared" si="86"/>
        <v>7037.636896498535</v>
      </c>
      <c r="I244" s="759">
        <f t="shared" si="86"/>
        <v>1220.4399969150084</v>
      </c>
      <c r="J244" s="360"/>
      <c r="K244" s="25">
        <f t="shared" si="80"/>
        <v>136253.9873515348</v>
      </c>
      <c r="L244" s="759">
        <v>10</v>
      </c>
      <c r="M244" s="759">
        <f t="shared" si="85"/>
        <v>13625.39873515348</v>
      </c>
      <c r="N244" s="671">
        <v>15053</v>
      </c>
      <c r="O244" s="671"/>
      <c r="P244" s="188" t="s">
        <v>406</v>
      </c>
      <c r="Q244" s="776">
        <v>40747</v>
      </c>
      <c r="R244" s="775"/>
      <c r="S244" s="301">
        <f>L244/2</f>
        <v>5</v>
      </c>
      <c r="T244" s="253">
        <v>22806</v>
      </c>
      <c r="U244" s="25">
        <f t="shared" si="77"/>
        <v>114030</v>
      </c>
      <c r="V244" s="451"/>
      <c r="W244" s="776"/>
      <c r="X244" s="808"/>
      <c r="Y244" s="808"/>
      <c r="Z244" s="25"/>
    </row>
    <row r="245" spans="1:26" ht="13.5" customHeight="1">
      <c r="A245" s="758">
        <f t="shared" si="76"/>
        <v>50</v>
      </c>
      <c r="B245" s="293" t="s">
        <v>701</v>
      </c>
      <c r="C245" s="25">
        <f t="shared" si="88"/>
        <v>2672480</v>
      </c>
      <c r="D245" s="759">
        <f t="shared" si="86"/>
        <v>116057.38084220269</v>
      </c>
      <c r="E245" s="759">
        <f t="shared" si="86"/>
        <v>30615.270708005555</v>
      </c>
      <c r="F245" s="759">
        <f t="shared" si="86"/>
        <v>64975.529847292921</v>
      </c>
      <c r="G245" s="759">
        <f t="shared" si="86"/>
        <v>11806.385932438687</v>
      </c>
      <c r="H245" s="759">
        <f t="shared" si="86"/>
        <v>112602.19034397656</v>
      </c>
      <c r="I245" s="759">
        <f t="shared" si="86"/>
        <v>19527.039950640134</v>
      </c>
      <c r="J245" s="360"/>
      <c r="K245" s="25">
        <f t="shared" si="80"/>
        <v>3028063.7976245559</v>
      </c>
      <c r="L245" s="759">
        <v>160</v>
      </c>
      <c r="M245" s="759">
        <f t="shared" si="85"/>
        <v>18925.398735153474</v>
      </c>
      <c r="N245" s="671">
        <v>20976</v>
      </c>
      <c r="O245" s="671"/>
      <c r="P245" s="40" t="s">
        <v>491</v>
      </c>
      <c r="Q245" s="776">
        <v>40747</v>
      </c>
      <c r="R245" s="775"/>
      <c r="S245" s="301">
        <v>160</v>
      </c>
      <c r="T245" s="808">
        <v>16703</v>
      </c>
      <c r="U245" s="25">
        <f t="shared" si="77"/>
        <v>2672480</v>
      </c>
      <c r="V245" s="451"/>
      <c r="W245" s="776"/>
      <c r="X245" s="808"/>
      <c r="Y245" s="808"/>
      <c r="Z245" s="25"/>
    </row>
    <row r="246" spans="1:26" ht="13.5" customHeight="1">
      <c r="A246" s="758">
        <f t="shared" si="76"/>
        <v>51</v>
      </c>
      <c r="B246" s="293" t="s">
        <v>543</v>
      </c>
      <c r="C246" s="25">
        <f t="shared" si="88"/>
        <v>124572</v>
      </c>
      <c r="D246" s="759">
        <f t="shared" ref="D246:I255" si="89">IF($L$350&lt;&gt;0,D$350/$L$350*$L246,0)</f>
        <v>39894.724664507172</v>
      </c>
      <c r="E246" s="759">
        <f t="shared" si="89"/>
        <v>10523.999305876911</v>
      </c>
      <c r="F246" s="759">
        <f t="shared" si="89"/>
        <v>22335.33838500694</v>
      </c>
      <c r="G246" s="759">
        <f t="shared" si="89"/>
        <v>4058.4451642757986</v>
      </c>
      <c r="H246" s="759">
        <f t="shared" si="89"/>
        <v>38707.002930741946</v>
      </c>
      <c r="I246" s="759">
        <f t="shared" si="89"/>
        <v>6712.419983032546</v>
      </c>
      <c r="J246" s="360"/>
      <c r="K246" s="25">
        <f t="shared" si="80"/>
        <v>246803.93043344127</v>
      </c>
      <c r="L246" s="759">
        <v>55</v>
      </c>
      <c r="M246" s="759">
        <f t="shared" si="85"/>
        <v>4487.3441896989325</v>
      </c>
      <c r="N246" s="671">
        <v>4422</v>
      </c>
      <c r="O246" s="671"/>
      <c r="P246" s="188" t="s">
        <v>382</v>
      </c>
      <c r="Q246" s="776">
        <v>40747</v>
      </c>
      <c r="R246" s="775"/>
      <c r="S246" s="301">
        <v>28</v>
      </c>
      <c r="T246" s="808">
        <f>4449</f>
        <v>4449</v>
      </c>
      <c r="U246" s="25">
        <f t="shared" si="77"/>
        <v>124572</v>
      </c>
      <c r="V246" s="451"/>
      <c r="W246" s="776"/>
      <c r="X246" s="808"/>
      <c r="Y246" s="808"/>
      <c r="Z246" s="25"/>
    </row>
    <row r="247" spans="1:26" ht="13.5" customHeight="1">
      <c r="A247" s="758">
        <f t="shared" si="76"/>
        <v>52</v>
      </c>
      <c r="B247" s="293" t="s">
        <v>536</v>
      </c>
      <c r="C247" s="25">
        <f t="shared" si="88"/>
        <v>65210</v>
      </c>
      <c r="D247" s="759">
        <f t="shared" si="89"/>
        <v>5802.8690421101346</v>
      </c>
      <c r="E247" s="759">
        <f t="shared" si="89"/>
        <v>1530.7635354002778</v>
      </c>
      <c r="F247" s="759">
        <f t="shared" si="89"/>
        <v>3248.7764923646459</v>
      </c>
      <c r="G247" s="759">
        <f t="shared" si="89"/>
        <v>590.31929662193431</v>
      </c>
      <c r="H247" s="759">
        <f t="shared" si="89"/>
        <v>5630.1095171988281</v>
      </c>
      <c r="I247" s="759">
        <f t="shared" si="89"/>
        <v>976.35199753200675</v>
      </c>
      <c r="J247" s="360"/>
      <c r="K247" s="25">
        <f t="shared" si="80"/>
        <v>82989.189881227823</v>
      </c>
      <c r="L247" s="759">
        <v>8</v>
      </c>
      <c r="M247" s="759">
        <f t="shared" si="85"/>
        <v>10373.648735153478</v>
      </c>
      <c r="N247" s="671">
        <v>12564</v>
      </c>
      <c r="O247" s="671"/>
      <c r="P247" s="40" t="s">
        <v>469</v>
      </c>
      <c r="Q247" s="776">
        <v>40747</v>
      </c>
      <c r="R247" s="775"/>
      <c r="S247" s="301">
        <f>L247/2</f>
        <v>4</v>
      </c>
      <c r="T247" s="808">
        <v>16302.5</v>
      </c>
      <c r="U247" s="25">
        <f t="shared" si="77"/>
        <v>65210</v>
      </c>
      <c r="V247" s="451"/>
      <c r="W247" s="776"/>
      <c r="X247" s="808"/>
      <c r="Y247" s="808"/>
      <c r="Z247" s="25"/>
    </row>
    <row r="248" spans="1:26" ht="13.5" customHeight="1">
      <c r="A248" s="758">
        <f t="shared" si="76"/>
        <v>53</v>
      </c>
      <c r="B248" s="293" t="s">
        <v>544</v>
      </c>
      <c r="C248" s="25">
        <f t="shared" si="88"/>
        <v>2225</v>
      </c>
      <c r="D248" s="759">
        <f t="shared" si="89"/>
        <v>725.35863026376683</v>
      </c>
      <c r="E248" s="759">
        <f t="shared" si="89"/>
        <v>191.34544192503472</v>
      </c>
      <c r="F248" s="759">
        <f t="shared" si="89"/>
        <v>406.09706154558074</v>
      </c>
      <c r="G248" s="759">
        <f t="shared" si="89"/>
        <v>73.789912077741789</v>
      </c>
      <c r="H248" s="759">
        <f t="shared" si="89"/>
        <v>703.76368964985352</v>
      </c>
      <c r="I248" s="759">
        <f t="shared" si="89"/>
        <v>122.04399969150084</v>
      </c>
      <c r="J248" s="360"/>
      <c r="K248" s="25">
        <f t="shared" si="80"/>
        <v>4447.3987351534788</v>
      </c>
      <c r="L248" s="759">
        <v>1</v>
      </c>
      <c r="M248" s="759">
        <f t="shared" si="85"/>
        <v>4447.3987351534788</v>
      </c>
      <c r="N248" s="671">
        <v>5210</v>
      </c>
      <c r="O248" s="671"/>
      <c r="P248" s="188" t="s">
        <v>382</v>
      </c>
      <c r="Q248" s="776">
        <v>40747</v>
      </c>
      <c r="R248" s="775"/>
      <c r="S248" s="301">
        <f>L248/2</f>
        <v>0.5</v>
      </c>
      <c r="T248" s="808">
        <f>4449</f>
        <v>4449</v>
      </c>
      <c r="U248" s="25">
        <f t="shared" si="77"/>
        <v>2225</v>
      </c>
      <c r="V248" s="451"/>
      <c r="W248" s="776"/>
      <c r="X248" s="808"/>
      <c r="Y248" s="808"/>
      <c r="Z248" s="25"/>
    </row>
    <row r="249" spans="1:26" ht="13.5" customHeight="1">
      <c r="A249" s="758">
        <f t="shared" si="76"/>
        <v>54</v>
      </c>
      <c r="B249" s="293" t="s">
        <v>709</v>
      </c>
      <c r="C249" s="25">
        <f t="shared" si="88"/>
        <v>4449</v>
      </c>
      <c r="D249" s="759">
        <f t="shared" si="89"/>
        <v>725.35863026376683</v>
      </c>
      <c r="E249" s="759">
        <f t="shared" si="89"/>
        <v>191.34544192503472</v>
      </c>
      <c r="F249" s="759">
        <f t="shared" si="89"/>
        <v>406.09706154558074</v>
      </c>
      <c r="G249" s="759">
        <f t="shared" si="89"/>
        <v>73.789912077741789</v>
      </c>
      <c r="H249" s="759">
        <f t="shared" si="89"/>
        <v>703.76368964985352</v>
      </c>
      <c r="I249" s="759">
        <f t="shared" si="89"/>
        <v>122.04399969150084</v>
      </c>
      <c r="J249" s="360"/>
      <c r="K249" s="25">
        <f t="shared" si="80"/>
        <v>6671.3987351534788</v>
      </c>
      <c r="L249" s="759">
        <v>1</v>
      </c>
      <c r="M249" s="759">
        <f t="shared" si="85"/>
        <v>6671.3987351534788</v>
      </c>
      <c r="N249" s="671">
        <v>7094</v>
      </c>
      <c r="O249" s="671"/>
      <c r="P249" s="188" t="s">
        <v>382</v>
      </c>
      <c r="Q249" s="776">
        <v>40747</v>
      </c>
      <c r="R249" s="775"/>
      <c r="S249" s="301">
        <f>L249</f>
        <v>1</v>
      </c>
      <c r="T249" s="808">
        <f>4449</f>
        <v>4449</v>
      </c>
      <c r="U249" s="25">
        <f t="shared" si="77"/>
        <v>4449</v>
      </c>
      <c r="V249" s="451"/>
      <c r="W249" s="776"/>
      <c r="X249" s="808"/>
      <c r="Y249" s="808"/>
      <c r="Z249" s="25"/>
    </row>
    <row r="250" spans="1:26" ht="13.5" customHeight="1">
      <c r="A250" s="758">
        <f t="shared" si="76"/>
        <v>55</v>
      </c>
      <c r="B250" s="293" t="s">
        <v>532</v>
      </c>
      <c r="C250" s="25">
        <f t="shared" si="88"/>
        <v>12052</v>
      </c>
      <c r="D250" s="759">
        <f t="shared" si="89"/>
        <v>1450.7172605275337</v>
      </c>
      <c r="E250" s="759">
        <f t="shared" si="89"/>
        <v>382.69088385006944</v>
      </c>
      <c r="F250" s="759">
        <f t="shared" si="89"/>
        <v>812.19412309116149</v>
      </c>
      <c r="G250" s="759">
        <f t="shared" si="89"/>
        <v>147.57982415548358</v>
      </c>
      <c r="H250" s="759">
        <f t="shared" si="89"/>
        <v>1407.527379299707</v>
      </c>
      <c r="I250" s="759">
        <f t="shared" si="89"/>
        <v>244.08799938300169</v>
      </c>
      <c r="J250" s="360"/>
      <c r="K250" s="25">
        <f t="shared" si="80"/>
        <v>16496.797470306956</v>
      </c>
      <c r="L250" s="759">
        <v>2</v>
      </c>
      <c r="M250" s="759">
        <f t="shared" si="85"/>
        <v>8248.3987351534779</v>
      </c>
      <c r="N250" s="671">
        <v>9263</v>
      </c>
      <c r="O250" s="671"/>
      <c r="P250" s="293" t="s">
        <v>394</v>
      </c>
      <c r="Q250" s="776">
        <v>40747</v>
      </c>
      <c r="R250" s="775"/>
      <c r="S250" s="301">
        <f>L250</f>
        <v>2</v>
      </c>
      <c r="T250" s="808">
        <v>6026</v>
      </c>
      <c r="U250" s="25">
        <f t="shared" si="77"/>
        <v>12052</v>
      </c>
      <c r="V250" s="451"/>
      <c r="W250" s="776"/>
      <c r="X250" s="808"/>
      <c r="Y250" s="808"/>
      <c r="Z250" s="25"/>
    </row>
    <row r="251" spans="1:26" ht="13.5" customHeight="1">
      <c r="A251" s="758">
        <f t="shared" si="76"/>
        <v>56</v>
      </c>
      <c r="B251" s="293" t="s">
        <v>534</v>
      </c>
      <c r="C251" s="25">
        <f t="shared" si="88"/>
        <v>16303</v>
      </c>
      <c r="D251" s="759">
        <f t="shared" si="89"/>
        <v>1450.7172605275337</v>
      </c>
      <c r="E251" s="759">
        <f t="shared" si="89"/>
        <v>382.69088385006944</v>
      </c>
      <c r="F251" s="759">
        <f t="shared" si="89"/>
        <v>812.19412309116149</v>
      </c>
      <c r="G251" s="759">
        <f t="shared" si="89"/>
        <v>147.57982415548358</v>
      </c>
      <c r="H251" s="759">
        <f t="shared" si="89"/>
        <v>1407.527379299707</v>
      </c>
      <c r="I251" s="759">
        <f t="shared" si="89"/>
        <v>244.08799938300169</v>
      </c>
      <c r="J251" s="360"/>
      <c r="K251" s="25">
        <f t="shared" si="80"/>
        <v>20747.797470306956</v>
      </c>
      <c r="L251" s="759">
        <v>2</v>
      </c>
      <c r="M251" s="759">
        <f t="shared" si="85"/>
        <v>10373.898735153478</v>
      </c>
      <c r="N251" s="671">
        <v>11321</v>
      </c>
      <c r="O251" s="671"/>
      <c r="P251" s="40" t="s">
        <v>469</v>
      </c>
      <c r="Q251" s="776">
        <v>40747</v>
      </c>
      <c r="R251" s="775"/>
      <c r="S251" s="301">
        <f>L251/2</f>
        <v>1</v>
      </c>
      <c r="T251" s="808">
        <v>16303</v>
      </c>
      <c r="U251" s="25">
        <f t="shared" si="77"/>
        <v>16303</v>
      </c>
      <c r="V251" s="451"/>
      <c r="W251" s="776"/>
      <c r="X251" s="808"/>
      <c r="Y251" s="808"/>
      <c r="Z251" s="25"/>
    </row>
    <row r="252" spans="1:26" ht="13.5" customHeight="1">
      <c r="A252" s="758">
        <f t="shared" si="76"/>
        <v>57</v>
      </c>
      <c r="B252" s="293" t="s">
        <v>545</v>
      </c>
      <c r="C252" s="25">
        <f t="shared" si="88"/>
        <v>48939</v>
      </c>
      <c r="D252" s="759">
        <f t="shared" si="89"/>
        <v>7978.9449329014351</v>
      </c>
      <c r="E252" s="759">
        <f t="shared" si="89"/>
        <v>2104.7998611753819</v>
      </c>
      <c r="F252" s="759">
        <f t="shared" si="89"/>
        <v>4467.0676770013879</v>
      </c>
      <c r="G252" s="759">
        <f t="shared" si="89"/>
        <v>811.68903285515967</v>
      </c>
      <c r="H252" s="759">
        <f t="shared" si="89"/>
        <v>7741.4005861483884</v>
      </c>
      <c r="I252" s="759">
        <f t="shared" si="89"/>
        <v>1342.4839966065092</v>
      </c>
      <c r="J252" s="360"/>
      <c r="K252" s="25">
        <f t="shared" si="80"/>
        <v>73385.386086688246</v>
      </c>
      <c r="L252" s="759">
        <v>11</v>
      </c>
      <c r="M252" s="759">
        <f t="shared" si="85"/>
        <v>6671.398735153477</v>
      </c>
      <c r="N252" s="671">
        <v>7348</v>
      </c>
      <c r="O252" s="671"/>
      <c r="P252" s="188" t="s">
        <v>382</v>
      </c>
      <c r="Q252" s="776">
        <v>40748</v>
      </c>
      <c r="R252" s="775"/>
      <c r="S252" s="301">
        <f>L252</f>
        <v>11</v>
      </c>
      <c r="T252" s="808">
        <f>4449</f>
        <v>4449</v>
      </c>
      <c r="U252" s="25">
        <f t="shared" si="77"/>
        <v>48939</v>
      </c>
      <c r="V252" s="451"/>
      <c r="W252" s="776"/>
      <c r="X252" s="808"/>
      <c r="Y252" s="808"/>
      <c r="Z252" s="25"/>
    </row>
    <row r="253" spans="1:26" ht="13.5" customHeight="1">
      <c r="A253" s="758">
        <f t="shared" si="76"/>
        <v>58</v>
      </c>
      <c r="B253" s="293" t="s">
        <v>546</v>
      </c>
      <c r="C253" s="25">
        <f t="shared" si="88"/>
        <v>11858</v>
      </c>
      <c r="D253" s="759">
        <f t="shared" si="89"/>
        <v>725.35863026376683</v>
      </c>
      <c r="E253" s="759">
        <f t="shared" si="89"/>
        <v>191.34544192503472</v>
      </c>
      <c r="F253" s="759">
        <f t="shared" si="89"/>
        <v>406.09706154558074</v>
      </c>
      <c r="G253" s="759">
        <f t="shared" si="89"/>
        <v>73.789912077741789</v>
      </c>
      <c r="H253" s="759">
        <f t="shared" si="89"/>
        <v>703.76368964985352</v>
      </c>
      <c r="I253" s="759">
        <f t="shared" si="89"/>
        <v>122.04399969150084</v>
      </c>
      <c r="J253" s="360"/>
      <c r="K253" s="25">
        <f t="shared" si="80"/>
        <v>14080.398735153478</v>
      </c>
      <c r="L253" s="759">
        <v>1</v>
      </c>
      <c r="M253" s="759">
        <f t="shared" si="85"/>
        <v>14080.398735153478</v>
      </c>
      <c r="N253" s="671">
        <v>15136</v>
      </c>
      <c r="O253" s="671"/>
      <c r="P253" s="188" t="s">
        <v>405</v>
      </c>
      <c r="Q253" s="776">
        <v>40748</v>
      </c>
      <c r="R253" s="775"/>
      <c r="S253" s="301">
        <f>L253/2</f>
        <v>0.5</v>
      </c>
      <c r="T253" s="253">
        <v>23716</v>
      </c>
      <c r="U253" s="25">
        <f t="shared" si="77"/>
        <v>11858</v>
      </c>
      <c r="V253" s="451"/>
      <c r="W253" s="776"/>
      <c r="X253" s="808"/>
      <c r="Y253" s="808"/>
      <c r="Z253" s="25"/>
    </row>
    <row r="254" spans="1:26" ht="13.5" customHeight="1">
      <c r="A254" s="758">
        <f t="shared" si="76"/>
        <v>59</v>
      </c>
      <c r="B254" s="293" t="s">
        <v>719</v>
      </c>
      <c r="C254" s="25">
        <f t="shared" si="88"/>
        <v>71925</v>
      </c>
      <c r="D254" s="759">
        <f t="shared" si="89"/>
        <v>3626.7931513188341</v>
      </c>
      <c r="E254" s="759">
        <f t="shared" si="89"/>
        <v>956.7272096251736</v>
      </c>
      <c r="F254" s="759">
        <f t="shared" si="89"/>
        <v>2030.4853077279038</v>
      </c>
      <c r="G254" s="759">
        <f t="shared" si="89"/>
        <v>368.94956038870896</v>
      </c>
      <c r="H254" s="759">
        <f t="shared" si="89"/>
        <v>3518.8184482492675</v>
      </c>
      <c r="I254" s="759">
        <f t="shared" si="89"/>
        <v>610.21999845750418</v>
      </c>
      <c r="J254" s="360"/>
      <c r="K254" s="25">
        <f t="shared" si="80"/>
        <v>83036.993675767371</v>
      </c>
      <c r="L254" s="759">
        <v>5</v>
      </c>
      <c r="M254" s="759">
        <f t="shared" si="85"/>
        <v>16607.398735153474</v>
      </c>
      <c r="N254" s="671">
        <v>17837</v>
      </c>
      <c r="O254" s="671"/>
      <c r="P254" s="40" t="s">
        <v>490</v>
      </c>
      <c r="Q254" s="776">
        <v>40748</v>
      </c>
      <c r="R254" s="775"/>
      <c r="S254" s="301">
        <v>3</v>
      </c>
      <c r="T254" s="808">
        <v>23975</v>
      </c>
      <c r="U254" s="25">
        <f t="shared" si="77"/>
        <v>71925</v>
      </c>
      <c r="V254" s="451"/>
      <c r="W254" s="776"/>
      <c r="X254" s="808"/>
      <c r="Y254" s="808"/>
      <c r="Z254" s="25"/>
    </row>
    <row r="255" spans="1:26" ht="13.5" customHeight="1">
      <c r="A255" s="758">
        <f t="shared" si="76"/>
        <v>60</v>
      </c>
      <c r="B255" s="293" t="s">
        <v>711</v>
      </c>
      <c r="C255" s="25">
        <f t="shared" si="88"/>
        <v>7268</v>
      </c>
      <c r="D255" s="759">
        <f t="shared" si="89"/>
        <v>725.35863026376683</v>
      </c>
      <c r="E255" s="759">
        <f t="shared" si="89"/>
        <v>191.34544192503472</v>
      </c>
      <c r="F255" s="759">
        <f t="shared" si="89"/>
        <v>406.09706154558074</v>
      </c>
      <c r="G255" s="759">
        <f t="shared" si="89"/>
        <v>73.789912077741789</v>
      </c>
      <c r="H255" s="759">
        <f t="shared" si="89"/>
        <v>703.76368964985352</v>
      </c>
      <c r="I255" s="759">
        <f t="shared" si="89"/>
        <v>122.04399969150084</v>
      </c>
      <c r="J255" s="360"/>
      <c r="K255" s="25">
        <f t="shared" si="80"/>
        <v>9490.3987351534779</v>
      </c>
      <c r="L255" s="759">
        <v>1</v>
      </c>
      <c r="M255" s="759">
        <f t="shared" si="85"/>
        <v>9490.3987351534779</v>
      </c>
      <c r="N255" s="671">
        <v>10026</v>
      </c>
      <c r="O255" s="671"/>
      <c r="P255" s="188" t="s">
        <v>426</v>
      </c>
      <c r="Q255" s="776">
        <v>40748</v>
      </c>
      <c r="R255" s="775"/>
      <c r="S255" s="301">
        <f>L255</f>
        <v>1</v>
      </c>
      <c r="T255" s="253">
        <v>7268</v>
      </c>
      <c r="U255" s="25">
        <f t="shared" si="77"/>
        <v>7268</v>
      </c>
      <c r="V255" s="451"/>
      <c r="W255" s="776"/>
      <c r="X255" s="808"/>
      <c r="Y255" s="808"/>
      <c r="Z255" s="25"/>
    </row>
    <row r="256" spans="1:26" ht="13.5" customHeight="1">
      <c r="A256" s="758">
        <f t="shared" si="76"/>
        <v>61</v>
      </c>
      <c r="B256" s="293" t="s">
        <v>712</v>
      </c>
      <c r="C256" s="25">
        <f t="shared" si="88"/>
        <v>8152</v>
      </c>
      <c r="D256" s="759">
        <f t="shared" ref="D256:I265" si="90">IF($L$350&lt;&gt;0,D$350/$L$350*$L256,0)</f>
        <v>725.35863026376683</v>
      </c>
      <c r="E256" s="759">
        <f t="shared" si="90"/>
        <v>191.34544192503472</v>
      </c>
      <c r="F256" s="759">
        <f t="shared" si="90"/>
        <v>406.09706154558074</v>
      </c>
      <c r="G256" s="759">
        <f t="shared" si="90"/>
        <v>73.789912077741789</v>
      </c>
      <c r="H256" s="759">
        <f t="shared" si="90"/>
        <v>703.76368964985352</v>
      </c>
      <c r="I256" s="759">
        <f t="shared" si="90"/>
        <v>122.04399969150084</v>
      </c>
      <c r="J256" s="360"/>
      <c r="K256" s="25">
        <f t="shared" si="80"/>
        <v>10374.398735153478</v>
      </c>
      <c r="L256" s="759">
        <v>1</v>
      </c>
      <c r="M256" s="759">
        <f t="shared" si="85"/>
        <v>10374.398735153478</v>
      </c>
      <c r="N256" s="671">
        <v>10723</v>
      </c>
      <c r="O256" s="671"/>
      <c r="P256" s="40" t="s">
        <v>469</v>
      </c>
      <c r="Q256" s="776">
        <v>40748</v>
      </c>
      <c r="R256" s="775"/>
      <c r="S256" s="301">
        <f t="shared" ref="S256" si="91">L256/2</f>
        <v>0.5</v>
      </c>
      <c r="T256" s="808">
        <v>16303</v>
      </c>
      <c r="U256" s="25">
        <f t="shared" si="77"/>
        <v>8152</v>
      </c>
      <c r="V256" s="451"/>
      <c r="W256" s="776"/>
      <c r="X256" s="808"/>
      <c r="Y256" s="808"/>
      <c r="Z256" s="25"/>
    </row>
    <row r="257" spans="1:26" ht="13.5" customHeight="1">
      <c r="A257" s="758">
        <f t="shared" si="76"/>
        <v>62</v>
      </c>
      <c r="B257" s="293" t="s">
        <v>720</v>
      </c>
      <c r="C257" s="25">
        <f t="shared" si="88"/>
        <v>1335180</v>
      </c>
      <c r="D257" s="759">
        <f t="shared" si="90"/>
        <v>78338.732068486817</v>
      </c>
      <c r="E257" s="759">
        <f t="shared" si="90"/>
        <v>20665.30772790375</v>
      </c>
      <c r="F257" s="759">
        <f t="shared" si="90"/>
        <v>43858.482646922719</v>
      </c>
      <c r="G257" s="759">
        <f t="shared" si="90"/>
        <v>7969.3105043961132</v>
      </c>
      <c r="H257" s="759">
        <f t="shared" si="90"/>
        <v>76006.478482184175</v>
      </c>
      <c r="I257" s="759">
        <f t="shared" si="90"/>
        <v>13180.751966682092</v>
      </c>
      <c r="J257" s="360"/>
      <c r="K257" s="25">
        <f t="shared" si="80"/>
        <v>1575199.0633965759</v>
      </c>
      <c r="L257" s="759">
        <v>108</v>
      </c>
      <c r="M257" s="759">
        <f t="shared" si="85"/>
        <v>14585.176512931257</v>
      </c>
      <c r="N257" s="671">
        <v>17100</v>
      </c>
      <c r="O257" s="671"/>
      <c r="P257" s="40" t="s">
        <v>468</v>
      </c>
      <c r="Q257" s="776">
        <v>40749</v>
      </c>
      <c r="R257" s="775"/>
      <c r="S257" s="301">
        <v>55</v>
      </c>
      <c r="T257" s="808">
        <v>24276</v>
      </c>
      <c r="U257" s="25">
        <f t="shared" si="77"/>
        <v>1335180</v>
      </c>
      <c r="V257" s="451"/>
      <c r="W257" s="776"/>
      <c r="X257" s="808"/>
      <c r="Y257" s="808"/>
      <c r="Z257" s="25"/>
    </row>
    <row r="258" spans="1:26" ht="13.5" customHeight="1">
      <c r="A258" s="758">
        <f t="shared" si="76"/>
        <v>63</v>
      </c>
      <c r="B258" s="293" t="s">
        <v>721</v>
      </c>
      <c r="C258" s="25">
        <f t="shared" si="88"/>
        <v>1599773</v>
      </c>
      <c r="D258" s="759">
        <f t="shared" si="90"/>
        <v>70359.787135585386</v>
      </c>
      <c r="E258" s="759">
        <f t="shared" si="90"/>
        <v>18560.507866728367</v>
      </c>
      <c r="F258" s="759">
        <f t="shared" si="90"/>
        <v>39391.41496992133</v>
      </c>
      <c r="G258" s="759">
        <f t="shared" si="90"/>
        <v>7157.6214715409533</v>
      </c>
      <c r="H258" s="759">
        <f t="shared" si="90"/>
        <v>68265.077896035786</v>
      </c>
      <c r="I258" s="759">
        <f t="shared" si="90"/>
        <v>11838.267970075582</v>
      </c>
      <c r="J258" s="360"/>
      <c r="K258" s="25">
        <f t="shared" si="80"/>
        <v>1815345.6773098875</v>
      </c>
      <c r="L258" s="759">
        <v>97</v>
      </c>
      <c r="M258" s="759">
        <f t="shared" si="85"/>
        <v>18714.903889792655</v>
      </c>
      <c r="N258" s="671">
        <v>19690</v>
      </c>
      <c r="O258" s="671"/>
      <c r="P258" s="40" t="s">
        <v>492</v>
      </c>
      <c r="Q258" s="776">
        <v>40749</v>
      </c>
      <c r="R258" s="775"/>
      <c r="S258" s="301">
        <f>L258/2</f>
        <v>48.5</v>
      </c>
      <c r="T258" s="808">
        <v>32985</v>
      </c>
      <c r="U258" s="25">
        <f t="shared" si="77"/>
        <v>1599773</v>
      </c>
      <c r="V258" s="451"/>
      <c r="W258" s="776"/>
      <c r="X258" s="808"/>
      <c r="Y258" s="808"/>
      <c r="Z258" s="25"/>
    </row>
    <row r="259" spans="1:26" ht="13.5" customHeight="1">
      <c r="A259" s="758">
        <f t="shared" si="76"/>
        <v>64</v>
      </c>
      <c r="B259" s="293" t="s">
        <v>722</v>
      </c>
      <c r="C259" s="25">
        <f t="shared" si="88"/>
        <v>984830</v>
      </c>
      <c r="D259" s="759">
        <f t="shared" si="90"/>
        <v>39894.724664507172</v>
      </c>
      <c r="E259" s="759">
        <f t="shared" si="90"/>
        <v>10523.999305876911</v>
      </c>
      <c r="F259" s="759">
        <f t="shared" si="90"/>
        <v>22335.33838500694</v>
      </c>
      <c r="G259" s="759">
        <f t="shared" si="90"/>
        <v>4058.4451642757986</v>
      </c>
      <c r="H259" s="759">
        <f t="shared" si="90"/>
        <v>38707.002930741946</v>
      </c>
      <c r="I259" s="759">
        <f t="shared" si="90"/>
        <v>6712.419983032546</v>
      </c>
      <c r="J259" s="360"/>
      <c r="K259" s="25">
        <f t="shared" si="80"/>
        <v>1107061.9304334414</v>
      </c>
      <c r="L259" s="759">
        <v>55</v>
      </c>
      <c r="M259" s="759">
        <f t="shared" si="85"/>
        <v>20128.398735153482</v>
      </c>
      <c r="N259" s="671">
        <v>23100</v>
      </c>
      <c r="O259" s="671"/>
      <c r="P259" s="40" t="s">
        <v>460</v>
      </c>
      <c r="Q259" s="776">
        <v>40749</v>
      </c>
      <c r="R259" s="775"/>
      <c r="S259" s="301">
        <f>L259/2</f>
        <v>27.5</v>
      </c>
      <c r="T259" s="808">
        <v>35812</v>
      </c>
      <c r="U259" s="25">
        <f t="shared" si="77"/>
        <v>984830</v>
      </c>
      <c r="V259" s="451"/>
      <c r="W259" s="776"/>
      <c r="X259" s="808"/>
      <c r="Y259" s="808"/>
      <c r="Z259" s="25"/>
    </row>
    <row r="260" spans="1:26" ht="13.5" customHeight="1">
      <c r="A260" s="758">
        <f t="shared" si="76"/>
        <v>65</v>
      </c>
      <c r="B260" s="293" t="s">
        <v>723</v>
      </c>
      <c r="C260" s="25">
        <f t="shared" si="88"/>
        <v>2580828</v>
      </c>
      <c r="D260" s="759">
        <f t="shared" si="90"/>
        <v>361953.95650161966</v>
      </c>
      <c r="E260" s="759">
        <f t="shared" si="90"/>
        <v>95481.375520592323</v>
      </c>
      <c r="F260" s="759">
        <f t="shared" si="90"/>
        <v>202642.43371124478</v>
      </c>
      <c r="G260" s="759">
        <f t="shared" si="90"/>
        <v>36821.166126793156</v>
      </c>
      <c r="H260" s="759">
        <f t="shared" si="90"/>
        <v>351178.08113527688</v>
      </c>
      <c r="I260" s="759">
        <f t="shared" si="90"/>
        <v>60899.955846058918</v>
      </c>
      <c r="J260" s="360"/>
      <c r="K260" s="25">
        <f t="shared" si="80"/>
        <v>3689804.9688415863</v>
      </c>
      <c r="L260" s="759">
        <v>499</v>
      </c>
      <c r="M260" s="759">
        <f t="shared" si="85"/>
        <v>7394.3987351534797</v>
      </c>
      <c r="N260" s="671">
        <v>8100</v>
      </c>
      <c r="O260" s="671"/>
      <c r="P260" s="188" t="s">
        <v>451</v>
      </c>
      <c r="Q260" s="776">
        <v>40750</v>
      </c>
      <c r="R260" s="775"/>
      <c r="S260" s="301">
        <f>L260/2</f>
        <v>249.5</v>
      </c>
      <c r="T260" s="808">
        <v>10344</v>
      </c>
      <c r="U260" s="25">
        <f t="shared" si="77"/>
        <v>2580828</v>
      </c>
      <c r="V260" s="451"/>
      <c r="W260" s="776"/>
      <c r="X260" s="808"/>
      <c r="Y260" s="808"/>
      <c r="Z260" s="25"/>
    </row>
    <row r="261" spans="1:26" ht="13.5" customHeight="1">
      <c r="A261" s="758">
        <f t="shared" si="76"/>
        <v>66</v>
      </c>
      <c r="B261" s="293" t="s">
        <v>724</v>
      </c>
      <c r="C261" s="25">
        <f t="shared" si="88"/>
        <v>7577130</v>
      </c>
      <c r="D261" s="759">
        <f t="shared" si="90"/>
        <v>710851.45765849145</v>
      </c>
      <c r="E261" s="759">
        <f t="shared" si="90"/>
        <v>187518.53308653404</v>
      </c>
      <c r="F261" s="759">
        <f t="shared" si="90"/>
        <v>397975.12031466916</v>
      </c>
      <c r="G261" s="759">
        <f t="shared" si="90"/>
        <v>72314.113836186953</v>
      </c>
      <c r="H261" s="759">
        <f t="shared" si="90"/>
        <v>689688.4158568565</v>
      </c>
      <c r="I261" s="759">
        <f t="shared" si="90"/>
        <v>119603.11969767083</v>
      </c>
      <c r="J261" s="360"/>
      <c r="K261" s="25">
        <f t="shared" ref="K261:K324" si="92">SUM(C261:I261)</f>
        <v>9755080.7604504097</v>
      </c>
      <c r="L261" s="759">
        <v>980</v>
      </c>
      <c r="M261" s="759">
        <f t="shared" si="85"/>
        <v>9954.164041275928</v>
      </c>
      <c r="N261" s="671">
        <v>11000</v>
      </c>
      <c r="O261" s="671"/>
      <c r="P261" s="40" t="s">
        <v>459</v>
      </c>
      <c r="Q261" s="776">
        <v>40764</v>
      </c>
      <c r="R261" s="775"/>
      <c r="S261" s="301">
        <v>330</v>
      </c>
      <c r="T261" s="808">
        <v>22961</v>
      </c>
      <c r="U261" s="25">
        <f t="shared" si="77"/>
        <v>7577130</v>
      </c>
      <c r="V261" s="451"/>
      <c r="W261" s="776"/>
      <c r="X261" s="808"/>
      <c r="Y261" s="808"/>
      <c r="Z261" s="25"/>
    </row>
    <row r="262" spans="1:26" ht="13.5" customHeight="1">
      <c r="A262" s="758">
        <f t="shared" ref="A262:A326" si="93">IF(B262&lt;&gt;"",A261+1,"")</f>
        <v>67</v>
      </c>
      <c r="B262" s="293" t="s">
        <v>725</v>
      </c>
      <c r="C262" s="25">
        <f t="shared" si="88"/>
        <v>5370800</v>
      </c>
      <c r="D262" s="759">
        <f t="shared" si="90"/>
        <v>725358.63026376686</v>
      </c>
      <c r="E262" s="759">
        <f t="shared" si="90"/>
        <v>191345.44192503471</v>
      </c>
      <c r="F262" s="759">
        <f t="shared" si="90"/>
        <v>406097.06154558074</v>
      </c>
      <c r="G262" s="759">
        <f t="shared" si="90"/>
        <v>73789.912077741785</v>
      </c>
      <c r="H262" s="759">
        <f t="shared" si="90"/>
        <v>703763.68964985351</v>
      </c>
      <c r="I262" s="759">
        <f t="shared" si="90"/>
        <v>122043.99969150084</v>
      </c>
      <c r="J262" s="360"/>
      <c r="K262" s="25">
        <f t="shared" si="92"/>
        <v>7593198.7351534795</v>
      </c>
      <c r="L262" s="759">
        <v>1000</v>
      </c>
      <c r="M262" s="759">
        <f t="shared" si="85"/>
        <v>7593.1987351534799</v>
      </c>
      <c r="N262" s="671">
        <v>11000</v>
      </c>
      <c r="O262" s="671"/>
      <c r="P262" s="188" t="s">
        <v>430</v>
      </c>
      <c r="Q262" s="776">
        <v>40772</v>
      </c>
      <c r="R262" s="775"/>
      <c r="S262" s="301">
        <v>200</v>
      </c>
      <c r="T262" s="808">
        <v>26854</v>
      </c>
      <c r="U262" s="25">
        <f t="shared" si="77"/>
        <v>5370800</v>
      </c>
      <c r="V262" s="451"/>
      <c r="W262" s="776"/>
      <c r="X262" s="808"/>
      <c r="Y262" s="808"/>
      <c r="Z262" s="25"/>
    </row>
    <row r="263" spans="1:26" ht="13.5" customHeight="1">
      <c r="A263" s="758">
        <f t="shared" si="93"/>
        <v>68</v>
      </c>
      <c r="B263" s="293" t="s">
        <v>748</v>
      </c>
      <c r="C263" s="25">
        <f t="shared" si="88"/>
        <v>62720</v>
      </c>
      <c r="D263" s="759">
        <f t="shared" si="90"/>
        <v>2901.4345210550673</v>
      </c>
      <c r="E263" s="759">
        <f t="shared" si="90"/>
        <v>765.38176770013888</v>
      </c>
      <c r="F263" s="759">
        <f t="shared" si="90"/>
        <v>1624.388246182323</v>
      </c>
      <c r="G263" s="759">
        <f t="shared" si="90"/>
        <v>295.15964831096716</v>
      </c>
      <c r="H263" s="759">
        <f t="shared" si="90"/>
        <v>2815.0547585994141</v>
      </c>
      <c r="I263" s="759">
        <f t="shared" si="90"/>
        <v>488.17599876600337</v>
      </c>
      <c r="J263" s="360"/>
      <c r="K263" s="25">
        <f t="shared" si="92"/>
        <v>71609.594940613912</v>
      </c>
      <c r="L263" s="759">
        <v>4</v>
      </c>
      <c r="M263" s="759">
        <f t="shared" si="85"/>
        <v>17902.398735153478</v>
      </c>
      <c r="N263" s="671">
        <v>17837</v>
      </c>
      <c r="O263" s="671"/>
      <c r="P263" s="40" t="s">
        <v>480</v>
      </c>
      <c r="Q263" s="776">
        <v>40772</v>
      </c>
      <c r="R263" s="775"/>
      <c r="S263" s="301">
        <v>2</v>
      </c>
      <c r="T263" s="808">
        <v>31360</v>
      </c>
      <c r="U263" s="25">
        <f t="shared" si="77"/>
        <v>62720</v>
      </c>
      <c r="V263" s="451"/>
      <c r="W263" s="776"/>
      <c r="X263" s="808"/>
      <c r="Y263" s="808"/>
      <c r="Z263" s="25"/>
    </row>
    <row r="264" spans="1:26" ht="13.5" customHeight="1">
      <c r="A264" s="758">
        <f t="shared" si="93"/>
        <v>69</v>
      </c>
      <c r="B264" s="293" t="s">
        <v>749</v>
      </c>
      <c r="C264" s="25">
        <f t="shared" si="88"/>
        <v>4449</v>
      </c>
      <c r="D264" s="759">
        <f t="shared" si="90"/>
        <v>725.35863026376683</v>
      </c>
      <c r="E264" s="759">
        <f t="shared" si="90"/>
        <v>191.34544192503472</v>
      </c>
      <c r="F264" s="759">
        <f t="shared" si="90"/>
        <v>406.09706154558074</v>
      </c>
      <c r="G264" s="759">
        <f t="shared" si="90"/>
        <v>73.789912077741789</v>
      </c>
      <c r="H264" s="759">
        <f t="shared" si="90"/>
        <v>703.76368964985352</v>
      </c>
      <c r="I264" s="759">
        <f t="shared" si="90"/>
        <v>122.04399969150084</v>
      </c>
      <c r="J264" s="360"/>
      <c r="K264" s="25">
        <f t="shared" si="92"/>
        <v>6671.3987351534788</v>
      </c>
      <c r="L264" s="759">
        <v>1</v>
      </c>
      <c r="M264" s="759">
        <f t="shared" si="85"/>
        <v>6671.3987351534788</v>
      </c>
      <c r="N264" s="671">
        <v>7093</v>
      </c>
      <c r="O264" s="671"/>
      <c r="P264" s="188" t="s">
        <v>382</v>
      </c>
      <c r="Q264" s="776">
        <v>40772</v>
      </c>
      <c r="R264" s="775"/>
      <c r="S264" s="301">
        <f>L264</f>
        <v>1</v>
      </c>
      <c r="T264" s="808">
        <f>4449</f>
        <v>4449</v>
      </c>
      <c r="U264" s="25">
        <f t="shared" si="77"/>
        <v>4449</v>
      </c>
      <c r="V264" s="451"/>
      <c r="W264" s="776"/>
      <c r="X264" s="808"/>
      <c r="Y264" s="808"/>
      <c r="Z264" s="25"/>
    </row>
    <row r="265" spans="1:26" ht="13.5" customHeight="1">
      <c r="A265" s="758">
        <f t="shared" si="93"/>
        <v>70</v>
      </c>
      <c r="B265" s="293" t="s">
        <v>750</v>
      </c>
      <c r="C265" s="25">
        <f t="shared" si="88"/>
        <v>26894</v>
      </c>
      <c r="D265" s="759">
        <f t="shared" si="90"/>
        <v>2176.0758907913005</v>
      </c>
      <c r="E265" s="759">
        <f t="shared" si="90"/>
        <v>574.03632577510416</v>
      </c>
      <c r="F265" s="759">
        <f t="shared" si="90"/>
        <v>1218.2911846367422</v>
      </c>
      <c r="G265" s="759">
        <f t="shared" si="90"/>
        <v>221.36973623322535</v>
      </c>
      <c r="H265" s="759">
        <f t="shared" si="90"/>
        <v>2111.2910689495607</v>
      </c>
      <c r="I265" s="759">
        <f t="shared" si="90"/>
        <v>366.13199907450252</v>
      </c>
      <c r="J265" s="360"/>
      <c r="K265" s="25">
        <f t="shared" si="92"/>
        <v>33561.196205460437</v>
      </c>
      <c r="L265" s="759">
        <v>3</v>
      </c>
      <c r="M265" s="759">
        <f t="shared" si="85"/>
        <v>11187.065401820146</v>
      </c>
      <c r="N265" s="671">
        <v>10253</v>
      </c>
      <c r="O265" s="671"/>
      <c r="P265" s="40" t="s">
        <v>467</v>
      </c>
      <c r="Q265" s="776">
        <v>40772</v>
      </c>
      <c r="R265" s="775"/>
      <c r="S265" s="301">
        <v>1</v>
      </c>
      <c r="T265" s="806">
        <v>26894</v>
      </c>
      <c r="U265" s="25">
        <f t="shared" si="77"/>
        <v>26894</v>
      </c>
      <c r="V265" s="451"/>
      <c r="W265" s="776"/>
      <c r="X265" s="808"/>
      <c r="Y265" s="808"/>
      <c r="Z265" s="25"/>
    </row>
    <row r="266" spans="1:26" ht="13.5" customHeight="1">
      <c r="A266" s="758">
        <f t="shared" si="93"/>
        <v>71</v>
      </c>
      <c r="B266" s="293" t="s">
        <v>751</v>
      </c>
      <c r="C266" s="25">
        <f t="shared" si="88"/>
        <v>16173</v>
      </c>
      <c r="D266" s="759">
        <f t="shared" ref="D266:I275" si="94">IF($L$350&lt;&gt;0,D$350/$L$350*$L266,0)</f>
        <v>1450.7172605275337</v>
      </c>
      <c r="E266" s="759">
        <f t="shared" si="94"/>
        <v>382.69088385006944</v>
      </c>
      <c r="F266" s="759">
        <f t="shared" si="94"/>
        <v>812.19412309116149</v>
      </c>
      <c r="G266" s="759">
        <f t="shared" si="94"/>
        <v>147.57982415548358</v>
      </c>
      <c r="H266" s="759">
        <f t="shared" si="94"/>
        <v>1407.527379299707</v>
      </c>
      <c r="I266" s="759">
        <f t="shared" si="94"/>
        <v>244.08799938300169</v>
      </c>
      <c r="J266" s="360"/>
      <c r="K266" s="25">
        <f t="shared" si="92"/>
        <v>20617.797470306956</v>
      </c>
      <c r="L266" s="759">
        <v>2</v>
      </c>
      <c r="M266" s="759">
        <f t="shared" si="85"/>
        <v>10308.898735153478</v>
      </c>
      <c r="N266" s="671">
        <v>14881</v>
      </c>
      <c r="O266" s="671"/>
      <c r="P266" s="188" t="s">
        <v>401</v>
      </c>
      <c r="Q266" s="776">
        <v>40772</v>
      </c>
      <c r="R266" s="775"/>
      <c r="S266" s="301">
        <f t="shared" ref="S266:S267" si="95">L266/2</f>
        <v>1</v>
      </c>
      <c r="T266" s="808">
        <v>16173</v>
      </c>
      <c r="U266" s="25">
        <f t="shared" si="77"/>
        <v>16173</v>
      </c>
      <c r="V266" s="451"/>
      <c r="W266" s="776"/>
      <c r="X266" s="808"/>
      <c r="Y266" s="808"/>
      <c r="Z266" s="25"/>
    </row>
    <row r="267" spans="1:26" ht="13.5" customHeight="1">
      <c r="A267" s="758">
        <f>IF(B267&lt;&gt;"",A266+1,"")</f>
        <v>72</v>
      </c>
      <c r="B267" s="293" t="s">
        <v>752</v>
      </c>
      <c r="C267" s="25">
        <f t="shared" si="88"/>
        <v>8087</v>
      </c>
      <c r="D267" s="759">
        <f t="shared" si="94"/>
        <v>725.35863026376683</v>
      </c>
      <c r="E267" s="759">
        <f t="shared" si="94"/>
        <v>191.34544192503472</v>
      </c>
      <c r="F267" s="759">
        <f t="shared" si="94"/>
        <v>406.09706154558074</v>
      </c>
      <c r="G267" s="759">
        <f t="shared" si="94"/>
        <v>73.789912077741789</v>
      </c>
      <c r="H267" s="759">
        <f t="shared" si="94"/>
        <v>703.76368964985352</v>
      </c>
      <c r="I267" s="759">
        <f t="shared" si="94"/>
        <v>122.04399969150084</v>
      </c>
      <c r="J267" s="360"/>
      <c r="K267" s="25">
        <f t="shared" si="92"/>
        <v>10309.398735153478</v>
      </c>
      <c r="L267" s="759">
        <v>1</v>
      </c>
      <c r="M267" s="759">
        <f t="shared" si="85"/>
        <v>10309.398735153478</v>
      </c>
      <c r="N267" s="671">
        <v>12207</v>
      </c>
      <c r="O267" s="671"/>
      <c r="P267" s="188" t="s">
        <v>401</v>
      </c>
      <c r="Q267" s="776">
        <v>40772</v>
      </c>
      <c r="R267" s="775"/>
      <c r="S267" s="301">
        <f t="shared" si="95"/>
        <v>0.5</v>
      </c>
      <c r="T267" s="808">
        <v>16173</v>
      </c>
      <c r="U267" s="25">
        <f t="shared" si="77"/>
        <v>8087</v>
      </c>
      <c r="V267" s="451"/>
      <c r="W267" s="776"/>
      <c r="X267" s="808"/>
      <c r="Y267" s="808"/>
      <c r="Z267" s="25"/>
    </row>
    <row r="268" spans="1:26" ht="13.5" customHeight="1">
      <c r="A268" s="758">
        <f t="shared" si="93"/>
        <v>73</v>
      </c>
      <c r="B268" s="293" t="s">
        <v>753</v>
      </c>
      <c r="C268" s="25">
        <f t="shared" si="88"/>
        <v>7268</v>
      </c>
      <c r="D268" s="759">
        <f t="shared" si="94"/>
        <v>725.35863026376683</v>
      </c>
      <c r="E268" s="759">
        <f t="shared" si="94"/>
        <v>191.34544192503472</v>
      </c>
      <c r="F268" s="759">
        <f t="shared" si="94"/>
        <v>406.09706154558074</v>
      </c>
      <c r="G268" s="759">
        <f t="shared" si="94"/>
        <v>73.789912077741789</v>
      </c>
      <c r="H268" s="759">
        <f t="shared" si="94"/>
        <v>703.76368964985352</v>
      </c>
      <c r="I268" s="759">
        <f t="shared" si="94"/>
        <v>122.04399969150084</v>
      </c>
      <c r="J268" s="360"/>
      <c r="K268" s="25">
        <f t="shared" si="92"/>
        <v>9490.3987351534779</v>
      </c>
      <c r="L268" s="759">
        <v>1</v>
      </c>
      <c r="M268" s="759">
        <f t="shared" si="85"/>
        <v>9490.3987351534779</v>
      </c>
      <c r="N268" s="671">
        <v>10110</v>
      </c>
      <c r="O268" s="671"/>
      <c r="P268" s="188" t="s">
        <v>426</v>
      </c>
      <c r="Q268" s="776">
        <v>40772</v>
      </c>
      <c r="R268" s="775"/>
      <c r="S268" s="301">
        <f>L268</f>
        <v>1</v>
      </c>
      <c r="T268" s="253">
        <v>7268</v>
      </c>
      <c r="U268" s="25">
        <f t="shared" si="77"/>
        <v>7268</v>
      </c>
      <c r="V268" s="451"/>
      <c r="W268" s="776"/>
      <c r="X268" s="808"/>
      <c r="Y268" s="808"/>
      <c r="Z268" s="25"/>
    </row>
    <row r="269" spans="1:26" ht="13.5" customHeight="1">
      <c r="A269" s="758">
        <f t="shared" si="93"/>
        <v>74</v>
      </c>
      <c r="B269" s="293" t="s">
        <v>754</v>
      </c>
      <c r="C269" s="25">
        <f t="shared" si="88"/>
        <v>16173</v>
      </c>
      <c r="D269" s="759">
        <f t="shared" si="94"/>
        <v>1450.7172605275337</v>
      </c>
      <c r="E269" s="759">
        <f t="shared" si="94"/>
        <v>382.69088385006944</v>
      </c>
      <c r="F269" s="759">
        <f t="shared" si="94"/>
        <v>812.19412309116149</v>
      </c>
      <c r="G269" s="759">
        <f t="shared" si="94"/>
        <v>147.57982415548358</v>
      </c>
      <c r="H269" s="759">
        <f t="shared" si="94"/>
        <v>1407.527379299707</v>
      </c>
      <c r="I269" s="759">
        <f t="shared" si="94"/>
        <v>244.08799938300169</v>
      </c>
      <c r="J269" s="360"/>
      <c r="K269" s="25">
        <f t="shared" si="92"/>
        <v>20617.797470306956</v>
      </c>
      <c r="L269" s="759">
        <v>2</v>
      </c>
      <c r="M269" s="759">
        <f t="shared" si="85"/>
        <v>10308.898735153478</v>
      </c>
      <c r="N269" s="671">
        <v>15053</v>
      </c>
      <c r="O269" s="671"/>
      <c r="P269" s="188" t="s">
        <v>401</v>
      </c>
      <c r="Q269" s="776">
        <v>40772</v>
      </c>
      <c r="R269" s="775"/>
      <c r="S269" s="301">
        <f>L269/2</f>
        <v>1</v>
      </c>
      <c r="T269" s="808">
        <v>16173</v>
      </c>
      <c r="U269" s="25">
        <f t="shared" si="77"/>
        <v>16173</v>
      </c>
      <c r="V269" s="451"/>
      <c r="W269" s="776"/>
      <c r="X269" s="808"/>
      <c r="Y269" s="808"/>
      <c r="Z269" s="25"/>
    </row>
    <row r="270" spans="1:26" ht="13.5" customHeight="1">
      <c r="A270" s="758">
        <f t="shared" si="93"/>
        <v>75</v>
      </c>
      <c r="B270" s="293" t="s">
        <v>755</v>
      </c>
      <c r="C270" s="25">
        <f t="shared" si="88"/>
        <v>7509250</v>
      </c>
      <c r="D270" s="759">
        <f t="shared" si="94"/>
        <v>507751.04118463676</v>
      </c>
      <c r="E270" s="759">
        <f t="shared" si="94"/>
        <v>133941.80934752431</v>
      </c>
      <c r="F270" s="759">
        <f t="shared" si="94"/>
        <v>284267.94308190653</v>
      </c>
      <c r="G270" s="759">
        <f t="shared" si="94"/>
        <v>51652.938454419251</v>
      </c>
      <c r="H270" s="759">
        <f t="shared" si="94"/>
        <v>492634.58275489748</v>
      </c>
      <c r="I270" s="759">
        <f t="shared" si="94"/>
        <v>85430.799784050585</v>
      </c>
      <c r="J270" s="360"/>
      <c r="K270" s="25">
        <f t="shared" si="92"/>
        <v>9064929.1146074347</v>
      </c>
      <c r="L270" s="759">
        <v>700</v>
      </c>
      <c r="M270" s="759">
        <f t="shared" si="85"/>
        <v>12949.898735153478</v>
      </c>
      <c r="N270" s="671">
        <v>14438</v>
      </c>
      <c r="O270" s="671"/>
      <c r="P270" s="188" t="s">
        <v>495</v>
      </c>
      <c r="Q270" s="776">
        <v>40772</v>
      </c>
      <c r="R270" s="775"/>
      <c r="S270" s="301">
        <f>L270/2</f>
        <v>350</v>
      </c>
      <c r="T270" s="832">
        <v>21455</v>
      </c>
      <c r="U270" s="25">
        <f t="shared" si="77"/>
        <v>7509250</v>
      </c>
      <c r="V270" s="451"/>
      <c r="W270" s="776"/>
      <c r="X270" s="808"/>
      <c r="Y270" s="808"/>
      <c r="Z270" s="25"/>
    </row>
    <row r="271" spans="1:26" ht="13.5" customHeight="1">
      <c r="A271" s="758">
        <f t="shared" si="93"/>
        <v>76</v>
      </c>
      <c r="B271" s="293" t="s">
        <v>756</v>
      </c>
      <c r="C271" s="25">
        <f t="shared" si="88"/>
        <v>738276</v>
      </c>
      <c r="D271" s="759">
        <f t="shared" si="94"/>
        <v>45697.593706617306</v>
      </c>
      <c r="E271" s="759">
        <f t="shared" si="94"/>
        <v>12054.762841277188</v>
      </c>
      <c r="F271" s="759">
        <f t="shared" si="94"/>
        <v>25584.114877371587</v>
      </c>
      <c r="G271" s="759">
        <f t="shared" si="94"/>
        <v>4648.7644608977325</v>
      </c>
      <c r="H271" s="759">
        <f t="shared" si="94"/>
        <v>44337.112447940774</v>
      </c>
      <c r="I271" s="759">
        <f t="shared" si="94"/>
        <v>7688.7719805645529</v>
      </c>
      <c r="J271" s="360"/>
      <c r="K271" s="25">
        <f t="shared" si="92"/>
        <v>878287.12031466921</v>
      </c>
      <c r="L271" s="759">
        <v>63</v>
      </c>
      <c r="M271" s="759">
        <f t="shared" si="85"/>
        <v>13941.065401820146</v>
      </c>
      <c r="N271" s="671">
        <v>16713</v>
      </c>
      <c r="O271" s="671"/>
      <c r="P271" s="40" t="s">
        <v>439</v>
      </c>
      <c r="Q271" s="776">
        <v>40774</v>
      </c>
      <c r="R271" s="775"/>
      <c r="S271" s="301">
        <v>33</v>
      </c>
      <c r="T271" s="808">
        <v>22372</v>
      </c>
      <c r="U271" s="25">
        <f t="shared" si="77"/>
        <v>738276</v>
      </c>
      <c r="V271" s="451"/>
      <c r="W271" s="776"/>
      <c r="X271" s="808"/>
      <c r="Y271" s="808"/>
      <c r="Z271" s="25"/>
    </row>
    <row r="272" spans="1:26" ht="13.5" customHeight="1">
      <c r="A272" s="758">
        <f t="shared" si="93"/>
        <v>77</v>
      </c>
      <c r="B272" s="293" t="s">
        <v>757</v>
      </c>
      <c r="C272" s="25">
        <f t="shared" si="88"/>
        <v>713736</v>
      </c>
      <c r="D272" s="759">
        <f t="shared" si="94"/>
        <v>100099.49097639983</v>
      </c>
      <c r="E272" s="759">
        <f t="shared" si="94"/>
        <v>26405.67098565479</v>
      </c>
      <c r="F272" s="759">
        <f t="shared" si="94"/>
        <v>56041.394493290143</v>
      </c>
      <c r="G272" s="759">
        <f t="shared" si="94"/>
        <v>10183.007866728367</v>
      </c>
      <c r="H272" s="759">
        <f t="shared" si="94"/>
        <v>97119.389171679781</v>
      </c>
      <c r="I272" s="759">
        <f t="shared" si="94"/>
        <v>16842.071957427117</v>
      </c>
      <c r="J272" s="360"/>
      <c r="K272" s="25">
        <f t="shared" si="92"/>
        <v>1020427.0254511799</v>
      </c>
      <c r="L272" s="759">
        <v>138</v>
      </c>
      <c r="M272" s="759">
        <f t="shared" si="85"/>
        <v>7394.3987351534779</v>
      </c>
      <c r="N272" s="671">
        <v>8450</v>
      </c>
      <c r="O272" s="671"/>
      <c r="P272" s="188" t="s">
        <v>451</v>
      </c>
      <c r="Q272" s="776">
        <v>40774</v>
      </c>
      <c r="R272" s="775"/>
      <c r="S272" s="301">
        <f>L272/2</f>
        <v>69</v>
      </c>
      <c r="T272" s="808">
        <v>10344</v>
      </c>
      <c r="U272" s="25">
        <f t="shared" si="77"/>
        <v>713736</v>
      </c>
      <c r="V272" s="451"/>
      <c r="W272" s="776"/>
      <c r="X272" s="808"/>
      <c r="Y272" s="808"/>
      <c r="Z272" s="25"/>
    </row>
    <row r="273" spans="1:26" ht="13.5" customHeight="1">
      <c r="A273" s="758">
        <f t="shared" si="93"/>
        <v>78</v>
      </c>
      <c r="B273" s="293" t="s">
        <v>758</v>
      </c>
      <c r="C273" s="25">
        <f t="shared" si="88"/>
        <v>1708596</v>
      </c>
      <c r="D273" s="759">
        <f t="shared" si="94"/>
        <v>202375.05784359094</v>
      </c>
      <c r="E273" s="759">
        <f t="shared" si="94"/>
        <v>53385.378297084688</v>
      </c>
      <c r="F273" s="759">
        <f t="shared" si="94"/>
        <v>113301.08017121702</v>
      </c>
      <c r="G273" s="759">
        <f t="shared" si="94"/>
        <v>20587.385469689958</v>
      </c>
      <c r="H273" s="759">
        <f t="shared" si="94"/>
        <v>196350.06941230912</v>
      </c>
      <c r="I273" s="759">
        <f t="shared" si="94"/>
        <v>34050.275913928737</v>
      </c>
      <c r="J273" s="360"/>
      <c r="K273" s="25">
        <f t="shared" si="92"/>
        <v>2328645.2471078201</v>
      </c>
      <c r="L273" s="759">
        <v>279</v>
      </c>
      <c r="M273" s="759">
        <f t="shared" si="85"/>
        <v>8346.3987351534779</v>
      </c>
      <c r="N273" s="671">
        <v>9594</v>
      </c>
      <c r="O273" s="671"/>
      <c r="P273" s="188" t="s">
        <v>381</v>
      </c>
      <c r="Q273" s="776">
        <v>40774</v>
      </c>
      <c r="R273" s="775"/>
      <c r="S273" s="301">
        <f>L273</f>
        <v>279</v>
      </c>
      <c r="T273" s="808">
        <v>6124</v>
      </c>
      <c r="U273" s="25">
        <f t="shared" si="77"/>
        <v>1708596</v>
      </c>
      <c r="V273" s="451"/>
      <c r="W273" s="776"/>
      <c r="X273" s="808"/>
      <c r="Y273" s="808"/>
      <c r="Z273" s="25"/>
    </row>
    <row r="274" spans="1:26" ht="13.5" customHeight="1">
      <c r="A274" s="758">
        <f t="shared" si="93"/>
        <v>79</v>
      </c>
      <c r="B274" s="293" t="s">
        <v>759</v>
      </c>
      <c r="C274" s="25">
        <f t="shared" si="88"/>
        <v>339460</v>
      </c>
      <c r="D274" s="759">
        <f t="shared" si="94"/>
        <v>29739.70384081444</v>
      </c>
      <c r="E274" s="759">
        <f t="shared" si="94"/>
        <v>7845.1631189264235</v>
      </c>
      <c r="F274" s="759">
        <f t="shared" si="94"/>
        <v>16649.979523368809</v>
      </c>
      <c r="G274" s="759">
        <f t="shared" si="94"/>
        <v>3025.3863951874132</v>
      </c>
      <c r="H274" s="759">
        <f t="shared" si="94"/>
        <v>28854.311275643995</v>
      </c>
      <c r="I274" s="759">
        <f t="shared" si="94"/>
        <v>5003.8039873515345</v>
      </c>
      <c r="J274" s="360"/>
      <c r="K274" s="25">
        <f t="shared" si="92"/>
        <v>430578.34814129258</v>
      </c>
      <c r="L274" s="759">
        <v>41</v>
      </c>
      <c r="M274" s="759">
        <f t="shared" si="85"/>
        <v>10501.91093027543</v>
      </c>
      <c r="N274" s="671">
        <v>11992</v>
      </c>
      <c r="O274" s="671"/>
      <c r="P274" s="188" t="s">
        <v>434</v>
      </c>
      <c r="Q274" s="776">
        <v>40774</v>
      </c>
      <c r="R274" s="775"/>
      <c r="S274" s="301">
        <v>20</v>
      </c>
      <c r="T274" s="808">
        <v>16973</v>
      </c>
      <c r="U274" s="25">
        <f t="shared" si="77"/>
        <v>339460</v>
      </c>
      <c r="V274" s="451"/>
      <c r="W274" s="776"/>
      <c r="X274" s="808"/>
      <c r="Y274" s="808"/>
      <c r="Z274" s="25"/>
    </row>
    <row r="275" spans="1:26" ht="13.5" customHeight="1">
      <c r="A275" s="758">
        <f t="shared" si="93"/>
        <v>80</v>
      </c>
      <c r="B275" s="293" t="s">
        <v>760</v>
      </c>
      <c r="C275" s="25">
        <f t="shared" si="88"/>
        <v>1307440</v>
      </c>
      <c r="D275" s="759">
        <f t="shared" si="94"/>
        <v>109529.15316982879</v>
      </c>
      <c r="E275" s="759">
        <f t="shared" si="94"/>
        <v>28893.161730680244</v>
      </c>
      <c r="F275" s="759">
        <f t="shared" si="94"/>
        <v>61320.656293382694</v>
      </c>
      <c r="G275" s="759">
        <f t="shared" si="94"/>
        <v>11142.276723739011</v>
      </c>
      <c r="H275" s="759">
        <f t="shared" si="94"/>
        <v>106268.31713712789</v>
      </c>
      <c r="I275" s="759">
        <f t="shared" si="94"/>
        <v>18428.643953416627</v>
      </c>
      <c r="J275" s="360"/>
      <c r="K275" s="25">
        <f t="shared" si="92"/>
        <v>1643022.2090081752</v>
      </c>
      <c r="L275" s="759">
        <v>151</v>
      </c>
      <c r="M275" s="759">
        <f t="shared" si="85"/>
        <v>10880.941781511094</v>
      </c>
      <c r="N275" s="671">
        <v>11067</v>
      </c>
      <c r="O275" s="671"/>
      <c r="P275" s="188" t="s">
        <v>457</v>
      </c>
      <c r="Q275" s="776">
        <v>40774</v>
      </c>
      <c r="R275" s="775"/>
      <c r="S275" s="301">
        <v>40</v>
      </c>
      <c r="T275" s="832">
        <v>32686</v>
      </c>
      <c r="U275" s="25">
        <f t="shared" si="77"/>
        <v>1307440</v>
      </c>
      <c r="V275" s="451"/>
      <c r="W275" s="776"/>
      <c r="X275" s="808"/>
      <c r="Y275" s="808"/>
      <c r="Z275" s="25"/>
    </row>
    <row r="276" spans="1:26" ht="13.5" customHeight="1">
      <c r="A276" s="758">
        <f t="shared" si="93"/>
        <v>81</v>
      </c>
      <c r="B276" s="293" t="s">
        <v>761</v>
      </c>
      <c r="C276" s="25">
        <f t="shared" si="88"/>
        <v>2654496</v>
      </c>
      <c r="D276" s="759">
        <f t="shared" ref="D276:I285" si="96">IF($L$350&lt;&gt;0,D$350/$L$350*$L276,0)</f>
        <v>335841.04581212404</v>
      </c>
      <c r="E276" s="759">
        <f t="shared" si="96"/>
        <v>88592.939611291076</v>
      </c>
      <c r="F276" s="759">
        <f t="shared" si="96"/>
        <v>188022.93949560387</v>
      </c>
      <c r="G276" s="759">
        <f t="shared" si="96"/>
        <v>34164.729291994445</v>
      </c>
      <c r="H276" s="759">
        <f t="shared" si="96"/>
        <v>325842.58830788219</v>
      </c>
      <c r="I276" s="759">
        <f t="shared" si="96"/>
        <v>56506.371857164893</v>
      </c>
      <c r="J276" s="360"/>
      <c r="K276" s="25">
        <f t="shared" si="92"/>
        <v>3683466.6143760607</v>
      </c>
      <c r="L276" s="759">
        <v>463</v>
      </c>
      <c r="M276" s="759">
        <f t="shared" si="85"/>
        <v>7955.6514349374957</v>
      </c>
      <c r="N276" s="671">
        <v>10594</v>
      </c>
      <c r="O276" s="671"/>
      <c r="P276" s="188" t="s">
        <v>446</v>
      </c>
      <c r="Q276" s="776">
        <v>40774</v>
      </c>
      <c r="R276" s="775"/>
      <c r="S276" s="301">
        <v>104</v>
      </c>
      <c r="T276" s="806">
        <v>25524</v>
      </c>
      <c r="U276" s="25">
        <f t="shared" si="77"/>
        <v>2654496</v>
      </c>
      <c r="V276" s="451"/>
      <c r="W276" s="776"/>
      <c r="X276" s="808"/>
      <c r="Y276" s="808"/>
      <c r="Z276" s="25"/>
    </row>
    <row r="277" spans="1:26" ht="13.5" customHeight="1">
      <c r="A277" s="758">
        <f>IF(B277&lt;&gt;"",A276+1,"")</f>
        <v>82</v>
      </c>
      <c r="B277" s="293" t="s">
        <v>762</v>
      </c>
      <c r="C277" s="25">
        <f t="shared" si="88"/>
        <v>1759310</v>
      </c>
      <c r="D277" s="759">
        <f t="shared" si="96"/>
        <v>118233.45673299399</v>
      </c>
      <c r="E277" s="759">
        <f t="shared" si="96"/>
        <v>31189.30703378066</v>
      </c>
      <c r="F277" s="759">
        <f t="shared" si="96"/>
        <v>66193.821031929663</v>
      </c>
      <c r="G277" s="759">
        <f t="shared" si="96"/>
        <v>12027.755668671911</v>
      </c>
      <c r="H277" s="759">
        <f t="shared" si="96"/>
        <v>114713.48141292612</v>
      </c>
      <c r="I277" s="759">
        <f t="shared" si="96"/>
        <v>19893.171949714637</v>
      </c>
      <c r="J277" s="360"/>
      <c r="K277" s="25">
        <f t="shared" si="92"/>
        <v>2121560.9938300168</v>
      </c>
      <c r="L277" s="759">
        <v>163</v>
      </c>
      <c r="M277" s="759">
        <f t="shared" si="85"/>
        <v>13015.711618589061</v>
      </c>
      <c r="N277" s="671">
        <v>14010</v>
      </c>
      <c r="O277" s="671"/>
      <c r="P277" s="188" t="s">
        <v>495</v>
      </c>
      <c r="Q277" s="776">
        <v>40774</v>
      </c>
      <c r="R277" s="775"/>
      <c r="S277" s="301">
        <v>82</v>
      </c>
      <c r="T277" s="832">
        <v>21455</v>
      </c>
      <c r="U277" s="25">
        <f t="shared" si="77"/>
        <v>1759310</v>
      </c>
      <c r="V277" s="451"/>
      <c r="W277" s="776"/>
      <c r="X277" s="808"/>
      <c r="Y277" s="808"/>
      <c r="Z277" s="25"/>
    </row>
    <row r="278" spans="1:26" ht="13.5" customHeight="1">
      <c r="A278" s="758">
        <f t="shared" si="93"/>
        <v>83</v>
      </c>
      <c r="B278" s="293" t="s">
        <v>543</v>
      </c>
      <c r="C278" s="25">
        <f t="shared" si="88"/>
        <v>100103</v>
      </c>
      <c r="D278" s="759">
        <f t="shared" si="96"/>
        <v>32641.138361869507</v>
      </c>
      <c r="E278" s="759">
        <f t="shared" si="96"/>
        <v>8610.5448866265615</v>
      </c>
      <c r="F278" s="759">
        <f t="shared" si="96"/>
        <v>18274.367769551132</v>
      </c>
      <c r="G278" s="759">
        <f t="shared" si="96"/>
        <v>3320.5460434983806</v>
      </c>
      <c r="H278" s="759">
        <f t="shared" si="96"/>
        <v>31669.366034243409</v>
      </c>
      <c r="I278" s="759">
        <f t="shared" si="96"/>
        <v>5491.9799861175379</v>
      </c>
      <c r="J278" s="360"/>
      <c r="K278" s="25">
        <f t="shared" si="92"/>
        <v>200110.94308190653</v>
      </c>
      <c r="L278" s="759">
        <v>45</v>
      </c>
      <c r="M278" s="759">
        <f t="shared" si="85"/>
        <v>4446.9098462645898</v>
      </c>
      <c r="N278" s="671">
        <v>4321</v>
      </c>
      <c r="O278" s="671"/>
      <c r="P278" s="188" t="s">
        <v>382</v>
      </c>
      <c r="Q278" s="776">
        <v>40774</v>
      </c>
      <c r="R278" s="775"/>
      <c r="S278" s="301">
        <f>L278/2</f>
        <v>22.5</v>
      </c>
      <c r="T278" s="808">
        <f>4449</f>
        <v>4449</v>
      </c>
      <c r="U278" s="25">
        <f t="shared" si="77"/>
        <v>100103</v>
      </c>
      <c r="V278" s="451"/>
      <c r="W278" s="776"/>
      <c r="X278" s="808"/>
      <c r="Y278" s="808"/>
      <c r="Z278" s="25"/>
    </row>
    <row r="279" spans="1:26" ht="13.5" customHeight="1">
      <c r="A279" s="758">
        <f t="shared" si="93"/>
        <v>84</v>
      </c>
      <c r="B279" s="293" t="s">
        <v>726</v>
      </c>
      <c r="C279" s="25">
        <f t="shared" si="88"/>
        <v>6056636</v>
      </c>
      <c r="D279" s="759">
        <f t="shared" si="96"/>
        <v>717379.68533086544</v>
      </c>
      <c r="E279" s="759">
        <f t="shared" si="96"/>
        <v>189240.64206385933</v>
      </c>
      <c r="F279" s="759">
        <f t="shared" si="96"/>
        <v>401629.99386857933</v>
      </c>
      <c r="G279" s="759">
        <f t="shared" si="96"/>
        <v>72978.223044886632</v>
      </c>
      <c r="H279" s="759">
        <f t="shared" si="96"/>
        <v>696022.28906370513</v>
      </c>
      <c r="I279" s="759">
        <f t="shared" si="96"/>
        <v>120701.51569489433</v>
      </c>
      <c r="J279" s="360"/>
      <c r="K279" s="25">
        <f t="shared" si="92"/>
        <v>8254588.3490667893</v>
      </c>
      <c r="L279" s="759">
        <v>989</v>
      </c>
      <c r="M279" s="759">
        <f t="shared" si="85"/>
        <v>8346.3987351534779</v>
      </c>
      <c r="N279" s="671">
        <v>9000</v>
      </c>
      <c r="O279" s="671"/>
      <c r="P279" s="188" t="s">
        <v>381</v>
      </c>
      <c r="Q279" s="776">
        <v>40780</v>
      </c>
      <c r="R279" s="775"/>
      <c r="S279" s="301">
        <f t="shared" ref="S279" si="97">L279</f>
        <v>989</v>
      </c>
      <c r="T279" s="808">
        <v>6124</v>
      </c>
      <c r="U279" s="25">
        <f t="shared" si="77"/>
        <v>6056636</v>
      </c>
      <c r="V279" s="451"/>
      <c r="W279" s="776"/>
      <c r="X279" s="808"/>
      <c r="Y279" s="808"/>
      <c r="Z279" s="25"/>
    </row>
    <row r="280" spans="1:26" ht="13.5" customHeight="1">
      <c r="A280" s="758">
        <f t="shared" si="93"/>
        <v>85</v>
      </c>
      <c r="B280" s="293" t="s">
        <v>763</v>
      </c>
      <c r="C280" s="25">
        <f t="shared" si="88"/>
        <v>1028491</v>
      </c>
      <c r="D280" s="759">
        <f t="shared" si="96"/>
        <v>140719.57427117077</v>
      </c>
      <c r="E280" s="759">
        <f t="shared" si="96"/>
        <v>37121.015733456734</v>
      </c>
      <c r="F280" s="759">
        <f t="shared" si="96"/>
        <v>78782.829939842661</v>
      </c>
      <c r="G280" s="759">
        <f t="shared" si="96"/>
        <v>14315.242943081907</v>
      </c>
      <c r="H280" s="759">
        <f t="shared" si="96"/>
        <v>136530.15579207157</v>
      </c>
      <c r="I280" s="759">
        <f t="shared" si="96"/>
        <v>23676.535940151163</v>
      </c>
      <c r="J280" s="360"/>
      <c r="K280" s="25">
        <f t="shared" si="92"/>
        <v>1459636.354619775</v>
      </c>
      <c r="L280" s="759">
        <v>194</v>
      </c>
      <c r="M280" s="759">
        <f t="shared" si="85"/>
        <v>7523.8987351534788</v>
      </c>
      <c r="N280" s="671">
        <v>9793</v>
      </c>
      <c r="O280" s="671"/>
      <c r="P280" s="188" t="s">
        <v>422</v>
      </c>
      <c r="Q280" s="776">
        <v>40781</v>
      </c>
      <c r="R280" s="775"/>
      <c r="S280" s="301">
        <f>L280/2</f>
        <v>97</v>
      </c>
      <c r="T280" s="289">
        <v>10603</v>
      </c>
      <c r="U280" s="25">
        <f t="shared" si="77"/>
        <v>1028491</v>
      </c>
      <c r="V280" s="451"/>
      <c r="W280" s="776"/>
      <c r="X280" s="808"/>
      <c r="Y280" s="808"/>
      <c r="Z280" s="25"/>
    </row>
    <row r="281" spans="1:26" ht="13.5" customHeight="1">
      <c r="A281" s="758">
        <f t="shared" si="93"/>
        <v>86</v>
      </c>
      <c r="B281" s="293" t="s">
        <v>764</v>
      </c>
      <c r="C281" s="25">
        <f t="shared" si="88"/>
        <v>548232</v>
      </c>
      <c r="D281" s="759">
        <f t="shared" si="96"/>
        <v>76888.014807959291</v>
      </c>
      <c r="E281" s="759">
        <f t="shared" si="96"/>
        <v>20282.616844053679</v>
      </c>
      <c r="F281" s="759">
        <f t="shared" si="96"/>
        <v>43046.288523831558</v>
      </c>
      <c r="G281" s="759">
        <f t="shared" si="96"/>
        <v>7821.7306802406292</v>
      </c>
      <c r="H281" s="759">
        <f t="shared" si="96"/>
        <v>74598.951102884472</v>
      </c>
      <c r="I281" s="759">
        <f t="shared" si="96"/>
        <v>12936.66396729909</v>
      </c>
      <c r="J281" s="360"/>
      <c r="K281" s="25">
        <f t="shared" si="92"/>
        <v>783806.26592626877</v>
      </c>
      <c r="L281" s="759">
        <v>106</v>
      </c>
      <c r="M281" s="759">
        <f t="shared" si="85"/>
        <v>7394.3987351534788</v>
      </c>
      <c r="N281" s="671">
        <v>8874</v>
      </c>
      <c r="O281" s="671"/>
      <c r="P281" s="188" t="s">
        <v>451</v>
      </c>
      <c r="Q281" s="776">
        <v>40781</v>
      </c>
      <c r="R281" s="775"/>
      <c r="S281" s="301">
        <f>L281/2</f>
        <v>53</v>
      </c>
      <c r="T281" s="808">
        <v>10344</v>
      </c>
      <c r="U281" s="25">
        <f t="shared" si="77"/>
        <v>548232</v>
      </c>
      <c r="V281" s="451"/>
      <c r="W281" s="776"/>
      <c r="X281" s="808"/>
      <c r="Y281" s="808"/>
      <c r="Z281" s="25"/>
    </row>
    <row r="282" spans="1:26" ht="13.5" customHeight="1">
      <c r="A282" s="758">
        <f t="shared" si="93"/>
        <v>87</v>
      </c>
      <c r="B282" s="293" t="s">
        <v>765</v>
      </c>
      <c r="C282" s="25">
        <f t="shared" si="88"/>
        <v>333675</v>
      </c>
      <c r="D282" s="759">
        <f t="shared" si="96"/>
        <v>108803.79453956502</v>
      </c>
      <c r="E282" s="759">
        <f t="shared" si="96"/>
        <v>28701.81628875521</v>
      </c>
      <c r="F282" s="759">
        <f t="shared" si="96"/>
        <v>60914.559231837113</v>
      </c>
      <c r="G282" s="759">
        <f t="shared" si="96"/>
        <v>11068.486811661269</v>
      </c>
      <c r="H282" s="759">
        <f t="shared" si="96"/>
        <v>105564.55344747803</v>
      </c>
      <c r="I282" s="759">
        <f t="shared" si="96"/>
        <v>18306.599953725126</v>
      </c>
      <c r="J282" s="360"/>
      <c r="K282" s="25">
        <f t="shared" si="92"/>
        <v>667034.81027302169</v>
      </c>
      <c r="L282" s="759">
        <v>150</v>
      </c>
      <c r="M282" s="759">
        <f t="shared" si="85"/>
        <v>4446.8987351534779</v>
      </c>
      <c r="N282" s="671">
        <v>4422</v>
      </c>
      <c r="O282" s="671"/>
      <c r="P282" s="188" t="s">
        <v>382</v>
      </c>
      <c r="Q282" s="776">
        <v>40781</v>
      </c>
      <c r="R282" s="775"/>
      <c r="S282" s="301">
        <f>L282/2</f>
        <v>75</v>
      </c>
      <c r="T282" s="808">
        <f>4449</f>
        <v>4449</v>
      </c>
      <c r="U282" s="25">
        <f t="shared" si="77"/>
        <v>333675</v>
      </c>
      <c r="V282" s="451"/>
      <c r="W282" s="776"/>
      <c r="X282" s="808"/>
      <c r="Y282" s="808"/>
      <c r="Z282" s="25"/>
    </row>
    <row r="283" spans="1:26" ht="13.5" customHeight="1">
      <c r="A283" s="758">
        <f t="shared" si="93"/>
        <v>88</v>
      </c>
      <c r="B283" s="293" t="s">
        <v>766</v>
      </c>
      <c r="C283" s="25">
        <f t="shared" si="88"/>
        <v>2225</v>
      </c>
      <c r="D283" s="759">
        <f t="shared" si="96"/>
        <v>725.35863026376683</v>
      </c>
      <c r="E283" s="759">
        <f t="shared" si="96"/>
        <v>191.34544192503472</v>
      </c>
      <c r="F283" s="759">
        <f t="shared" si="96"/>
        <v>406.09706154558074</v>
      </c>
      <c r="G283" s="759">
        <f t="shared" si="96"/>
        <v>73.789912077741789</v>
      </c>
      <c r="H283" s="759">
        <f t="shared" si="96"/>
        <v>703.76368964985352</v>
      </c>
      <c r="I283" s="759">
        <f t="shared" si="96"/>
        <v>122.04399969150084</v>
      </c>
      <c r="J283" s="360"/>
      <c r="K283" s="25">
        <f t="shared" si="92"/>
        <v>4447.3987351534788</v>
      </c>
      <c r="L283" s="759">
        <v>1</v>
      </c>
      <c r="M283" s="759">
        <f t="shared" si="85"/>
        <v>4447.3987351534788</v>
      </c>
      <c r="N283" s="671">
        <v>5734</v>
      </c>
      <c r="O283" s="671"/>
      <c r="P283" s="188" t="s">
        <v>382</v>
      </c>
      <c r="Q283" s="776">
        <v>40781</v>
      </c>
      <c r="R283" s="775"/>
      <c r="S283" s="301">
        <f>L283/2</f>
        <v>0.5</v>
      </c>
      <c r="T283" s="808">
        <f>4449</f>
        <v>4449</v>
      </c>
      <c r="U283" s="25">
        <f t="shared" si="77"/>
        <v>2225</v>
      </c>
      <c r="V283" s="451"/>
      <c r="W283" s="776"/>
      <c r="X283" s="808"/>
      <c r="Y283" s="808"/>
      <c r="Z283" s="25"/>
    </row>
    <row r="284" spans="1:26" ht="13.5" customHeight="1">
      <c r="A284" s="758">
        <f t="shared" si="93"/>
        <v>89</v>
      </c>
      <c r="B284" s="293" t="s">
        <v>767</v>
      </c>
      <c r="C284" s="25">
        <f t="shared" si="88"/>
        <v>687876</v>
      </c>
      <c r="D284" s="759">
        <f t="shared" si="96"/>
        <v>96472.697825080992</v>
      </c>
      <c r="E284" s="759">
        <f t="shared" si="96"/>
        <v>25448.943776029617</v>
      </c>
      <c r="F284" s="759">
        <f t="shared" si="96"/>
        <v>54010.909185562239</v>
      </c>
      <c r="G284" s="759">
        <f t="shared" si="96"/>
        <v>9814.0583063396571</v>
      </c>
      <c r="H284" s="759">
        <f t="shared" si="96"/>
        <v>93600.570723430515</v>
      </c>
      <c r="I284" s="759">
        <f t="shared" si="96"/>
        <v>16231.851958969612</v>
      </c>
      <c r="J284" s="360"/>
      <c r="K284" s="25">
        <f t="shared" si="92"/>
        <v>983455.03177541262</v>
      </c>
      <c r="L284" s="759">
        <v>133</v>
      </c>
      <c r="M284" s="759">
        <f t="shared" si="85"/>
        <v>7394.3987351534779</v>
      </c>
      <c r="N284" s="671">
        <v>8398</v>
      </c>
      <c r="O284" s="671"/>
      <c r="P284" s="188" t="s">
        <v>451</v>
      </c>
      <c r="Q284" s="776">
        <v>40781</v>
      </c>
      <c r="R284" s="775"/>
      <c r="S284" s="301">
        <f>L284/2</f>
        <v>66.5</v>
      </c>
      <c r="T284" s="808">
        <v>10344</v>
      </c>
      <c r="U284" s="25">
        <f t="shared" si="77"/>
        <v>687876</v>
      </c>
      <c r="V284" s="451"/>
      <c r="W284" s="776"/>
      <c r="X284" s="808"/>
      <c r="Y284" s="808"/>
      <c r="Z284" s="25"/>
    </row>
    <row r="285" spans="1:26" ht="13.5" customHeight="1">
      <c r="A285" s="758">
        <f t="shared" si="93"/>
        <v>90</v>
      </c>
      <c r="B285" s="293" t="s">
        <v>768</v>
      </c>
      <c r="C285" s="25">
        <f t="shared" si="88"/>
        <v>863484</v>
      </c>
      <c r="D285" s="759">
        <f t="shared" si="96"/>
        <v>102275.56686719113</v>
      </c>
      <c r="E285" s="759">
        <f t="shared" si="96"/>
        <v>26979.707311429895</v>
      </c>
      <c r="F285" s="759">
        <f t="shared" si="96"/>
        <v>57259.685677926886</v>
      </c>
      <c r="G285" s="759">
        <f t="shared" si="96"/>
        <v>10404.377602961593</v>
      </c>
      <c r="H285" s="759">
        <f t="shared" si="96"/>
        <v>99230.680240629343</v>
      </c>
      <c r="I285" s="759">
        <f t="shared" si="96"/>
        <v>17208.20395650162</v>
      </c>
      <c r="J285" s="360"/>
      <c r="K285" s="25">
        <f t="shared" si="92"/>
        <v>1176842.2216566403</v>
      </c>
      <c r="L285" s="759">
        <v>141</v>
      </c>
      <c r="M285" s="759">
        <f t="shared" si="85"/>
        <v>8346.3987351534779</v>
      </c>
      <c r="N285" s="671">
        <v>9538</v>
      </c>
      <c r="O285" s="671"/>
      <c r="P285" s="188" t="s">
        <v>381</v>
      </c>
      <c r="Q285" s="776">
        <v>40781</v>
      </c>
      <c r="R285" s="775"/>
      <c r="S285" s="301">
        <f>L285</f>
        <v>141</v>
      </c>
      <c r="T285" s="808">
        <v>6124</v>
      </c>
      <c r="U285" s="25">
        <f t="shared" si="77"/>
        <v>863484</v>
      </c>
      <c r="V285" s="451"/>
      <c r="W285" s="776"/>
      <c r="X285" s="808"/>
      <c r="Y285" s="808"/>
      <c r="Z285" s="25"/>
    </row>
    <row r="286" spans="1:26" ht="13.5" customHeight="1">
      <c r="A286" s="758">
        <f t="shared" si="93"/>
        <v>91</v>
      </c>
      <c r="B286" s="293" t="s">
        <v>769</v>
      </c>
      <c r="C286" s="25">
        <f t="shared" si="88"/>
        <v>1753566</v>
      </c>
      <c r="D286" s="759">
        <f t="shared" ref="D286:I295" si="98">IF($L$350&lt;&gt;0,D$350/$L$350*$L286,0)</f>
        <v>211804.72003701993</v>
      </c>
      <c r="E286" s="759">
        <f t="shared" si="98"/>
        <v>55872.869042110135</v>
      </c>
      <c r="F286" s="759">
        <f t="shared" si="98"/>
        <v>118580.34197130958</v>
      </c>
      <c r="G286" s="759">
        <f t="shared" si="98"/>
        <v>21546.654326700602</v>
      </c>
      <c r="H286" s="759">
        <f t="shared" si="98"/>
        <v>205498.99737775722</v>
      </c>
      <c r="I286" s="759">
        <f t="shared" si="98"/>
        <v>35636.847909918244</v>
      </c>
      <c r="J286" s="360"/>
      <c r="K286" s="25">
        <f t="shared" si="92"/>
        <v>2402506.430664815</v>
      </c>
      <c r="L286" s="759">
        <v>292</v>
      </c>
      <c r="M286" s="759">
        <f t="shared" si="85"/>
        <v>8227.7617488521064</v>
      </c>
      <c r="N286" s="671">
        <v>10534</v>
      </c>
      <c r="O286" s="671"/>
      <c r="P286" s="293" t="s">
        <v>394</v>
      </c>
      <c r="Q286" s="776">
        <v>40781</v>
      </c>
      <c r="R286" s="775"/>
      <c r="S286" s="301">
        <v>291</v>
      </c>
      <c r="T286" s="808">
        <v>6026</v>
      </c>
      <c r="U286" s="25">
        <f t="shared" si="77"/>
        <v>1753566</v>
      </c>
      <c r="V286" s="451"/>
      <c r="W286" s="776"/>
      <c r="X286" s="808"/>
      <c r="Y286" s="808"/>
      <c r="Z286" s="25"/>
    </row>
    <row r="287" spans="1:26" ht="13.5" customHeight="1">
      <c r="A287" s="758">
        <f t="shared" si="93"/>
        <v>92</v>
      </c>
      <c r="B287" s="293" t="s">
        <v>770</v>
      </c>
      <c r="C287" s="25">
        <f t="shared" si="88"/>
        <v>8152</v>
      </c>
      <c r="D287" s="759">
        <f t="shared" si="98"/>
        <v>725.35863026376683</v>
      </c>
      <c r="E287" s="759">
        <f t="shared" si="98"/>
        <v>191.34544192503472</v>
      </c>
      <c r="F287" s="759">
        <f t="shared" si="98"/>
        <v>406.09706154558074</v>
      </c>
      <c r="G287" s="759">
        <f t="shared" si="98"/>
        <v>73.789912077741789</v>
      </c>
      <c r="H287" s="759">
        <f t="shared" si="98"/>
        <v>703.76368964985352</v>
      </c>
      <c r="I287" s="759">
        <f t="shared" si="98"/>
        <v>122.04399969150084</v>
      </c>
      <c r="J287" s="360"/>
      <c r="K287" s="25">
        <f t="shared" si="92"/>
        <v>10374.398735153478</v>
      </c>
      <c r="L287" s="759">
        <v>1</v>
      </c>
      <c r="M287" s="759">
        <f t="shared" si="85"/>
        <v>10374.398735153478</v>
      </c>
      <c r="N287" s="671">
        <v>11261</v>
      </c>
      <c r="O287" s="671"/>
      <c r="P287" s="40" t="s">
        <v>469</v>
      </c>
      <c r="Q287" s="776">
        <v>40781</v>
      </c>
      <c r="R287" s="775"/>
      <c r="S287" s="301">
        <f>L287/2</f>
        <v>0.5</v>
      </c>
      <c r="T287" s="808">
        <v>16303</v>
      </c>
      <c r="U287" s="25">
        <f t="shared" si="77"/>
        <v>8152</v>
      </c>
      <c r="V287" s="451"/>
      <c r="W287" s="776"/>
      <c r="X287" s="808"/>
      <c r="Y287" s="808"/>
      <c r="Z287" s="25"/>
    </row>
    <row r="288" spans="1:26" ht="13.5" customHeight="1">
      <c r="A288" s="758">
        <f t="shared" si="93"/>
        <v>93</v>
      </c>
      <c r="B288" s="293" t="s">
        <v>771</v>
      </c>
      <c r="C288" s="25">
        <f t="shared" si="88"/>
        <v>7268</v>
      </c>
      <c r="D288" s="759">
        <f t="shared" si="98"/>
        <v>725.35863026376683</v>
      </c>
      <c r="E288" s="759">
        <f t="shared" si="98"/>
        <v>191.34544192503472</v>
      </c>
      <c r="F288" s="759">
        <f t="shared" si="98"/>
        <v>406.09706154558074</v>
      </c>
      <c r="G288" s="759">
        <f t="shared" si="98"/>
        <v>73.789912077741789</v>
      </c>
      <c r="H288" s="759">
        <f t="shared" si="98"/>
        <v>703.76368964985352</v>
      </c>
      <c r="I288" s="759">
        <f t="shared" si="98"/>
        <v>122.04399969150084</v>
      </c>
      <c r="J288" s="360"/>
      <c r="K288" s="25">
        <f t="shared" si="92"/>
        <v>9490.3987351534779</v>
      </c>
      <c r="L288" s="759">
        <v>1</v>
      </c>
      <c r="M288" s="759">
        <f t="shared" si="85"/>
        <v>9490.3987351534779</v>
      </c>
      <c r="N288" s="671">
        <v>10033</v>
      </c>
      <c r="O288" s="671"/>
      <c r="P288" s="188" t="s">
        <v>426</v>
      </c>
      <c r="Q288" s="776">
        <v>40781</v>
      </c>
      <c r="R288" s="775"/>
      <c r="S288" s="301">
        <f>L288</f>
        <v>1</v>
      </c>
      <c r="T288" s="253">
        <v>7268</v>
      </c>
      <c r="U288" s="25">
        <f t="shared" si="77"/>
        <v>7268</v>
      </c>
      <c r="V288" s="451"/>
      <c r="W288" s="776"/>
      <c r="X288" s="808"/>
      <c r="Y288" s="808"/>
      <c r="Z288" s="25"/>
    </row>
    <row r="289" spans="1:26" ht="13.5" customHeight="1">
      <c r="A289" s="758">
        <f t="shared" si="93"/>
        <v>94</v>
      </c>
      <c r="B289" s="293" t="s">
        <v>772</v>
      </c>
      <c r="C289" s="25">
        <f t="shared" si="88"/>
        <v>8087</v>
      </c>
      <c r="D289" s="759">
        <f t="shared" si="98"/>
        <v>725.35863026376683</v>
      </c>
      <c r="E289" s="759">
        <f t="shared" si="98"/>
        <v>191.34544192503472</v>
      </c>
      <c r="F289" s="759">
        <f t="shared" si="98"/>
        <v>406.09706154558074</v>
      </c>
      <c r="G289" s="759">
        <f t="shared" si="98"/>
        <v>73.789912077741789</v>
      </c>
      <c r="H289" s="759">
        <f t="shared" si="98"/>
        <v>703.76368964985352</v>
      </c>
      <c r="I289" s="759">
        <f t="shared" si="98"/>
        <v>122.04399969150084</v>
      </c>
      <c r="J289" s="360"/>
      <c r="K289" s="25">
        <f t="shared" si="92"/>
        <v>10309.398735153478</v>
      </c>
      <c r="L289" s="759">
        <v>1</v>
      </c>
      <c r="M289" s="759">
        <f t="shared" si="85"/>
        <v>10309.398735153478</v>
      </c>
      <c r="N289" s="671">
        <v>12495</v>
      </c>
      <c r="O289" s="671"/>
      <c r="P289" s="188" t="s">
        <v>401</v>
      </c>
      <c r="Q289" s="776">
        <v>40781</v>
      </c>
      <c r="R289" s="775"/>
      <c r="S289" s="301">
        <f>L289/2</f>
        <v>0.5</v>
      </c>
      <c r="T289" s="808">
        <v>16173</v>
      </c>
      <c r="U289" s="25">
        <f t="shared" si="77"/>
        <v>8087</v>
      </c>
      <c r="V289" s="451"/>
      <c r="W289" s="776"/>
      <c r="X289" s="808"/>
      <c r="Y289" s="808"/>
      <c r="Z289" s="25"/>
    </row>
    <row r="290" spans="1:26" ht="13.5" customHeight="1">
      <c r="A290" s="758">
        <f t="shared" si="93"/>
        <v>95</v>
      </c>
      <c r="B290" s="293" t="s">
        <v>773</v>
      </c>
      <c r="C290" s="25">
        <f t="shared" si="88"/>
        <v>8839460</v>
      </c>
      <c r="D290" s="759">
        <f t="shared" si="98"/>
        <v>597695.51133734384</v>
      </c>
      <c r="E290" s="759">
        <f t="shared" si="98"/>
        <v>157668.64414622862</v>
      </c>
      <c r="F290" s="759">
        <f t="shared" si="98"/>
        <v>334623.97871355852</v>
      </c>
      <c r="G290" s="759">
        <f t="shared" si="98"/>
        <v>60802.887552059234</v>
      </c>
      <c r="H290" s="759">
        <f t="shared" si="98"/>
        <v>579901.28027147928</v>
      </c>
      <c r="I290" s="759">
        <f t="shared" si="98"/>
        <v>100564.25574579669</v>
      </c>
      <c r="J290" s="360"/>
      <c r="K290" s="25">
        <f t="shared" si="92"/>
        <v>10670716.557766465</v>
      </c>
      <c r="L290" s="759">
        <v>824</v>
      </c>
      <c r="M290" s="759">
        <f t="shared" si="85"/>
        <v>12949.898735153478</v>
      </c>
      <c r="N290" s="671">
        <v>14369</v>
      </c>
      <c r="O290" s="671"/>
      <c r="P290" s="188" t="s">
        <v>495</v>
      </c>
      <c r="Q290" s="776">
        <v>40781</v>
      </c>
      <c r="R290" s="775"/>
      <c r="S290" s="301">
        <f>L290/2</f>
        <v>412</v>
      </c>
      <c r="T290" s="832">
        <v>21455</v>
      </c>
      <c r="U290" s="25">
        <f t="shared" si="77"/>
        <v>8839460</v>
      </c>
      <c r="V290" s="451"/>
      <c r="W290" s="776"/>
      <c r="X290" s="808"/>
      <c r="Y290" s="808"/>
      <c r="Z290" s="25"/>
    </row>
    <row r="291" spans="1:26" ht="13.5" customHeight="1">
      <c r="A291" s="758">
        <f t="shared" si="93"/>
        <v>96</v>
      </c>
      <c r="B291" s="293" t="s">
        <v>774</v>
      </c>
      <c r="C291" s="25">
        <f t="shared" si="88"/>
        <v>12248</v>
      </c>
      <c r="D291" s="759">
        <f t="shared" si="98"/>
        <v>1450.7172605275337</v>
      </c>
      <c r="E291" s="759">
        <f t="shared" si="98"/>
        <v>382.69088385006944</v>
      </c>
      <c r="F291" s="759">
        <f t="shared" si="98"/>
        <v>812.19412309116149</v>
      </c>
      <c r="G291" s="759">
        <f t="shared" si="98"/>
        <v>147.57982415548358</v>
      </c>
      <c r="H291" s="759">
        <f t="shared" si="98"/>
        <v>1407.527379299707</v>
      </c>
      <c r="I291" s="759">
        <f t="shared" si="98"/>
        <v>244.08799938300169</v>
      </c>
      <c r="J291" s="360"/>
      <c r="K291" s="25">
        <f t="shared" si="92"/>
        <v>16692.797470306959</v>
      </c>
      <c r="L291" s="759">
        <v>2</v>
      </c>
      <c r="M291" s="759">
        <f t="shared" si="85"/>
        <v>8346.3987351534797</v>
      </c>
      <c r="N291" s="671">
        <v>9960</v>
      </c>
      <c r="O291" s="671"/>
      <c r="P291" s="188" t="s">
        <v>381</v>
      </c>
      <c r="Q291" s="776">
        <v>40781</v>
      </c>
      <c r="R291" s="775"/>
      <c r="S291" s="301">
        <f>L291</f>
        <v>2</v>
      </c>
      <c r="T291" s="808">
        <v>6124</v>
      </c>
      <c r="U291" s="25">
        <f t="shared" si="77"/>
        <v>12248</v>
      </c>
      <c r="V291" s="451"/>
      <c r="W291" s="776"/>
      <c r="X291" s="808"/>
      <c r="Y291" s="808"/>
      <c r="Z291" s="25"/>
    </row>
    <row r="292" spans="1:26" ht="13.5" customHeight="1">
      <c r="A292" s="758">
        <f t="shared" si="93"/>
        <v>97</v>
      </c>
      <c r="B292" s="293" t="s">
        <v>775</v>
      </c>
      <c r="C292" s="25">
        <f t="shared" ref="C292:C348" si="99">U292</f>
        <v>8152</v>
      </c>
      <c r="D292" s="759">
        <f t="shared" si="98"/>
        <v>725.35863026376683</v>
      </c>
      <c r="E292" s="759">
        <f t="shared" si="98"/>
        <v>191.34544192503472</v>
      </c>
      <c r="F292" s="759">
        <f t="shared" si="98"/>
        <v>406.09706154558074</v>
      </c>
      <c r="G292" s="759">
        <f t="shared" si="98"/>
        <v>73.789912077741789</v>
      </c>
      <c r="H292" s="759">
        <f t="shared" si="98"/>
        <v>703.76368964985352</v>
      </c>
      <c r="I292" s="759">
        <f t="shared" si="98"/>
        <v>122.04399969150084</v>
      </c>
      <c r="J292" s="360"/>
      <c r="K292" s="25">
        <f t="shared" si="92"/>
        <v>10374.398735153478</v>
      </c>
      <c r="L292" s="759">
        <v>1</v>
      </c>
      <c r="M292" s="759">
        <f t="shared" ref="M292:M348" si="100">IF(L292&lt;&gt;"",K292/L292,"")</f>
        <v>10374.398735153478</v>
      </c>
      <c r="N292" s="671">
        <v>10656</v>
      </c>
      <c r="O292" s="671"/>
      <c r="P292" s="40" t="s">
        <v>469</v>
      </c>
      <c r="Q292" s="776">
        <v>40781</v>
      </c>
      <c r="R292" s="775"/>
      <c r="S292" s="301">
        <f>L292/2</f>
        <v>0.5</v>
      </c>
      <c r="T292" s="808">
        <v>16303</v>
      </c>
      <c r="U292" s="25">
        <f t="shared" si="77"/>
        <v>8152</v>
      </c>
      <c r="V292" s="451"/>
      <c r="W292" s="776"/>
      <c r="X292" s="808"/>
      <c r="Y292" s="808"/>
      <c r="Z292" s="25"/>
    </row>
    <row r="293" spans="1:26" ht="13.5" customHeight="1">
      <c r="A293" s="758">
        <f t="shared" si="93"/>
        <v>98</v>
      </c>
      <c r="B293" s="293" t="s">
        <v>776</v>
      </c>
      <c r="C293" s="25">
        <f t="shared" si="99"/>
        <v>7192500</v>
      </c>
      <c r="D293" s="759">
        <f t="shared" si="98"/>
        <v>541842.8968070338</v>
      </c>
      <c r="E293" s="759">
        <f t="shared" si="98"/>
        <v>142935.04511800094</v>
      </c>
      <c r="F293" s="759">
        <f t="shared" si="98"/>
        <v>303354.50497454882</v>
      </c>
      <c r="G293" s="759">
        <f t="shared" si="98"/>
        <v>55121.064322073114</v>
      </c>
      <c r="H293" s="759">
        <f t="shared" si="98"/>
        <v>525711.47616844054</v>
      </c>
      <c r="I293" s="759">
        <f t="shared" si="98"/>
        <v>91166.867769551129</v>
      </c>
      <c r="J293" s="360"/>
      <c r="K293" s="25">
        <f t="shared" si="92"/>
        <v>8852631.8551596478</v>
      </c>
      <c r="L293" s="759">
        <v>747</v>
      </c>
      <c r="M293" s="759">
        <f t="shared" si="100"/>
        <v>11850.912791378378</v>
      </c>
      <c r="N293" s="671">
        <v>13939</v>
      </c>
      <c r="O293" s="671"/>
      <c r="P293" s="40" t="s">
        <v>479</v>
      </c>
      <c r="Q293" s="776">
        <v>40781</v>
      </c>
      <c r="R293" s="775"/>
      <c r="S293" s="301">
        <v>375</v>
      </c>
      <c r="T293" s="808">
        <v>19180</v>
      </c>
      <c r="U293" s="25">
        <f t="shared" si="77"/>
        <v>7192500</v>
      </c>
      <c r="V293" s="451"/>
      <c r="W293" s="776"/>
      <c r="X293" s="808"/>
      <c r="Y293" s="808"/>
      <c r="Z293" s="25"/>
    </row>
    <row r="294" spans="1:26" ht="13.5" customHeight="1">
      <c r="A294" s="758">
        <f t="shared" si="93"/>
        <v>99</v>
      </c>
      <c r="B294" s="293" t="s">
        <v>777</v>
      </c>
      <c r="C294" s="25">
        <f t="shared" si="99"/>
        <v>798210</v>
      </c>
      <c r="D294" s="759">
        <f t="shared" si="98"/>
        <v>50775.104118463678</v>
      </c>
      <c r="E294" s="759">
        <f t="shared" si="98"/>
        <v>13394.18093475243</v>
      </c>
      <c r="F294" s="759">
        <f t="shared" si="98"/>
        <v>28426.794308190652</v>
      </c>
      <c r="G294" s="759">
        <f t="shared" si="98"/>
        <v>5165.2938454419254</v>
      </c>
      <c r="H294" s="759">
        <f t="shared" si="98"/>
        <v>49263.458275489749</v>
      </c>
      <c r="I294" s="759">
        <f t="shared" si="98"/>
        <v>8543.0799784050596</v>
      </c>
      <c r="J294" s="360"/>
      <c r="K294" s="25">
        <f t="shared" si="92"/>
        <v>953777.91146074352</v>
      </c>
      <c r="L294" s="759">
        <v>70</v>
      </c>
      <c r="M294" s="759">
        <f t="shared" si="100"/>
        <v>13625.39873515348</v>
      </c>
      <c r="N294" s="671">
        <v>15066</v>
      </c>
      <c r="O294" s="671"/>
      <c r="P294" s="188" t="s">
        <v>406</v>
      </c>
      <c r="Q294" s="776">
        <v>40781</v>
      </c>
      <c r="R294" s="775"/>
      <c r="S294" s="301">
        <f t="shared" ref="S294:S296" si="101">L294/2</f>
        <v>35</v>
      </c>
      <c r="T294" s="253">
        <v>22806</v>
      </c>
      <c r="U294" s="25">
        <f t="shared" si="77"/>
        <v>798210</v>
      </c>
      <c r="V294" s="451"/>
      <c r="W294" s="776"/>
      <c r="X294" s="808"/>
      <c r="Y294" s="808"/>
      <c r="Z294" s="25"/>
    </row>
    <row r="295" spans="1:26" ht="13.5" customHeight="1">
      <c r="A295" s="758">
        <f t="shared" si="93"/>
        <v>100</v>
      </c>
      <c r="B295" s="293" t="s">
        <v>778</v>
      </c>
      <c r="C295" s="25">
        <f t="shared" si="99"/>
        <v>1660288</v>
      </c>
      <c r="D295" s="759">
        <f t="shared" si="98"/>
        <v>91395.187413234613</v>
      </c>
      <c r="E295" s="759">
        <f t="shared" si="98"/>
        <v>24109.525682554377</v>
      </c>
      <c r="F295" s="759">
        <f t="shared" si="98"/>
        <v>51168.229754743174</v>
      </c>
      <c r="G295" s="759">
        <f t="shared" si="98"/>
        <v>9297.5289217954651</v>
      </c>
      <c r="H295" s="759">
        <f t="shared" si="98"/>
        <v>88674.224895881547</v>
      </c>
      <c r="I295" s="759">
        <f t="shared" si="98"/>
        <v>15377.543961129106</v>
      </c>
      <c r="J295" s="360"/>
      <c r="K295" s="25">
        <f t="shared" si="92"/>
        <v>1940310.2406293384</v>
      </c>
      <c r="L295" s="759">
        <v>126</v>
      </c>
      <c r="M295" s="759">
        <f t="shared" si="100"/>
        <v>15399.287624042368</v>
      </c>
      <c r="N295" s="671">
        <v>16910</v>
      </c>
      <c r="O295" s="671"/>
      <c r="P295" s="40" t="s">
        <v>465</v>
      </c>
      <c r="Q295" s="776">
        <v>40782</v>
      </c>
      <c r="R295" s="775"/>
      <c r="S295" s="301">
        <v>64</v>
      </c>
      <c r="T295" s="808">
        <v>25942</v>
      </c>
      <c r="U295" s="25">
        <f t="shared" si="77"/>
        <v>1660288</v>
      </c>
      <c r="V295" s="451"/>
      <c r="W295" s="776"/>
      <c r="X295" s="808"/>
      <c r="Y295" s="808"/>
      <c r="Z295" s="25"/>
    </row>
    <row r="296" spans="1:26" ht="13.5" customHeight="1">
      <c r="A296" s="758">
        <f t="shared" si="93"/>
        <v>101</v>
      </c>
      <c r="B296" s="293" t="s">
        <v>779</v>
      </c>
      <c r="C296" s="25">
        <f t="shared" si="99"/>
        <v>1994490</v>
      </c>
      <c r="D296" s="759">
        <f t="shared" ref="D296:I305" si="102">IF($L$350&lt;&gt;0,D$350/$L$350*$L296,0)</f>
        <v>120409.53262378529</v>
      </c>
      <c r="E296" s="759">
        <f t="shared" si="102"/>
        <v>31763.343359555765</v>
      </c>
      <c r="F296" s="759">
        <f t="shared" si="102"/>
        <v>67412.112216566398</v>
      </c>
      <c r="G296" s="759">
        <f t="shared" si="102"/>
        <v>12249.125404905137</v>
      </c>
      <c r="H296" s="759">
        <f t="shared" si="102"/>
        <v>116824.77248187568</v>
      </c>
      <c r="I296" s="759">
        <f t="shared" si="102"/>
        <v>20259.30394878914</v>
      </c>
      <c r="J296" s="360"/>
      <c r="K296" s="25">
        <f t="shared" si="92"/>
        <v>2363408.1900354768</v>
      </c>
      <c r="L296" s="759">
        <v>166</v>
      </c>
      <c r="M296" s="759">
        <f t="shared" si="100"/>
        <v>14237.398735153474</v>
      </c>
      <c r="N296" s="671">
        <v>15549</v>
      </c>
      <c r="O296" s="671"/>
      <c r="P296" s="188" t="s">
        <v>445</v>
      </c>
      <c r="Q296" s="776">
        <v>40782</v>
      </c>
      <c r="R296" s="775"/>
      <c r="S296" s="301">
        <f t="shared" si="101"/>
        <v>83</v>
      </c>
      <c r="T296" s="253">
        <v>24030</v>
      </c>
      <c r="U296" s="25">
        <f t="shared" si="77"/>
        <v>1994490</v>
      </c>
      <c r="V296" s="451"/>
      <c r="W296" s="776"/>
      <c r="X296" s="808"/>
      <c r="Y296" s="808"/>
      <c r="Z296" s="25"/>
    </row>
    <row r="297" spans="1:26" ht="13.5" customHeight="1">
      <c r="A297" s="758">
        <f t="shared" si="93"/>
        <v>102</v>
      </c>
      <c r="B297" s="293" t="s">
        <v>780</v>
      </c>
      <c r="C297" s="25">
        <f t="shared" si="99"/>
        <v>95427</v>
      </c>
      <c r="D297" s="759">
        <f t="shared" si="102"/>
        <v>6528.2276723739014</v>
      </c>
      <c r="E297" s="759">
        <f t="shared" si="102"/>
        <v>1722.1089773253125</v>
      </c>
      <c r="F297" s="759">
        <f t="shared" si="102"/>
        <v>3654.8735539102267</v>
      </c>
      <c r="G297" s="759">
        <f t="shared" si="102"/>
        <v>664.10920869967606</v>
      </c>
      <c r="H297" s="759">
        <f t="shared" si="102"/>
        <v>6333.8732068486815</v>
      </c>
      <c r="I297" s="759">
        <f t="shared" si="102"/>
        <v>1098.3959972235075</v>
      </c>
      <c r="J297" s="360"/>
      <c r="K297" s="25">
        <f t="shared" si="92"/>
        <v>115428.58861638131</v>
      </c>
      <c r="L297" s="759">
        <v>9</v>
      </c>
      <c r="M297" s="759">
        <f t="shared" si="100"/>
        <v>12825.39873515348</v>
      </c>
      <c r="N297" s="671">
        <v>14981</v>
      </c>
      <c r="O297" s="671"/>
      <c r="P297" s="188" t="s">
        <v>422</v>
      </c>
      <c r="Q297" s="776">
        <v>40782</v>
      </c>
      <c r="R297" s="775"/>
      <c r="S297" s="301">
        <f>L297</f>
        <v>9</v>
      </c>
      <c r="T297" s="808">
        <v>10603</v>
      </c>
      <c r="U297" s="25">
        <f t="shared" si="77"/>
        <v>95427</v>
      </c>
      <c r="V297" s="451"/>
      <c r="W297" s="776"/>
      <c r="X297" s="808"/>
      <c r="Y297" s="808"/>
      <c r="Z297" s="25"/>
    </row>
    <row r="298" spans="1:26" ht="13.5" customHeight="1">
      <c r="A298" s="758">
        <f t="shared" si="93"/>
        <v>103</v>
      </c>
      <c r="B298" s="293" t="s">
        <v>763</v>
      </c>
      <c r="C298" s="25">
        <f t="shared" si="99"/>
        <v>1272360</v>
      </c>
      <c r="D298" s="759">
        <f t="shared" si="102"/>
        <v>174086.07126330404</v>
      </c>
      <c r="E298" s="759">
        <f t="shared" si="102"/>
        <v>45922.906062008333</v>
      </c>
      <c r="F298" s="759">
        <f t="shared" si="102"/>
        <v>97463.294770939377</v>
      </c>
      <c r="G298" s="759">
        <f t="shared" si="102"/>
        <v>17709.57889865803</v>
      </c>
      <c r="H298" s="759">
        <f t="shared" si="102"/>
        <v>168903.28551596485</v>
      </c>
      <c r="I298" s="759">
        <f t="shared" si="102"/>
        <v>29290.559925960202</v>
      </c>
      <c r="J298" s="360"/>
      <c r="K298" s="25">
        <f t="shared" si="92"/>
        <v>1805735.6964368348</v>
      </c>
      <c r="L298" s="759">
        <v>240</v>
      </c>
      <c r="M298" s="759">
        <f t="shared" si="100"/>
        <v>7523.8987351534779</v>
      </c>
      <c r="N298" s="671">
        <v>9263</v>
      </c>
      <c r="O298" s="671"/>
      <c r="P298" s="188" t="s">
        <v>422</v>
      </c>
      <c r="Q298" s="776">
        <v>40782</v>
      </c>
      <c r="R298" s="775"/>
      <c r="S298" s="301">
        <f>L298/2</f>
        <v>120</v>
      </c>
      <c r="T298" s="289">
        <v>10603</v>
      </c>
      <c r="U298" s="25">
        <f t="shared" si="77"/>
        <v>1272360</v>
      </c>
      <c r="V298" s="451"/>
      <c r="W298" s="776"/>
      <c r="X298" s="808"/>
      <c r="Y298" s="808"/>
      <c r="Z298" s="25"/>
    </row>
    <row r="299" spans="1:26" ht="13.5" customHeight="1">
      <c r="A299" s="758">
        <f t="shared" si="93"/>
        <v>104</v>
      </c>
      <c r="B299" s="293" t="s">
        <v>781</v>
      </c>
      <c r="C299" s="25">
        <f t="shared" si="99"/>
        <v>382614</v>
      </c>
      <c r="D299" s="759">
        <f t="shared" si="102"/>
        <v>62380.842202683947</v>
      </c>
      <c r="E299" s="759">
        <f t="shared" si="102"/>
        <v>16455.708005552988</v>
      </c>
      <c r="F299" s="759">
        <f t="shared" si="102"/>
        <v>34924.347292919942</v>
      </c>
      <c r="G299" s="759">
        <f t="shared" si="102"/>
        <v>6345.9324386857943</v>
      </c>
      <c r="H299" s="759">
        <f t="shared" si="102"/>
        <v>60523.677309887404</v>
      </c>
      <c r="I299" s="759">
        <f t="shared" si="102"/>
        <v>10495.783973469073</v>
      </c>
      <c r="J299" s="360"/>
      <c r="K299" s="25">
        <f t="shared" si="92"/>
        <v>573740.29122319911</v>
      </c>
      <c r="L299" s="759">
        <v>86</v>
      </c>
      <c r="M299" s="759">
        <f t="shared" si="100"/>
        <v>6671.3987351534779</v>
      </c>
      <c r="N299" s="671">
        <v>7806</v>
      </c>
      <c r="O299" s="671"/>
      <c r="P299" s="188" t="s">
        <v>382</v>
      </c>
      <c r="Q299" s="776">
        <v>40782</v>
      </c>
      <c r="R299" s="775"/>
      <c r="S299" s="301">
        <f>L299</f>
        <v>86</v>
      </c>
      <c r="T299" s="808">
        <f>4449</f>
        <v>4449</v>
      </c>
      <c r="U299" s="25">
        <f t="shared" si="77"/>
        <v>382614</v>
      </c>
      <c r="V299" s="451"/>
      <c r="W299" s="776"/>
      <c r="X299" s="808"/>
      <c r="Y299" s="808"/>
      <c r="Z299" s="25"/>
    </row>
    <row r="300" spans="1:26" ht="13.5" customHeight="1">
      <c r="A300" s="758">
        <f t="shared" si="93"/>
        <v>105</v>
      </c>
      <c r="B300" s="293" t="s">
        <v>782</v>
      </c>
      <c r="C300" s="25">
        <f t="shared" si="99"/>
        <v>110208</v>
      </c>
      <c r="D300" s="759">
        <f t="shared" si="102"/>
        <v>174086.07126330404</v>
      </c>
      <c r="E300" s="759">
        <f t="shared" si="102"/>
        <v>45922.906062008333</v>
      </c>
      <c r="F300" s="759">
        <f t="shared" si="102"/>
        <v>97463.294770939377</v>
      </c>
      <c r="G300" s="759">
        <f t="shared" si="102"/>
        <v>17709.57889865803</v>
      </c>
      <c r="H300" s="759">
        <f t="shared" si="102"/>
        <v>168903.28551596485</v>
      </c>
      <c r="I300" s="759">
        <f t="shared" si="102"/>
        <v>29290.559925960202</v>
      </c>
      <c r="J300" s="360"/>
      <c r="K300" s="25">
        <f t="shared" si="92"/>
        <v>643583.69643683475</v>
      </c>
      <c r="L300" s="759">
        <v>240</v>
      </c>
      <c r="M300" s="759">
        <f t="shared" si="100"/>
        <v>2681.5987351534782</v>
      </c>
      <c r="N300" s="671">
        <v>2588</v>
      </c>
      <c r="O300" s="671"/>
      <c r="P300" s="293" t="s">
        <v>393</v>
      </c>
      <c r="Q300" s="776">
        <v>40782</v>
      </c>
      <c r="R300" s="775"/>
      <c r="S300" s="301">
        <f t="shared" ref="S300" si="103">L300/10</f>
        <v>24</v>
      </c>
      <c r="T300" s="808">
        <v>4592</v>
      </c>
      <c r="U300" s="25">
        <f t="shared" si="77"/>
        <v>110208</v>
      </c>
      <c r="V300" s="451"/>
      <c r="W300" s="776"/>
      <c r="X300" s="808"/>
      <c r="Y300" s="808"/>
      <c r="Z300" s="25"/>
    </row>
    <row r="301" spans="1:26" ht="13.5" customHeight="1">
      <c r="A301" s="758">
        <f t="shared" si="93"/>
        <v>106</v>
      </c>
      <c r="B301" s="293" t="s">
        <v>783</v>
      </c>
      <c r="C301" s="25">
        <f t="shared" si="99"/>
        <v>41328</v>
      </c>
      <c r="D301" s="759">
        <f t="shared" si="102"/>
        <v>62380.842202683947</v>
      </c>
      <c r="E301" s="759">
        <f t="shared" si="102"/>
        <v>16455.708005552988</v>
      </c>
      <c r="F301" s="759">
        <f t="shared" si="102"/>
        <v>34924.347292919942</v>
      </c>
      <c r="G301" s="759">
        <f t="shared" si="102"/>
        <v>6345.9324386857943</v>
      </c>
      <c r="H301" s="759">
        <f t="shared" si="102"/>
        <v>60523.677309887404</v>
      </c>
      <c r="I301" s="759">
        <f t="shared" si="102"/>
        <v>10495.783973469073</v>
      </c>
      <c r="J301" s="360"/>
      <c r="K301" s="25">
        <f t="shared" si="92"/>
        <v>232454.29122319914</v>
      </c>
      <c r="L301" s="759">
        <v>86</v>
      </c>
      <c r="M301" s="759">
        <f t="shared" si="100"/>
        <v>2702.9568746883619</v>
      </c>
      <c r="N301" s="671">
        <v>2334</v>
      </c>
      <c r="O301" s="671"/>
      <c r="P301" s="293" t="s">
        <v>393</v>
      </c>
      <c r="Q301" s="776">
        <v>40782</v>
      </c>
      <c r="R301" s="775"/>
      <c r="S301" s="301">
        <v>9</v>
      </c>
      <c r="T301" s="808">
        <v>4592</v>
      </c>
      <c r="U301" s="25">
        <f t="shared" si="77"/>
        <v>41328</v>
      </c>
      <c r="V301" s="451"/>
      <c r="W301" s="776"/>
      <c r="X301" s="808"/>
      <c r="Y301" s="808"/>
      <c r="Z301" s="25"/>
    </row>
    <row r="302" spans="1:26" ht="13.5" customHeight="1">
      <c r="A302" s="758">
        <f t="shared" si="93"/>
        <v>107</v>
      </c>
      <c r="B302" s="293" t="s">
        <v>727</v>
      </c>
      <c r="C302" s="25">
        <f t="shared" si="99"/>
        <v>3994146</v>
      </c>
      <c r="D302" s="759">
        <f t="shared" si="102"/>
        <v>427961.59185562242</v>
      </c>
      <c r="E302" s="759">
        <f t="shared" si="102"/>
        <v>112893.81073577049</v>
      </c>
      <c r="F302" s="759">
        <f t="shared" si="102"/>
        <v>239597.26631189263</v>
      </c>
      <c r="G302" s="759">
        <f t="shared" si="102"/>
        <v>43536.048125867659</v>
      </c>
      <c r="H302" s="759">
        <f t="shared" si="102"/>
        <v>415220.57689341356</v>
      </c>
      <c r="I302" s="759">
        <f t="shared" si="102"/>
        <v>72005.959817985495</v>
      </c>
      <c r="J302" s="360"/>
      <c r="K302" s="25">
        <f t="shared" si="92"/>
        <v>5305361.2537405519</v>
      </c>
      <c r="L302" s="759">
        <v>590</v>
      </c>
      <c r="M302" s="759">
        <f t="shared" si="100"/>
        <v>8992.1377182043252</v>
      </c>
      <c r="N302" s="671">
        <v>11000</v>
      </c>
      <c r="O302" s="671"/>
      <c r="P302" s="188" t="s">
        <v>407</v>
      </c>
      <c r="Q302" s="776">
        <v>40801</v>
      </c>
      <c r="R302" s="775"/>
      <c r="S302" s="301">
        <v>202</v>
      </c>
      <c r="T302" s="808">
        <v>19773</v>
      </c>
      <c r="U302" s="25">
        <f t="shared" si="77"/>
        <v>3994146</v>
      </c>
      <c r="V302" s="451"/>
      <c r="W302" s="776"/>
      <c r="X302" s="808"/>
      <c r="Y302" s="808"/>
      <c r="Z302" s="25"/>
    </row>
    <row r="303" spans="1:26" ht="13.5" customHeight="1">
      <c r="A303" s="758">
        <f t="shared" si="93"/>
        <v>108</v>
      </c>
      <c r="B303" s="293" t="s">
        <v>728</v>
      </c>
      <c r="C303" s="25">
        <f t="shared" si="99"/>
        <v>2028578</v>
      </c>
      <c r="D303" s="759">
        <f t="shared" si="102"/>
        <v>89219.111522443316</v>
      </c>
      <c r="E303" s="759">
        <f t="shared" si="102"/>
        <v>23535.489356779271</v>
      </c>
      <c r="F303" s="759">
        <f t="shared" si="102"/>
        <v>49949.938570106431</v>
      </c>
      <c r="G303" s="759">
        <f t="shared" si="102"/>
        <v>9076.159185562241</v>
      </c>
      <c r="H303" s="759">
        <f t="shared" si="102"/>
        <v>86562.933826931985</v>
      </c>
      <c r="I303" s="759">
        <f t="shared" si="102"/>
        <v>15011.411962054604</v>
      </c>
      <c r="J303" s="360"/>
      <c r="K303" s="25">
        <f t="shared" si="92"/>
        <v>2301933.0444238782</v>
      </c>
      <c r="L303" s="759">
        <v>123</v>
      </c>
      <c r="M303" s="759">
        <f t="shared" si="100"/>
        <v>18714.902800194133</v>
      </c>
      <c r="N303" s="671">
        <v>19061</v>
      </c>
      <c r="O303" s="671"/>
      <c r="P303" s="40" t="s">
        <v>492</v>
      </c>
      <c r="Q303" s="776">
        <v>40804</v>
      </c>
      <c r="R303" s="775"/>
      <c r="S303" s="301">
        <f>L303/2</f>
        <v>61.5</v>
      </c>
      <c r="T303" s="808">
        <v>32985</v>
      </c>
      <c r="U303" s="25">
        <f t="shared" si="77"/>
        <v>2028578</v>
      </c>
      <c r="V303" s="451"/>
      <c r="W303" s="776"/>
      <c r="X303" s="808"/>
      <c r="Y303" s="808"/>
      <c r="Z303" s="25"/>
    </row>
    <row r="304" spans="1:26" ht="13.5" customHeight="1">
      <c r="A304" s="758">
        <f t="shared" si="93"/>
        <v>109</v>
      </c>
      <c r="B304" s="293" t="s">
        <v>729</v>
      </c>
      <c r="C304" s="25">
        <f t="shared" si="99"/>
        <v>1197918</v>
      </c>
      <c r="D304" s="759">
        <f t="shared" si="102"/>
        <v>88493.75289217956</v>
      </c>
      <c r="E304" s="759">
        <f t="shared" si="102"/>
        <v>23344.143914854234</v>
      </c>
      <c r="F304" s="759">
        <f t="shared" si="102"/>
        <v>49543.84150856085</v>
      </c>
      <c r="G304" s="759">
        <f t="shared" si="102"/>
        <v>9002.369273484499</v>
      </c>
      <c r="H304" s="759">
        <f t="shared" si="102"/>
        <v>85859.170137282126</v>
      </c>
      <c r="I304" s="759">
        <f t="shared" si="102"/>
        <v>14889.367962363103</v>
      </c>
      <c r="J304" s="360"/>
      <c r="K304" s="25">
        <f t="shared" si="92"/>
        <v>1469050.6456887245</v>
      </c>
      <c r="L304" s="759">
        <v>122</v>
      </c>
      <c r="M304" s="759">
        <f t="shared" si="100"/>
        <v>12041.39873515348</v>
      </c>
      <c r="N304" s="671">
        <v>13090</v>
      </c>
      <c r="O304" s="671"/>
      <c r="P304" s="188" t="s">
        <v>428</v>
      </c>
      <c r="Q304" s="776">
        <v>40804</v>
      </c>
      <c r="R304" s="775"/>
      <c r="S304" s="301">
        <f t="shared" ref="S304" si="104">L304/2</f>
        <v>61</v>
      </c>
      <c r="T304" s="808">
        <v>19638</v>
      </c>
      <c r="U304" s="25">
        <f t="shared" si="77"/>
        <v>1197918</v>
      </c>
      <c r="V304" s="451"/>
      <c r="W304" s="776"/>
      <c r="X304" s="808"/>
      <c r="Y304" s="808"/>
      <c r="Z304" s="25"/>
    </row>
    <row r="305" spans="1:26" ht="13.5" customHeight="1">
      <c r="A305" s="758">
        <f t="shared" si="93"/>
        <v>110</v>
      </c>
      <c r="B305" s="293" t="s">
        <v>543</v>
      </c>
      <c r="C305" s="25">
        <f t="shared" si="99"/>
        <v>55104</v>
      </c>
      <c r="D305" s="759">
        <f t="shared" si="102"/>
        <v>87043.035631652019</v>
      </c>
      <c r="E305" s="759">
        <f t="shared" si="102"/>
        <v>22961.453031004166</v>
      </c>
      <c r="F305" s="759">
        <f t="shared" si="102"/>
        <v>48731.647385469689</v>
      </c>
      <c r="G305" s="759">
        <f t="shared" si="102"/>
        <v>8854.789449329015</v>
      </c>
      <c r="H305" s="759">
        <f t="shared" si="102"/>
        <v>84451.642757982423</v>
      </c>
      <c r="I305" s="759">
        <f t="shared" si="102"/>
        <v>14645.279962980101</v>
      </c>
      <c r="J305" s="360"/>
      <c r="K305" s="25">
        <f t="shared" si="92"/>
        <v>321791.84821841738</v>
      </c>
      <c r="L305" s="759">
        <v>120</v>
      </c>
      <c r="M305" s="759">
        <f t="shared" si="100"/>
        <v>2681.5987351534782</v>
      </c>
      <c r="N305" s="671">
        <v>2528</v>
      </c>
      <c r="O305" s="671"/>
      <c r="P305" s="293" t="s">
        <v>393</v>
      </c>
      <c r="Q305" s="776">
        <v>40804</v>
      </c>
      <c r="R305" s="775"/>
      <c r="S305" s="301">
        <f>L305/10</f>
        <v>12</v>
      </c>
      <c r="T305" s="808">
        <v>4592</v>
      </c>
      <c r="U305" s="25">
        <f t="shared" si="77"/>
        <v>55104</v>
      </c>
      <c r="V305" s="451"/>
      <c r="W305" s="776"/>
      <c r="X305" s="808"/>
      <c r="Y305" s="808"/>
      <c r="Z305" s="25"/>
    </row>
    <row r="306" spans="1:26" ht="13.5" customHeight="1">
      <c r="A306" s="758">
        <f t="shared" si="93"/>
        <v>111</v>
      </c>
      <c r="B306" s="293" t="s">
        <v>730</v>
      </c>
      <c r="C306" s="25">
        <f t="shared" si="99"/>
        <v>371280</v>
      </c>
      <c r="D306" s="759">
        <f t="shared" ref="D306:I316" si="105">IF($L$350&lt;&gt;0,D$350/$L$350*$L306,0)</f>
        <v>37718.648773715875</v>
      </c>
      <c r="E306" s="759">
        <f t="shared" si="105"/>
        <v>9949.9629801018054</v>
      </c>
      <c r="F306" s="759">
        <f t="shared" si="105"/>
        <v>21117.047200370198</v>
      </c>
      <c r="G306" s="759">
        <f t="shared" si="105"/>
        <v>3837.0754280425731</v>
      </c>
      <c r="H306" s="759">
        <f t="shared" si="105"/>
        <v>36595.711861792384</v>
      </c>
      <c r="I306" s="759">
        <f t="shared" si="105"/>
        <v>6346.2879839580437</v>
      </c>
      <c r="J306" s="360"/>
      <c r="K306" s="25">
        <f t="shared" si="92"/>
        <v>486844.73422798084</v>
      </c>
      <c r="L306" s="759">
        <v>52</v>
      </c>
      <c r="M306" s="759">
        <f t="shared" si="100"/>
        <v>9362.3987351534779</v>
      </c>
      <c r="N306" s="671">
        <v>10535</v>
      </c>
      <c r="O306" s="671"/>
      <c r="P306" s="40" t="s">
        <v>471</v>
      </c>
      <c r="Q306" s="776">
        <v>40804</v>
      </c>
      <c r="R306" s="775"/>
      <c r="S306" s="301">
        <f>L306/2</f>
        <v>26</v>
      </c>
      <c r="T306" s="253">
        <v>14280</v>
      </c>
      <c r="U306" s="25">
        <f t="shared" si="77"/>
        <v>371280</v>
      </c>
      <c r="V306" s="451"/>
      <c r="W306" s="776"/>
      <c r="X306" s="808"/>
      <c r="Y306" s="808"/>
      <c r="Z306" s="25"/>
    </row>
    <row r="307" spans="1:26" ht="13.5" customHeight="1">
      <c r="A307" s="758">
        <f t="shared" si="93"/>
        <v>112</v>
      </c>
      <c r="B307" s="293" t="s">
        <v>543</v>
      </c>
      <c r="C307" s="25">
        <f t="shared" si="99"/>
        <v>22245</v>
      </c>
      <c r="D307" s="759">
        <f t="shared" si="105"/>
        <v>34817.214252660808</v>
      </c>
      <c r="E307" s="759">
        <f t="shared" si="105"/>
        <v>9184.5812124016666</v>
      </c>
      <c r="F307" s="759">
        <f t="shared" si="105"/>
        <v>19492.658954187875</v>
      </c>
      <c r="G307" s="759">
        <f t="shared" si="105"/>
        <v>3541.9157797316057</v>
      </c>
      <c r="H307" s="759">
        <f t="shared" si="105"/>
        <v>33780.657103192971</v>
      </c>
      <c r="I307" s="759">
        <f t="shared" si="105"/>
        <v>5858.1119851920403</v>
      </c>
      <c r="J307" s="360"/>
      <c r="K307" s="25">
        <f t="shared" si="92"/>
        <v>128920.13928736695</v>
      </c>
      <c r="L307" s="759">
        <v>48</v>
      </c>
      <c r="M307" s="759">
        <f t="shared" si="100"/>
        <v>2685.8362351534784</v>
      </c>
      <c r="N307" s="671">
        <v>1981</v>
      </c>
      <c r="O307" s="671"/>
      <c r="P307" s="188" t="s">
        <v>382</v>
      </c>
      <c r="Q307" s="776">
        <v>40804</v>
      </c>
      <c r="R307" s="775"/>
      <c r="S307" s="301">
        <v>5</v>
      </c>
      <c r="T307" s="808">
        <f>4449</f>
        <v>4449</v>
      </c>
      <c r="U307" s="25">
        <f t="shared" si="77"/>
        <v>22245</v>
      </c>
      <c r="V307" s="451"/>
      <c r="W307" s="776"/>
      <c r="X307" s="808"/>
      <c r="Y307" s="808"/>
      <c r="Z307" s="25"/>
    </row>
    <row r="308" spans="1:26" ht="13.5" customHeight="1">
      <c r="A308" s="758">
        <f t="shared" si="93"/>
        <v>113</v>
      </c>
      <c r="B308" s="293" t="s">
        <v>731</v>
      </c>
      <c r="C308" s="25">
        <f t="shared" si="99"/>
        <v>2341934</v>
      </c>
      <c r="D308" s="759">
        <f t="shared" si="105"/>
        <v>103000.92549745488</v>
      </c>
      <c r="E308" s="759">
        <f t="shared" si="105"/>
        <v>27171.052753354932</v>
      </c>
      <c r="F308" s="759">
        <f t="shared" si="105"/>
        <v>57665.782739472466</v>
      </c>
      <c r="G308" s="759">
        <f t="shared" si="105"/>
        <v>10478.167515039335</v>
      </c>
      <c r="H308" s="759">
        <f t="shared" si="105"/>
        <v>99934.443930279202</v>
      </c>
      <c r="I308" s="759">
        <f t="shared" si="105"/>
        <v>17330.247956193121</v>
      </c>
      <c r="J308" s="360"/>
      <c r="K308" s="25">
        <f t="shared" si="92"/>
        <v>2657514.620391794</v>
      </c>
      <c r="L308" s="759">
        <v>142</v>
      </c>
      <c r="M308" s="759">
        <f t="shared" si="100"/>
        <v>18714.891692899957</v>
      </c>
      <c r="N308" s="671">
        <v>19465</v>
      </c>
      <c r="O308" s="671"/>
      <c r="P308" s="40" t="s">
        <v>492</v>
      </c>
      <c r="Q308" s="776">
        <v>40804</v>
      </c>
      <c r="R308" s="775"/>
      <c r="S308" s="301">
        <f>L308/2</f>
        <v>71</v>
      </c>
      <c r="T308" s="808">
        <v>32984.985915492958</v>
      </c>
      <c r="U308" s="25">
        <f t="shared" si="77"/>
        <v>2341934</v>
      </c>
      <c r="V308" s="451"/>
      <c r="W308" s="776"/>
      <c r="X308" s="808"/>
      <c r="Y308" s="808"/>
      <c r="Z308" s="25"/>
    </row>
    <row r="309" spans="1:26" ht="13.5" customHeight="1">
      <c r="A309" s="758">
        <f t="shared" si="93"/>
        <v>114</v>
      </c>
      <c r="B309" s="293" t="s">
        <v>732</v>
      </c>
      <c r="C309" s="25">
        <f t="shared" si="99"/>
        <v>1106808</v>
      </c>
      <c r="D309" s="759">
        <f t="shared" si="105"/>
        <v>155226.74687644609</v>
      </c>
      <c r="E309" s="759">
        <f t="shared" si="105"/>
        <v>40947.924571957432</v>
      </c>
      <c r="F309" s="759">
        <f t="shared" si="105"/>
        <v>86904.771170754277</v>
      </c>
      <c r="G309" s="759">
        <f t="shared" si="105"/>
        <v>15791.041184636742</v>
      </c>
      <c r="H309" s="759">
        <f t="shared" si="105"/>
        <v>150605.42958506866</v>
      </c>
      <c r="I309" s="759">
        <f t="shared" si="105"/>
        <v>26117.415933981181</v>
      </c>
      <c r="J309" s="360"/>
      <c r="K309" s="25">
        <f t="shared" si="92"/>
        <v>1582401.3293228443</v>
      </c>
      <c r="L309" s="759">
        <v>214</v>
      </c>
      <c r="M309" s="759">
        <f t="shared" si="100"/>
        <v>7394.3987351534779</v>
      </c>
      <c r="N309" s="671">
        <v>8398</v>
      </c>
      <c r="O309" s="671"/>
      <c r="P309" s="188" t="s">
        <v>451</v>
      </c>
      <c r="Q309" s="776">
        <v>40804</v>
      </c>
      <c r="R309" s="775"/>
      <c r="S309" s="301">
        <f>L309/2</f>
        <v>107</v>
      </c>
      <c r="T309" s="808">
        <v>10344</v>
      </c>
      <c r="U309" s="25">
        <f t="shared" si="77"/>
        <v>1106808</v>
      </c>
      <c r="V309" s="451"/>
      <c r="W309" s="776"/>
      <c r="X309" s="808"/>
      <c r="Y309" s="808"/>
      <c r="Z309" s="25"/>
    </row>
    <row r="310" spans="1:26" ht="13.5" customHeight="1">
      <c r="A310" s="758">
        <f t="shared" si="93"/>
        <v>115</v>
      </c>
      <c r="B310" s="293" t="s">
        <v>733</v>
      </c>
      <c r="C310" s="25">
        <f t="shared" si="99"/>
        <v>1833860</v>
      </c>
      <c r="D310" s="759">
        <f t="shared" si="105"/>
        <v>203825.77510411848</v>
      </c>
      <c r="E310" s="759">
        <f t="shared" si="105"/>
        <v>53768.069180934755</v>
      </c>
      <c r="F310" s="759">
        <f t="shared" si="105"/>
        <v>114113.27429430818</v>
      </c>
      <c r="G310" s="759">
        <f t="shared" si="105"/>
        <v>20734.965293845442</v>
      </c>
      <c r="H310" s="759">
        <f t="shared" si="105"/>
        <v>197757.59679160884</v>
      </c>
      <c r="I310" s="759">
        <f t="shared" si="105"/>
        <v>34294.363913311739</v>
      </c>
      <c r="J310" s="360"/>
      <c r="K310" s="25">
        <f t="shared" si="92"/>
        <v>2458354.0445781276</v>
      </c>
      <c r="L310" s="759">
        <v>281</v>
      </c>
      <c r="M310" s="759">
        <f t="shared" si="100"/>
        <v>8748.5909059719834</v>
      </c>
      <c r="N310" s="671">
        <v>10534</v>
      </c>
      <c r="O310" s="671"/>
      <c r="P310" s="188" t="s">
        <v>453</v>
      </c>
      <c r="Q310" s="776">
        <v>40804</v>
      </c>
      <c r="R310" s="775"/>
      <c r="S310" s="301">
        <v>70</v>
      </c>
      <c r="T310" s="806">
        <v>26198</v>
      </c>
      <c r="U310" s="25">
        <f t="shared" si="77"/>
        <v>1833860</v>
      </c>
      <c r="V310" s="451"/>
      <c r="W310" s="776"/>
      <c r="X310" s="808"/>
      <c r="Y310" s="808"/>
      <c r="Z310" s="25"/>
    </row>
    <row r="311" spans="1:26" ht="13.5" customHeight="1">
      <c r="A311" s="758">
        <f t="shared" si="93"/>
        <v>116</v>
      </c>
      <c r="B311" s="293" t="s">
        <v>734</v>
      </c>
      <c r="C311" s="25">
        <f t="shared" si="99"/>
        <v>875840</v>
      </c>
      <c r="D311" s="759">
        <f t="shared" si="105"/>
        <v>75437.29754743175</v>
      </c>
      <c r="E311" s="759">
        <f t="shared" si="105"/>
        <v>19899.925960203611</v>
      </c>
      <c r="F311" s="759">
        <f t="shared" si="105"/>
        <v>42234.094400740396</v>
      </c>
      <c r="G311" s="759">
        <f t="shared" si="105"/>
        <v>7674.1508560851462</v>
      </c>
      <c r="H311" s="759">
        <f t="shared" si="105"/>
        <v>73191.423723584769</v>
      </c>
      <c r="I311" s="759">
        <f t="shared" si="105"/>
        <v>12692.575967916087</v>
      </c>
      <c r="J311" s="360"/>
      <c r="K311" s="25">
        <f t="shared" si="92"/>
        <v>1106969.4684559617</v>
      </c>
      <c r="L311" s="759">
        <v>104</v>
      </c>
      <c r="M311" s="759">
        <f t="shared" si="100"/>
        <v>10643.937196691939</v>
      </c>
      <c r="N311" s="671">
        <v>14076</v>
      </c>
      <c r="O311" s="671"/>
      <c r="P311" s="40" t="s">
        <v>472</v>
      </c>
      <c r="Q311" s="776">
        <v>40809</v>
      </c>
      <c r="R311" s="775"/>
      <c r="S311" s="301">
        <v>32</v>
      </c>
      <c r="T311" s="808">
        <v>27370</v>
      </c>
      <c r="U311" s="25">
        <f t="shared" si="77"/>
        <v>875840</v>
      </c>
      <c r="V311" s="451"/>
      <c r="W311" s="776"/>
      <c r="X311" s="808"/>
      <c r="Y311" s="808"/>
      <c r="Z311" s="25"/>
    </row>
    <row r="312" spans="1:26" ht="13.5" customHeight="1">
      <c r="A312" s="758">
        <f t="shared" si="93"/>
        <v>117</v>
      </c>
      <c r="B312" s="293" t="s">
        <v>735</v>
      </c>
      <c r="C312" s="25">
        <f t="shared" si="99"/>
        <v>1034400</v>
      </c>
      <c r="D312" s="759">
        <f t="shared" si="105"/>
        <v>145071.72605275337</v>
      </c>
      <c r="E312" s="759">
        <f t="shared" si="105"/>
        <v>38269.088385006944</v>
      </c>
      <c r="F312" s="759">
        <f t="shared" si="105"/>
        <v>81219.412309116145</v>
      </c>
      <c r="G312" s="759">
        <f t="shared" si="105"/>
        <v>14757.982415548358</v>
      </c>
      <c r="H312" s="759">
        <f t="shared" si="105"/>
        <v>140752.7379299707</v>
      </c>
      <c r="I312" s="759">
        <f t="shared" si="105"/>
        <v>24408.79993830017</v>
      </c>
      <c r="J312" s="360"/>
      <c r="K312" s="25">
        <f t="shared" si="92"/>
        <v>1478879.7470306957</v>
      </c>
      <c r="L312" s="759">
        <v>200</v>
      </c>
      <c r="M312" s="759">
        <f t="shared" si="100"/>
        <v>7394.3987351534779</v>
      </c>
      <c r="N312" s="671">
        <v>7340</v>
      </c>
      <c r="O312" s="671"/>
      <c r="P312" s="188" t="s">
        <v>451</v>
      </c>
      <c r="Q312" s="776">
        <v>40810</v>
      </c>
      <c r="R312" s="775"/>
      <c r="S312" s="301">
        <f t="shared" ref="S312" si="106">L312/2</f>
        <v>100</v>
      </c>
      <c r="T312" s="808">
        <v>10344</v>
      </c>
      <c r="U312" s="25">
        <f t="shared" si="77"/>
        <v>1034400</v>
      </c>
      <c r="V312" s="451"/>
      <c r="W312" s="776"/>
      <c r="X312" s="808"/>
      <c r="Y312" s="808"/>
      <c r="Z312" s="25"/>
    </row>
    <row r="313" spans="1:26" ht="13.5" customHeight="1">
      <c r="A313" s="758">
        <f t="shared" si="93"/>
        <v>118</v>
      </c>
      <c r="B313" s="293" t="s">
        <v>736</v>
      </c>
      <c r="C313" s="25">
        <f t="shared" si="99"/>
        <v>2046379</v>
      </c>
      <c r="D313" s="759">
        <f t="shared" si="105"/>
        <v>279263.07265155023</v>
      </c>
      <c r="E313" s="759">
        <f t="shared" si="105"/>
        <v>73667.995141138366</v>
      </c>
      <c r="F313" s="759">
        <f t="shared" si="105"/>
        <v>156347.36869504859</v>
      </c>
      <c r="G313" s="759">
        <f t="shared" si="105"/>
        <v>28409.116149930589</v>
      </c>
      <c r="H313" s="759">
        <f t="shared" si="105"/>
        <v>270949.02051519358</v>
      </c>
      <c r="I313" s="759">
        <f t="shared" si="105"/>
        <v>46986.939881227823</v>
      </c>
      <c r="J313" s="360"/>
      <c r="K313" s="25">
        <f t="shared" si="92"/>
        <v>2902002.5130340895</v>
      </c>
      <c r="L313" s="759">
        <v>385</v>
      </c>
      <c r="M313" s="759">
        <f t="shared" si="100"/>
        <v>7537.6688650236092</v>
      </c>
      <c r="N313" s="671">
        <v>7340</v>
      </c>
      <c r="O313" s="671"/>
      <c r="P313" s="188" t="s">
        <v>422</v>
      </c>
      <c r="Q313" s="776">
        <v>40810</v>
      </c>
      <c r="R313" s="775"/>
      <c r="S313" s="301">
        <v>193</v>
      </c>
      <c r="T313" s="808">
        <v>10603</v>
      </c>
      <c r="U313" s="25">
        <f t="shared" si="77"/>
        <v>2046379</v>
      </c>
      <c r="V313" s="451"/>
      <c r="W313" s="776"/>
      <c r="X313" s="808"/>
      <c r="Y313" s="808"/>
      <c r="Z313" s="25"/>
    </row>
    <row r="314" spans="1:26" ht="13.5" customHeight="1">
      <c r="A314" s="758">
        <f t="shared" si="93"/>
        <v>119</v>
      </c>
      <c r="B314" s="293" t="s">
        <v>737</v>
      </c>
      <c r="C314" s="25">
        <f t="shared" si="99"/>
        <v>195756</v>
      </c>
      <c r="D314" s="759">
        <f t="shared" si="105"/>
        <v>31915.77973160574</v>
      </c>
      <c r="E314" s="759">
        <f t="shared" si="105"/>
        <v>8419.1994447015277</v>
      </c>
      <c r="F314" s="759">
        <f t="shared" si="105"/>
        <v>17868.270708005552</v>
      </c>
      <c r="G314" s="759">
        <f t="shared" si="105"/>
        <v>3246.7561314206387</v>
      </c>
      <c r="H314" s="759">
        <f t="shared" si="105"/>
        <v>30965.602344593553</v>
      </c>
      <c r="I314" s="759">
        <f t="shared" si="105"/>
        <v>5369.9359864260368</v>
      </c>
      <c r="J314" s="360"/>
      <c r="K314" s="25">
        <f t="shared" si="92"/>
        <v>293541.54434675298</v>
      </c>
      <c r="L314" s="759">
        <v>44</v>
      </c>
      <c r="M314" s="759">
        <f t="shared" si="100"/>
        <v>6671.398735153477</v>
      </c>
      <c r="N314" s="671">
        <v>7340</v>
      </c>
      <c r="O314" s="671"/>
      <c r="P314" s="188" t="s">
        <v>382</v>
      </c>
      <c r="Q314" s="776">
        <v>40810</v>
      </c>
      <c r="R314" s="775"/>
      <c r="S314" s="301">
        <f t="shared" ref="S314" si="107">L314</f>
        <v>44</v>
      </c>
      <c r="T314" s="808">
        <f>4449</f>
        <v>4449</v>
      </c>
      <c r="U314" s="25">
        <f t="shared" si="77"/>
        <v>195756</v>
      </c>
      <c r="V314" s="451"/>
      <c r="W314" s="776"/>
      <c r="X314" s="808"/>
      <c r="Y314" s="808"/>
      <c r="Z314" s="25"/>
    </row>
    <row r="315" spans="1:26" ht="13.5" customHeight="1">
      <c r="A315" s="758">
        <f t="shared" si="93"/>
        <v>120</v>
      </c>
      <c r="B315" s="293" t="s">
        <v>710</v>
      </c>
      <c r="C315" s="25">
        <f t="shared" si="99"/>
        <v>7809620</v>
      </c>
      <c r="D315" s="759">
        <f t="shared" si="105"/>
        <v>527335.72420175851</v>
      </c>
      <c r="E315" s="759">
        <f t="shared" si="105"/>
        <v>139108.13627950024</v>
      </c>
      <c r="F315" s="759">
        <f t="shared" si="105"/>
        <v>295232.56374363718</v>
      </c>
      <c r="G315" s="759">
        <f t="shared" si="105"/>
        <v>53645.266080518282</v>
      </c>
      <c r="H315" s="759">
        <f t="shared" si="105"/>
        <v>511636.20237544354</v>
      </c>
      <c r="I315" s="759">
        <f t="shared" si="105"/>
        <v>88725.987775721107</v>
      </c>
      <c r="J315" s="360"/>
      <c r="K315" s="25">
        <f t="shared" si="92"/>
        <v>9425303.8804565798</v>
      </c>
      <c r="L315" s="759">
        <v>727</v>
      </c>
      <c r="M315" s="759">
        <f t="shared" si="100"/>
        <v>12964.654581095709</v>
      </c>
      <c r="N315" s="671">
        <v>14369</v>
      </c>
      <c r="O315" s="671"/>
      <c r="P315" s="188" t="s">
        <v>495</v>
      </c>
      <c r="Q315" s="776">
        <v>40810</v>
      </c>
      <c r="R315" s="775"/>
      <c r="S315" s="301">
        <v>364</v>
      </c>
      <c r="T315" s="832">
        <v>21455</v>
      </c>
      <c r="U315" s="25">
        <f t="shared" si="77"/>
        <v>7809620</v>
      </c>
      <c r="V315" s="451"/>
      <c r="W315" s="776"/>
      <c r="X315" s="808"/>
      <c r="Y315" s="808"/>
      <c r="Z315" s="25"/>
    </row>
    <row r="316" spans="1:26" ht="13.5" customHeight="1">
      <c r="A316" s="758">
        <f t="shared" si="93"/>
        <v>121</v>
      </c>
      <c r="B316" s="293" t="s">
        <v>538</v>
      </c>
      <c r="C316" s="25">
        <f>SUM(U316:U317)</f>
        <v>12141300</v>
      </c>
      <c r="D316" s="759">
        <f t="shared" si="105"/>
        <v>1514548.819990745</v>
      </c>
      <c r="E316" s="759">
        <f t="shared" si="105"/>
        <v>399529.28273947252</v>
      </c>
      <c r="F316" s="759">
        <f t="shared" si="105"/>
        <v>847930.66450717254</v>
      </c>
      <c r="G316" s="759">
        <f t="shared" si="105"/>
        <v>154073.33641832485</v>
      </c>
      <c r="H316" s="759">
        <f t="shared" si="105"/>
        <v>1469458.5839888942</v>
      </c>
      <c r="I316" s="759">
        <f t="shared" si="105"/>
        <v>254827.87135585377</v>
      </c>
      <c r="J316" s="360"/>
      <c r="K316" s="25">
        <f t="shared" si="92"/>
        <v>16781668.559000462</v>
      </c>
      <c r="L316" s="759">
        <v>2088</v>
      </c>
      <c r="M316" s="759">
        <f t="shared" si="100"/>
        <v>8037.1975857281905</v>
      </c>
      <c r="N316" s="671">
        <v>13939</v>
      </c>
      <c r="O316" s="671"/>
      <c r="P316" s="188" t="s">
        <v>421</v>
      </c>
      <c r="Q316" s="776">
        <v>40810</v>
      </c>
      <c r="R316" s="775"/>
      <c r="S316" s="301">
        <v>840</v>
      </c>
      <c r="T316" s="808">
        <v>10930</v>
      </c>
      <c r="U316" s="25">
        <f t="shared" si="77"/>
        <v>9181200</v>
      </c>
      <c r="V316" s="451"/>
      <c r="W316" s="776"/>
      <c r="X316" s="808"/>
      <c r="Y316" s="808"/>
      <c r="Z316" s="25"/>
    </row>
    <row r="317" spans="1:26" ht="13.5" hidden="1" customHeight="1">
      <c r="A317" s="758"/>
      <c r="B317" s="293"/>
      <c r="C317" s="25"/>
      <c r="D317" s="759"/>
      <c r="E317" s="759">
        <f t="shared" ref="E317:E348" si="108">IF($L$350&lt;&gt;0,E$350/$L$350*$L317,0)</f>
        <v>0</v>
      </c>
      <c r="F317" s="759"/>
      <c r="G317" s="759"/>
      <c r="H317" s="759"/>
      <c r="I317" s="759"/>
      <c r="J317" s="360"/>
      <c r="K317" s="25">
        <f t="shared" si="92"/>
        <v>0</v>
      </c>
      <c r="L317" s="759"/>
      <c r="M317" s="759"/>
      <c r="N317" s="671"/>
      <c r="O317" s="671"/>
      <c r="P317" s="188" t="s">
        <v>496</v>
      </c>
      <c r="Q317" s="776">
        <v>40810</v>
      </c>
      <c r="R317" s="775"/>
      <c r="S317" s="301">
        <v>260</v>
      </c>
      <c r="T317" s="832">
        <v>11385</v>
      </c>
      <c r="U317" s="25">
        <f t="shared" si="77"/>
        <v>2960100</v>
      </c>
      <c r="V317" s="451"/>
      <c r="W317" s="776"/>
      <c r="X317" s="808"/>
      <c r="Y317" s="808"/>
      <c r="Z317" s="25"/>
    </row>
    <row r="318" spans="1:26" ht="13.5" customHeight="1">
      <c r="A318" s="758">
        <f>IF(B318&lt;&gt;"",A316+1,"")</f>
        <v>122</v>
      </c>
      <c r="B318" s="293" t="s">
        <v>710</v>
      </c>
      <c r="C318" s="25">
        <f t="shared" si="99"/>
        <v>16241435</v>
      </c>
      <c r="D318" s="759">
        <f t="shared" ref="D318:D326" si="109">IF($L$350&lt;&gt;0,D$350/$L$350*$L318,0)</f>
        <v>1098192.966219343</v>
      </c>
      <c r="E318" s="759">
        <f t="shared" si="108"/>
        <v>289696.99907450256</v>
      </c>
      <c r="F318" s="759">
        <f t="shared" ref="F318:I326" si="110">IF($L$350&lt;&gt;0,F$350/$L$350*$L318,0)</f>
        <v>614830.95118000929</v>
      </c>
      <c r="G318" s="759">
        <f t="shared" si="110"/>
        <v>111717.92688570108</v>
      </c>
      <c r="H318" s="759">
        <f t="shared" si="110"/>
        <v>1065498.2261298783</v>
      </c>
      <c r="I318" s="759">
        <f t="shared" si="110"/>
        <v>184774.61553293228</v>
      </c>
      <c r="J318" s="360"/>
      <c r="K318" s="25">
        <f t="shared" si="92"/>
        <v>19606146.685022369</v>
      </c>
      <c r="L318" s="759">
        <v>1514</v>
      </c>
      <c r="M318" s="759">
        <f t="shared" si="100"/>
        <v>12949.89873515348</v>
      </c>
      <c r="N318" s="671">
        <v>14369</v>
      </c>
      <c r="O318" s="671"/>
      <c r="P318" s="188" t="s">
        <v>495</v>
      </c>
      <c r="Q318" s="776">
        <v>40810</v>
      </c>
      <c r="R318" s="775"/>
      <c r="S318" s="301">
        <f>L318/2</f>
        <v>757</v>
      </c>
      <c r="T318" s="832">
        <v>21455</v>
      </c>
      <c r="U318" s="25">
        <f t="shared" si="77"/>
        <v>16241435</v>
      </c>
      <c r="V318" s="451"/>
      <c r="W318" s="776"/>
      <c r="X318" s="808"/>
      <c r="Y318" s="808"/>
      <c r="Z318" s="25"/>
    </row>
    <row r="319" spans="1:26" ht="13.5" customHeight="1">
      <c r="A319" s="758">
        <f t="shared" si="93"/>
        <v>123</v>
      </c>
      <c r="B319" s="293" t="s">
        <v>533</v>
      </c>
      <c r="C319" s="25">
        <f t="shared" si="99"/>
        <v>3647670</v>
      </c>
      <c r="D319" s="759">
        <f t="shared" si="109"/>
        <v>397496.52938454424</v>
      </c>
      <c r="E319" s="759">
        <f t="shared" si="108"/>
        <v>104857.30217491902</v>
      </c>
      <c r="F319" s="759">
        <f t="shared" si="110"/>
        <v>222541.18972697825</v>
      </c>
      <c r="G319" s="759">
        <f t="shared" si="110"/>
        <v>40436.8718186025</v>
      </c>
      <c r="H319" s="759">
        <f t="shared" si="110"/>
        <v>385662.50192811975</v>
      </c>
      <c r="I319" s="759">
        <f t="shared" si="110"/>
        <v>66880.111830942464</v>
      </c>
      <c r="J319" s="360"/>
      <c r="K319" s="25">
        <f t="shared" si="92"/>
        <v>4865544.5068641054</v>
      </c>
      <c r="L319" s="759">
        <v>548</v>
      </c>
      <c r="M319" s="759">
        <f t="shared" si="100"/>
        <v>8878.7308519417984</v>
      </c>
      <c r="N319" s="671">
        <v>10534</v>
      </c>
      <c r="O319" s="671"/>
      <c r="P319" s="188" t="s">
        <v>429</v>
      </c>
      <c r="Q319" s="776">
        <v>40810</v>
      </c>
      <c r="R319" s="775"/>
      <c r="S319" s="301">
        <v>130</v>
      </c>
      <c r="T319" s="806">
        <v>28059</v>
      </c>
      <c r="U319" s="25">
        <f t="shared" si="77"/>
        <v>3647670</v>
      </c>
      <c r="V319" s="451"/>
      <c r="W319" s="776"/>
      <c r="X319" s="808"/>
      <c r="Y319" s="808"/>
      <c r="Z319" s="25"/>
    </row>
    <row r="320" spans="1:26" ht="13.5" customHeight="1">
      <c r="A320" s="758">
        <f>IF(B320&lt;&gt;"",A319+1,"")</f>
        <v>124</v>
      </c>
      <c r="B320" s="293" t="s">
        <v>537</v>
      </c>
      <c r="C320" s="25">
        <f t="shared" si="99"/>
        <v>504630</v>
      </c>
      <c r="D320" s="759">
        <f t="shared" si="109"/>
        <v>29739.70384081444</v>
      </c>
      <c r="E320" s="759">
        <f t="shared" si="108"/>
        <v>7845.1631189264235</v>
      </c>
      <c r="F320" s="759">
        <f t="shared" si="110"/>
        <v>16649.979523368809</v>
      </c>
      <c r="G320" s="759">
        <f t="shared" si="110"/>
        <v>3025.3863951874132</v>
      </c>
      <c r="H320" s="759">
        <f t="shared" si="110"/>
        <v>28854.311275643995</v>
      </c>
      <c r="I320" s="759">
        <f t="shared" si="110"/>
        <v>5003.8039873515345</v>
      </c>
      <c r="J320" s="360"/>
      <c r="K320" s="25">
        <f t="shared" si="92"/>
        <v>595748.34814129258</v>
      </c>
      <c r="L320" s="759">
        <v>41</v>
      </c>
      <c r="M320" s="759">
        <f t="shared" si="100"/>
        <v>14530.447515641283</v>
      </c>
      <c r="N320" s="671">
        <v>15549</v>
      </c>
      <c r="O320" s="671"/>
      <c r="P320" s="188" t="s">
        <v>445</v>
      </c>
      <c r="Q320" s="776">
        <v>40810</v>
      </c>
      <c r="R320" s="775"/>
      <c r="S320" s="301">
        <v>21</v>
      </c>
      <c r="T320" s="253">
        <v>24030</v>
      </c>
      <c r="U320" s="25">
        <f t="shared" si="77"/>
        <v>504630</v>
      </c>
      <c r="V320" s="451"/>
      <c r="W320" s="776"/>
      <c r="X320" s="808"/>
      <c r="Y320" s="808"/>
      <c r="Z320" s="25"/>
    </row>
    <row r="321" spans="1:26" ht="13.5" customHeight="1">
      <c r="A321" s="758">
        <f t="shared" si="93"/>
        <v>125</v>
      </c>
      <c r="B321" s="293" t="s">
        <v>534</v>
      </c>
      <c r="C321" s="25">
        <f t="shared" si="99"/>
        <v>169730</v>
      </c>
      <c r="D321" s="759">
        <f t="shared" si="109"/>
        <v>14507.172605275337</v>
      </c>
      <c r="E321" s="759">
        <f t="shared" si="108"/>
        <v>3826.9088385006944</v>
      </c>
      <c r="F321" s="759">
        <f t="shared" si="110"/>
        <v>8121.9412309116151</v>
      </c>
      <c r="G321" s="759">
        <f t="shared" si="110"/>
        <v>1475.7982415548358</v>
      </c>
      <c r="H321" s="759">
        <f t="shared" si="110"/>
        <v>14075.27379299707</v>
      </c>
      <c r="I321" s="759">
        <f t="shared" si="110"/>
        <v>2440.8799938300167</v>
      </c>
      <c r="J321" s="360"/>
      <c r="K321" s="25">
        <f t="shared" si="92"/>
        <v>214177.9747030696</v>
      </c>
      <c r="L321" s="759">
        <v>20</v>
      </c>
      <c r="M321" s="759">
        <f t="shared" si="100"/>
        <v>10708.89873515348</v>
      </c>
      <c r="N321" s="671">
        <v>11621</v>
      </c>
      <c r="O321" s="671"/>
      <c r="P321" s="188" t="s">
        <v>434</v>
      </c>
      <c r="Q321" s="776">
        <v>40810</v>
      </c>
      <c r="R321" s="775"/>
      <c r="S321" s="301">
        <f>L321/2</f>
        <v>10</v>
      </c>
      <c r="T321" s="808">
        <v>16973</v>
      </c>
      <c r="U321" s="25">
        <f t="shared" si="77"/>
        <v>169730</v>
      </c>
      <c r="V321" s="451"/>
      <c r="W321" s="776"/>
      <c r="X321" s="808"/>
      <c r="Y321" s="808"/>
      <c r="Z321" s="25"/>
    </row>
    <row r="322" spans="1:26" ht="13.5" customHeight="1">
      <c r="A322" s="758">
        <f t="shared" si="93"/>
        <v>126</v>
      </c>
      <c r="B322" s="293" t="s">
        <v>705</v>
      </c>
      <c r="C322" s="25">
        <f t="shared" si="99"/>
        <v>548232</v>
      </c>
      <c r="D322" s="759">
        <f t="shared" si="109"/>
        <v>76888.014807959291</v>
      </c>
      <c r="E322" s="759">
        <f t="shared" si="108"/>
        <v>20282.616844053679</v>
      </c>
      <c r="F322" s="759">
        <f t="shared" si="110"/>
        <v>43046.288523831558</v>
      </c>
      <c r="G322" s="759">
        <f t="shared" si="110"/>
        <v>7821.7306802406292</v>
      </c>
      <c r="H322" s="759">
        <f t="shared" si="110"/>
        <v>74598.951102884472</v>
      </c>
      <c r="I322" s="759">
        <f t="shared" si="110"/>
        <v>12936.66396729909</v>
      </c>
      <c r="J322" s="360"/>
      <c r="K322" s="25">
        <f t="shared" si="92"/>
        <v>783806.26592626877</v>
      </c>
      <c r="L322" s="759">
        <v>106</v>
      </c>
      <c r="M322" s="759">
        <f t="shared" si="100"/>
        <v>7394.3987351534788</v>
      </c>
      <c r="N322" s="671">
        <v>8398</v>
      </c>
      <c r="O322" s="671"/>
      <c r="P322" s="188" t="s">
        <v>451</v>
      </c>
      <c r="Q322" s="776">
        <v>40811</v>
      </c>
      <c r="R322" s="775"/>
      <c r="S322" s="301">
        <f>L322/2</f>
        <v>53</v>
      </c>
      <c r="T322" s="808">
        <v>10344</v>
      </c>
      <c r="U322" s="25">
        <f t="shared" si="77"/>
        <v>548232</v>
      </c>
      <c r="V322" s="451"/>
      <c r="W322" s="776"/>
      <c r="X322" s="808"/>
      <c r="Y322" s="808"/>
      <c r="Z322" s="25"/>
    </row>
    <row r="323" spans="1:26" ht="13.5" customHeight="1">
      <c r="A323" s="758">
        <f t="shared" si="93"/>
        <v>127</v>
      </c>
      <c r="B323" s="293" t="s">
        <v>708</v>
      </c>
      <c r="C323" s="25">
        <f t="shared" si="99"/>
        <v>3006974</v>
      </c>
      <c r="D323" s="759">
        <f t="shared" si="109"/>
        <v>361953.95650161966</v>
      </c>
      <c r="E323" s="759">
        <f t="shared" si="108"/>
        <v>95481.375520592323</v>
      </c>
      <c r="F323" s="759">
        <f t="shared" si="110"/>
        <v>202642.43371124478</v>
      </c>
      <c r="G323" s="759">
        <f t="shared" si="110"/>
        <v>36821.166126793156</v>
      </c>
      <c r="H323" s="759">
        <f t="shared" si="110"/>
        <v>351178.08113527688</v>
      </c>
      <c r="I323" s="759">
        <f t="shared" si="110"/>
        <v>60899.955846058918</v>
      </c>
      <c r="J323" s="360"/>
      <c r="K323" s="25">
        <f t="shared" si="92"/>
        <v>4115950.9688415863</v>
      </c>
      <c r="L323" s="759">
        <v>499</v>
      </c>
      <c r="M323" s="759">
        <f t="shared" si="100"/>
        <v>8248.3987351534797</v>
      </c>
      <c r="N323" s="671">
        <v>9538</v>
      </c>
      <c r="O323" s="671"/>
      <c r="P323" s="293" t="s">
        <v>394</v>
      </c>
      <c r="Q323" s="776">
        <v>40811</v>
      </c>
      <c r="R323" s="775"/>
      <c r="S323" s="301">
        <f>L323</f>
        <v>499</v>
      </c>
      <c r="T323" s="808">
        <v>6026</v>
      </c>
      <c r="U323" s="25">
        <f t="shared" si="77"/>
        <v>3006974</v>
      </c>
      <c r="V323" s="451"/>
      <c r="W323" s="776"/>
      <c r="X323" s="808"/>
      <c r="Y323" s="808"/>
      <c r="Z323" s="25"/>
    </row>
    <row r="324" spans="1:26" ht="13.5" customHeight="1">
      <c r="A324" s="758">
        <f t="shared" si="93"/>
        <v>128</v>
      </c>
      <c r="B324" s="293" t="s">
        <v>544</v>
      </c>
      <c r="C324" s="25">
        <f t="shared" si="99"/>
        <v>8898</v>
      </c>
      <c r="D324" s="759">
        <f t="shared" si="109"/>
        <v>2176.0758907913005</v>
      </c>
      <c r="E324" s="759">
        <f t="shared" si="108"/>
        <v>574.03632577510416</v>
      </c>
      <c r="F324" s="759">
        <f t="shared" si="110"/>
        <v>1218.2911846367422</v>
      </c>
      <c r="G324" s="759">
        <f t="shared" si="110"/>
        <v>221.36973623322535</v>
      </c>
      <c r="H324" s="759">
        <f t="shared" si="110"/>
        <v>2111.2910689495607</v>
      </c>
      <c r="I324" s="759">
        <f t="shared" si="110"/>
        <v>366.13199907450252</v>
      </c>
      <c r="J324" s="360"/>
      <c r="K324" s="25">
        <f t="shared" si="92"/>
        <v>15565.196205460437</v>
      </c>
      <c r="L324" s="759">
        <v>3</v>
      </c>
      <c r="M324" s="759">
        <f t="shared" si="100"/>
        <v>5188.3987351534788</v>
      </c>
      <c r="N324" s="671">
        <v>5166</v>
      </c>
      <c r="O324" s="671"/>
      <c r="P324" s="188" t="s">
        <v>382</v>
      </c>
      <c r="Q324" s="776">
        <v>40811</v>
      </c>
      <c r="R324" s="775"/>
      <c r="S324" s="301">
        <v>2</v>
      </c>
      <c r="T324" s="808">
        <f>4449</f>
        <v>4449</v>
      </c>
      <c r="U324" s="25">
        <f t="shared" si="77"/>
        <v>8898</v>
      </c>
      <c r="V324" s="451"/>
      <c r="W324" s="776"/>
      <c r="X324" s="808"/>
      <c r="Y324" s="808"/>
      <c r="Z324" s="25"/>
    </row>
    <row r="325" spans="1:26" ht="13.5" customHeight="1">
      <c r="A325" s="758">
        <f t="shared" si="93"/>
        <v>129</v>
      </c>
      <c r="B325" s="293" t="s">
        <v>535</v>
      </c>
      <c r="C325" s="25">
        <f t="shared" si="99"/>
        <v>78540</v>
      </c>
      <c r="D325" s="759">
        <f t="shared" si="109"/>
        <v>9429.6621934289687</v>
      </c>
      <c r="E325" s="759">
        <f t="shared" si="108"/>
        <v>2487.4907450254514</v>
      </c>
      <c r="F325" s="759">
        <f t="shared" si="110"/>
        <v>5279.2618000925495</v>
      </c>
      <c r="G325" s="759">
        <f t="shared" si="110"/>
        <v>959.26885701064327</v>
      </c>
      <c r="H325" s="759">
        <f t="shared" si="110"/>
        <v>9148.9279654480961</v>
      </c>
      <c r="I325" s="759">
        <f t="shared" si="110"/>
        <v>1586.5719959895109</v>
      </c>
      <c r="J325" s="360"/>
      <c r="K325" s="25">
        <f t="shared" ref="K325:K348" si="111">SUM(C325:I325)</f>
        <v>107431.18355699521</v>
      </c>
      <c r="L325" s="759">
        <v>13</v>
      </c>
      <c r="M325" s="759">
        <f t="shared" si="100"/>
        <v>8263.9371966919389</v>
      </c>
      <c r="N325" s="671">
        <v>10189</v>
      </c>
      <c r="O325" s="671"/>
      <c r="P325" s="40" t="s">
        <v>470</v>
      </c>
      <c r="Q325" s="776">
        <v>40811</v>
      </c>
      <c r="R325" s="775"/>
      <c r="S325" s="301">
        <v>6</v>
      </c>
      <c r="T325" s="253">
        <v>13090</v>
      </c>
      <c r="U325" s="25">
        <f t="shared" si="77"/>
        <v>78540</v>
      </c>
      <c r="V325" s="451"/>
      <c r="W325" s="776"/>
      <c r="X325" s="808"/>
      <c r="Y325" s="808"/>
      <c r="Z325" s="25"/>
    </row>
    <row r="326" spans="1:26" ht="13.5" customHeight="1">
      <c r="A326" s="758">
        <f t="shared" si="93"/>
        <v>130</v>
      </c>
      <c r="B326" s="293" t="s">
        <v>738</v>
      </c>
      <c r="C326" s="25">
        <f t="shared" si="99"/>
        <v>7268</v>
      </c>
      <c r="D326" s="759">
        <f t="shared" si="109"/>
        <v>725.35863026376683</v>
      </c>
      <c r="E326" s="759">
        <f t="shared" si="108"/>
        <v>191.34544192503472</v>
      </c>
      <c r="F326" s="759">
        <f t="shared" si="110"/>
        <v>406.09706154558074</v>
      </c>
      <c r="G326" s="759">
        <f t="shared" si="110"/>
        <v>73.789912077741789</v>
      </c>
      <c r="H326" s="759">
        <f t="shared" si="110"/>
        <v>703.76368964985352</v>
      </c>
      <c r="I326" s="759">
        <f t="shared" si="110"/>
        <v>122.04399969150084</v>
      </c>
      <c r="J326" s="360"/>
      <c r="K326" s="25">
        <f t="shared" si="111"/>
        <v>9490.3987351534779</v>
      </c>
      <c r="L326" s="759">
        <v>1</v>
      </c>
      <c r="M326" s="759">
        <f t="shared" si="100"/>
        <v>9490.3987351534779</v>
      </c>
      <c r="N326" s="671">
        <v>10211</v>
      </c>
      <c r="O326" s="671"/>
      <c r="P326" s="188" t="s">
        <v>426</v>
      </c>
      <c r="Q326" s="776">
        <v>40811</v>
      </c>
      <c r="R326" s="775"/>
      <c r="S326" s="301">
        <f>L326</f>
        <v>1</v>
      </c>
      <c r="T326" s="253">
        <v>7268</v>
      </c>
      <c r="U326" s="25">
        <f t="shared" si="77"/>
        <v>7268</v>
      </c>
      <c r="V326" s="451"/>
      <c r="W326" s="776"/>
      <c r="X326" s="808"/>
      <c r="Y326" s="808"/>
      <c r="Z326" s="25"/>
    </row>
    <row r="327" spans="1:26" ht="13.5" customHeight="1">
      <c r="A327" s="758">
        <f t="shared" ref="A327:A348" si="112">IF(B327&lt;&gt;"",A326+1,"")</f>
        <v>131</v>
      </c>
      <c r="B327" s="293" t="s">
        <v>709</v>
      </c>
      <c r="C327" s="25">
        <f t="shared" si="99"/>
        <v>26694</v>
      </c>
      <c r="D327" s="759">
        <f t="shared" ref="D327:I341" si="113">IF($L$350&lt;&gt;0,D$350/$L$350*$L327,0)</f>
        <v>4352.151781582601</v>
      </c>
      <c r="E327" s="759">
        <f t="shared" si="108"/>
        <v>1148.0726515502083</v>
      </c>
      <c r="F327" s="759">
        <f t="shared" si="113"/>
        <v>2436.5823692734843</v>
      </c>
      <c r="G327" s="759">
        <f t="shared" si="113"/>
        <v>442.73947246645071</v>
      </c>
      <c r="H327" s="759">
        <f t="shared" si="113"/>
        <v>4222.5821378991213</v>
      </c>
      <c r="I327" s="759">
        <f t="shared" si="113"/>
        <v>732.26399814900503</v>
      </c>
      <c r="J327" s="360"/>
      <c r="K327" s="25">
        <f t="shared" si="111"/>
        <v>40028.392410920875</v>
      </c>
      <c r="L327" s="759">
        <v>6</v>
      </c>
      <c r="M327" s="759">
        <f t="shared" si="100"/>
        <v>6671.3987351534788</v>
      </c>
      <c r="N327" s="671">
        <v>7042</v>
      </c>
      <c r="O327" s="671"/>
      <c r="P327" s="188" t="s">
        <v>382</v>
      </c>
      <c r="Q327" s="776">
        <v>40811</v>
      </c>
      <c r="R327" s="775"/>
      <c r="S327" s="301">
        <f>L327</f>
        <v>6</v>
      </c>
      <c r="T327" s="808">
        <f>4449</f>
        <v>4449</v>
      </c>
      <c r="U327" s="25">
        <f t="shared" si="77"/>
        <v>26694</v>
      </c>
      <c r="V327" s="451"/>
      <c r="W327" s="776"/>
      <c r="X327" s="808"/>
      <c r="Y327" s="808"/>
      <c r="Z327" s="25"/>
    </row>
    <row r="328" spans="1:26" ht="13.5" customHeight="1">
      <c r="A328" s="758">
        <f t="shared" si="112"/>
        <v>132</v>
      </c>
      <c r="B328" s="293" t="s">
        <v>707</v>
      </c>
      <c r="C328" s="25">
        <f t="shared" si="99"/>
        <v>8898</v>
      </c>
      <c r="D328" s="759">
        <f t="shared" si="113"/>
        <v>1450.7172605275337</v>
      </c>
      <c r="E328" s="759">
        <f t="shared" si="108"/>
        <v>382.69088385006944</v>
      </c>
      <c r="F328" s="759">
        <f t="shared" si="113"/>
        <v>812.19412309116149</v>
      </c>
      <c r="G328" s="759">
        <f t="shared" si="113"/>
        <v>147.57982415548358</v>
      </c>
      <c r="H328" s="759">
        <f t="shared" si="113"/>
        <v>1407.527379299707</v>
      </c>
      <c r="I328" s="759">
        <f t="shared" si="113"/>
        <v>244.08799938300169</v>
      </c>
      <c r="J328" s="360"/>
      <c r="K328" s="25">
        <f t="shared" si="111"/>
        <v>13342.797470306958</v>
      </c>
      <c r="L328" s="759">
        <v>2</v>
      </c>
      <c r="M328" s="759">
        <f t="shared" si="100"/>
        <v>6671.3987351534788</v>
      </c>
      <c r="N328" s="671">
        <v>6510</v>
      </c>
      <c r="O328" s="671"/>
      <c r="P328" s="188" t="s">
        <v>382</v>
      </c>
      <c r="Q328" s="776">
        <v>40811</v>
      </c>
      <c r="R328" s="775"/>
      <c r="S328" s="301">
        <f>L328</f>
        <v>2</v>
      </c>
      <c r="T328" s="808">
        <f>4449</f>
        <v>4449</v>
      </c>
      <c r="U328" s="25">
        <f t="shared" si="77"/>
        <v>8898</v>
      </c>
      <c r="V328" s="451"/>
      <c r="W328" s="776"/>
      <c r="X328" s="808"/>
      <c r="Y328" s="808"/>
      <c r="Z328" s="25"/>
    </row>
    <row r="329" spans="1:26" ht="13.5" customHeight="1">
      <c r="A329" s="758">
        <f t="shared" si="112"/>
        <v>133</v>
      </c>
      <c r="B329" s="293" t="s">
        <v>739</v>
      </c>
      <c r="C329" s="25">
        <f t="shared" si="99"/>
        <v>8898</v>
      </c>
      <c r="D329" s="759">
        <f t="shared" si="113"/>
        <v>1450.7172605275337</v>
      </c>
      <c r="E329" s="759">
        <f t="shared" si="108"/>
        <v>382.69088385006944</v>
      </c>
      <c r="F329" s="759">
        <f t="shared" si="113"/>
        <v>812.19412309116149</v>
      </c>
      <c r="G329" s="759">
        <f t="shared" si="113"/>
        <v>147.57982415548358</v>
      </c>
      <c r="H329" s="759">
        <f t="shared" si="113"/>
        <v>1407.527379299707</v>
      </c>
      <c r="I329" s="759">
        <f t="shared" si="113"/>
        <v>244.08799938300169</v>
      </c>
      <c r="J329" s="360"/>
      <c r="K329" s="25">
        <f t="shared" si="111"/>
        <v>13342.797470306958</v>
      </c>
      <c r="L329" s="759">
        <v>2</v>
      </c>
      <c r="M329" s="759">
        <f t="shared" si="100"/>
        <v>6671.3987351534788</v>
      </c>
      <c r="N329" s="671">
        <v>7229</v>
      </c>
      <c r="O329" s="671"/>
      <c r="P329" s="188" t="s">
        <v>382</v>
      </c>
      <c r="Q329" s="776">
        <v>40811</v>
      </c>
      <c r="R329" s="775"/>
      <c r="S329" s="301">
        <f>L329</f>
        <v>2</v>
      </c>
      <c r="T329" s="808">
        <f>4449</f>
        <v>4449</v>
      </c>
      <c r="U329" s="25">
        <f t="shared" si="77"/>
        <v>8898</v>
      </c>
      <c r="V329" s="451"/>
      <c r="W329" s="776"/>
      <c r="X329" s="808"/>
      <c r="Y329" s="808"/>
      <c r="Z329" s="25"/>
    </row>
    <row r="330" spans="1:26" ht="13.5" customHeight="1">
      <c r="A330" s="758">
        <f t="shared" si="112"/>
        <v>134</v>
      </c>
      <c r="B330" s="293" t="s">
        <v>542</v>
      </c>
      <c r="C330" s="25">
        <f t="shared" si="99"/>
        <v>40433</v>
      </c>
      <c r="D330" s="759">
        <f t="shared" si="113"/>
        <v>3626.7931513188341</v>
      </c>
      <c r="E330" s="759">
        <f t="shared" si="108"/>
        <v>956.7272096251736</v>
      </c>
      <c r="F330" s="759">
        <f t="shared" si="113"/>
        <v>2030.4853077279038</v>
      </c>
      <c r="G330" s="759">
        <f t="shared" si="113"/>
        <v>368.94956038870896</v>
      </c>
      <c r="H330" s="759">
        <f t="shared" si="113"/>
        <v>3518.8184482492675</v>
      </c>
      <c r="I330" s="759">
        <f t="shared" si="113"/>
        <v>610.21999845750418</v>
      </c>
      <c r="J330" s="360"/>
      <c r="K330" s="25">
        <f t="shared" si="111"/>
        <v>51544.9936757674</v>
      </c>
      <c r="L330" s="759">
        <v>5</v>
      </c>
      <c r="M330" s="759">
        <f t="shared" si="100"/>
        <v>10308.99873515348</v>
      </c>
      <c r="N330" s="671">
        <v>12109</v>
      </c>
      <c r="O330" s="671"/>
      <c r="P330" s="188" t="s">
        <v>401</v>
      </c>
      <c r="Q330" s="776">
        <v>40812</v>
      </c>
      <c r="R330" s="775"/>
      <c r="S330" s="301">
        <f>L330/2</f>
        <v>2.5</v>
      </c>
      <c r="T330" s="808">
        <v>16173</v>
      </c>
      <c r="U330" s="25">
        <f t="shared" si="77"/>
        <v>40433</v>
      </c>
      <c r="V330" s="451"/>
      <c r="W330" s="776"/>
      <c r="X330" s="808"/>
      <c r="Y330" s="808"/>
      <c r="Z330" s="25"/>
    </row>
    <row r="331" spans="1:26" ht="13.5" customHeight="1">
      <c r="A331" s="758">
        <f t="shared" si="112"/>
        <v>135</v>
      </c>
      <c r="B331" s="293" t="s">
        <v>740</v>
      </c>
      <c r="C331" s="25">
        <f t="shared" si="99"/>
        <v>8152</v>
      </c>
      <c r="D331" s="759">
        <f t="shared" si="113"/>
        <v>725.35863026376683</v>
      </c>
      <c r="E331" s="759">
        <f t="shared" si="108"/>
        <v>191.34544192503472</v>
      </c>
      <c r="F331" s="759">
        <f t="shared" si="113"/>
        <v>406.09706154558074</v>
      </c>
      <c r="G331" s="759">
        <f t="shared" si="113"/>
        <v>73.789912077741789</v>
      </c>
      <c r="H331" s="759">
        <f t="shared" si="113"/>
        <v>703.76368964985352</v>
      </c>
      <c r="I331" s="759">
        <f t="shared" si="113"/>
        <v>122.04399969150084</v>
      </c>
      <c r="J331" s="360"/>
      <c r="K331" s="25">
        <f t="shared" si="111"/>
        <v>10374.398735153478</v>
      </c>
      <c r="L331" s="759">
        <v>1</v>
      </c>
      <c r="M331" s="759">
        <f t="shared" si="100"/>
        <v>10374.398735153478</v>
      </c>
      <c r="N331" s="671">
        <v>11245</v>
      </c>
      <c r="O331" s="671"/>
      <c r="P331" s="40" t="s">
        <v>469</v>
      </c>
      <c r="Q331" s="776">
        <v>40812</v>
      </c>
      <c r="R331" s="775"/>
      <c r="S331" s="301">
        <f>L331/2</f>
        <v>0.5</v>
      </c>
      <c r="T331" s="808">
        <v>16303</v>
      </c>
      <c r="U331" s="25">
        <f t="shared" si="77"/>
        <v>8152</v>
      </c>
      <c r="V331" s="451"/>
      <c r="W331" s="776"/>
      <c r="X331" s="808"/>
      <c r="Y331" s="808"/>
      <c r="Z331" s="25"/>
    </row>
    <row r="332" spans="1:26" ht="13.5" customHeight="1">
      <c r="A332" s="758">
        <f t="shared" si="112"/>
        <v>136</v>
      </c>
      <c r="B332" s="293" t="s">
        <v>718</v>
      </c>
      <c r="C332" s="25">
        <f t="shared" si="99"/>
        <v>10603</v>
      </c>
      <c r="D332" s="759">
        <f t="shared" si="113"/>
        <v>725.35863026376683</v>
      </c>
      <c r="E332" s="759">
        <f t="shared" si="108"/>
        <v>191.34544192503472</v>
      </c>
      <c r="F332" s="759">
        <f t="shared" si="113"/>
        <v>406.09706154558074</v>
      </c>
      <c r="G332" s="759">
        <f t="shared" si="113"/>
        <v>73.789912077741789</v>
      </c>
      <c r="H332" s="759">
        <f t="shared" si="113"/>
        <v>703.76368964985352</v>
      </c>
      <c r="I332" s="759">
        <f t="shared" si="113"/>
        <v>122.04399969150084</v>
      </c>
      <c r="J332" s="360"/>
      <c r="K332" s="25">
        <f t="shared" si="111"/>
        <v>12825.398735153478</v>
      </c>
      <c r="L332" s="759">
        <v>1</v>
      </c>
      <c r="M332" s="759">
        <f t="shared" si="100"/>
        <v>12825.398735153478</v>
      </c>
      <c r="N332" s="671">
        <v>13027</v>
      </c>
      <c r="O332" s="671"/>
      <c r="P332" s="188" t="s">
        <v>422</v>
      </c>
      <c r="Q332" s="776">
        <v>40812</v>
      </c>
      <c r="R332" s="775"/>
      <c r="S332" s="301">
        <f>L332</f>
        <v>1</v>
      </c>
      <c r="T332" s="808">
        <v>10603</v>
      </c>
      <c r="U332" s="25">
        <f t="shared" si="77"/>
        <v>10603</v>
      </c>
      <c r="V332" s="451"/>
      <c r="W332" s="776"/>
      <c r="X332" s="808"/>
      <c r="Y332" s="808"/>
      <c r="Z332" s="25"/>
    </row>
    <row r="333" spans="1:26" ht="13.5" customHeight="1">
      <c r="A333" s="758">
        <f t="shared" si="112"/>
        <v>137</v>
      </c>
      <c r="B333" s="293" t="s">
        <v>711</v>
      </c>
      <c r="C333" s="25">
        <f t="shared" si="99"/>
        <v>18078</v>
      </c>
      <c r="D333" s="759">
        <f t="shared" si="113"/>
        <v>2176.0758907913005</v>
      </c>
      <c r="E333" s="759">
        <f t="shared" si="108"/>
        <v>574.03632577510416</v>
      </c>
      <c r="F333" s="759">
        <f t="shared" si="113"/>
        <v>1218.2911846367422</v>
      </c>
      <c r="G333" s="759">
        <f t="shared" si="113"/>
        <v>221.36973623322535</v>
      </c>
      <c r="H333" s="759">
        <f t="shared" si="113"/>
        <v>2111.2910689495607</v>
      </c>
      <c r="I333" s="759">
        <f t="shared" si="113"/>
        <v>366.13199907450252</v>
      </c>
      <c r="J333" s="360"/>
      <c r="K333" s="25">
        <f t="shared" si="111"/>
        <v>24745.196205460437</v>
      </c>
      <c r="L333" s="759">
        <v>3</v>
      </c>
      <c r="M333" s="759">
        <f t="shared" si="100"/>
        <v>8248.3987351534797</v>
      </c>
      <c r="N333" s="671">
        <v>9960</v>
      </c>
      <c r="O333" s="671"/>
      <c r="P333" s="293" t="s">
        <v>394</v>
      </c>
      <c r="Q333" s="776">
        <v>40812</v>
      </c>
      <c r="R333" s="775"/>
      <c r="S333" s="301">
        <f t="shared" ref="S333:S334" si="114">L333</f>
        <v>3</v>
      </c>
      <c r="T333" s="808">
        <v>6026</v>
      </c>
      <c r="U333" s="25">
        <f t="shared" si="77"/>
        <v>18078</v>
      </c>
      <c r="V333" s="451"/>
      <c r="W333" s="776"/>
      <c r="X333" s="808"/>
      <c r="Y333" s="808"/>
      <c r="Z333" s="25"/>
    </row>
    <row r="334" spans="1:26" ht="13.5" customHeight="1">
      <c r="A334" s="758">
        <f t="shared" si="112"/>
        <v>138</v>
      </c>
      <c r="B334" s="293" t="s">
        <v>532</v>
      </c>
      <c r="C334" s="25">
        <f t="shared" si="99"/>
        <v>18078</v>
      </c>
      <c r="D334" s="759">
        <f t="shared" si="113"/>
        <v>2176.0758907913005</v>
      </c>
      <c r="E334" s="759">
        <f t="shared" si="108"/>
        <v>574.03632577510416</v>
      </c>
      <c r="F334" s="759">
        <f t="shared" si="113"/>
        <v>1218.2911846367422</v>
      </c>
      <c r="G334" s="759">
        <f t="shared" si="113"/>
        <v>221.36973623322535</v>
      </c>
      <c r="H334" s="759">
        <f t="shared" si="113"/>
        <v>2111.2910689495607</v>
      </c>
      <c r="I334" s="759">
        <f t="shared" si="113"/>
        <v>366.13199907450252</v>
      </c>
      <c r="J334" s="360"/>
      <c r="K334" s="25">
        <f t="shared" si="111"/>
        <v>24745.196205460437</v>
      </c>
      <c r="L334" s="759">
        <v>3</v>
      </c>
      <c r="M334" s="759">
        <f t="shared" si="100"/>
        <v>8248.3987351534797</v>
      </c>
      <c r="N334" s="671">
        <v>9202</v>
      </c>
      <c r="O334" s="671"/>
      <c r="P334" s="293" t="s">
        <v>394</v>
      </c>
      <c r="Q334" s="776">
        <v>40812</v>
      </c>
      <c r="R334" s="775"/>
      <c r="S334" s="301">
        <f t="shared" si="114"/>
        <v>3</v>
      </c>
      <c r="T334" s="808">
        <v>6026</v>
      </c>
      <c r="U334" s="25">
        <f t="shared" si="77"/>
        <v>18078</v>
      </c>
      <c r="V334" s="451"/>
      <c r="W334" s="776"/>
      <c r="X334" s="808"/>
      <c r="Y334" s="808"/>
      <c r="Z334" s="25"/>
    </row>
    <row r="335" spans="1:26" ht="13.5" customHeight="1">
      <c r="A335" s="758">
        <f t="shared" si="112"/>
        <v>139</v>
      </c>
      <c r="B335" s="293" t="s">
        <v>741</v>
      </c>
      <c r="C335" s="25">
        <f t="shared" si="99"/>
        <v>4449</v>
      </c>
      <c r="D335" s="759">
        <f t="shared" si="113"/>
        <v>725.35863026376683</v>
      </c>
      <c r="E335" s="759">
        <f t="shared" si="108"/>
        <v>191.34544192503472</v>
      </c>
      <c r="F335" s="759">
        <f t="shared" si="113"/>
        <v>406.09706154558074</v>
      </c>
      <c r="G335" s="759">
        <f t="shared" si="113"/>
        <v>73.789912077741789</v>
      </c>
      <c r="H335" s="759">
        <f t="shared" si="113"/>
        <v>703.76368964985352</v>
      </c>
      <c r="I335" s="759">
        <f t="shared" si="113"/>
        <v>122.04399969150084</v>
      </c>
      <c r="J335" s="360"/>
      <c r="K335" s="25">
        <f t="shared" si="111"/>
        <v>6671.3987351534788</v>
      </c>
      <c r="L335" s="759">
        <v>1</v>
      </c>
      <c r="M335" s="759">
        <f t="shared" si="100"/>
        <v>6671.3987351534788</v>
      </c>
      <c r="N335" s="671">
        <v>7302</v>
      </c>
      <c r="O335" s="671"/>
      <c r="P335" s="188" t="s">
        <v>382</v>
      </c>
      <c r="Q335" s="776">
        <v>40812</v>
      </c>
      <c r="R335" s="775"/>
      <c r="S335" s="301">
        <f>L335</f>
        <v>1</v>
      </c>
      <c r="T335" s="808">
        <f>4449</f>
        <v>4449</v>
      </c>
      <c r="U335" s="25">
        <f t="shared" si="77"/>
        <v>4449</v>
      </c>
      <c r="V335" s="451"/>
      <c r="W335" s="776"/>
      <c r="X335" s="808"/>
      <c r="Y335" s="808"/>
      <c r="Z335" s="25"/>
    </row>
    <row r="336" spans="1:26" ht="13.5" customHeight="1">
      <c r="A336" s="758">
        <f t="shared" si="112"/>
        <v>140</v>
      </c>
      <c r="B336" s="293" t="s">
        <v>536</v>
      </c>
      <c r="C336" s="25">
        <f t="shared" si="99"/>
        <v>8087</v>
      </c>
      <c r="D336" s="759">
        <f t="shared" si="113"/>
        <v>725.35863026376683</v>
      </c>
      <c r="E336" s="759">
        <f t="shared" si="108"/>
        <v>191.34544192503472</v>
      </c>
      <c r="F336" s="759">
        <f t="shared" si="113"/>
        <v>406.09706154558074</v>
      </c>
      <c r="G336" s="759">
        <f t="shared" si="113"/>
        <v>73.789912077741789</v>
      </c>
      <c r="H336" s="759">
        <f t="shared" si="113"/>
        <v>703.76368964985352</v>
      </c>
      <c r="I336" s="759">
        <f t="shared" si="113"/>
        <v>122.04399969150084</v>
      </c>
      <c r="J336" s="360"/>
      <c r="K336" s="25">
        <f t="shared" si="111"/>
        <v>10309.398735153478</v>
      </c>
      <c r="L336" s="759">
        <v>1</v>
      </c>
      <c r="M336" s="759">
        <f t="shared" si="100"/>
        <v>10309.398735153478</v>
      </c>
      <c r="N336" s="671">
        <v>12495</v>
      </c>
      <c r="O336" s="671"/>
      <c r="P336" s="188" t="s">
        <v>401</v>
      </c>
      <c r="Q336" s="776">
        <v>40812</v>
      </c>
      <c r="R336" s="775"/>
      <c r="S336" s="301">
        <f>L336/2</f>
        <v>0.5</v>
      </c>
      <c r="T336" s="808">
        <v>16173</v>
      </c>
      <c r="U336" s="25">
        <f t="shared" si="77"/>
        <v>8087</v>
      </c>
      <c r="V336" s="451"/>
      <c r="W336" s="776"/>
      <c r="X336" s="808"/>
      <c r="Y336" s="808"/>
      <c r="Z336" s="25"/>
    </row>
    <row r="337" spans="1:26" ht="13.5" customHeight="1">
      <c r="A337" s="758">
        <f t="shared" si="112"/>
        <v>141</v>
      </c>
      <c r="B337" s="293" t="s">
        <v>545</v>
      </c>
      <c r="C337" s="25">
        <f t="shared" si="99"/>
        <v>22245</v>
      </c>
      <c r="D337" s="759">
        <f t="shared" si="113"/>
        <v>3626.7931513188341</v>
      </c>
      <c r="E337" s="759">
        <f t="shared" si="108"/>
        <v>956.7272096251736</v>
      </c>
      <c r="F337" s="759">
        <f t="shared" si="113"/>
        <v>2030.4853077279038</v>
      </c>
      <c r="G337" s="759">
        <f t="shared" si="113"/>
        <v>368.94956038870896</v>
      </c>
      <c r="H337" s="759">
        <f t="shared" si="113"/>
        <v>3518.8184482492675</v>
      </c>
      <c r="I337" s="759">
        <f t="shared" si="113"/>
        <v>610.21999845750418</v>
      </c>
      <c r="J337" s="360"/>
      <c r="K337" s="25">
        <f t="shared" si="111"/>
        <v>33356.993675767393</v>
      </c>
      <c r="L337" s="759">
        <v>5</v>
      </c>
      <c r="M337" s="759">
        <f t="shared" si="100"/>
        <v>6671.3987351534788</v>
      </c>
      <c r="N337" s="671">
        <v>7295</v>
      </c>
      <c r="O337" s="671"/>
      <c r="P337" s="188" t="s">
        <v>382</v>
      </c>
      <c r="Q337" s="776">
        <v>40812</v>
      </c>
      <c r="R337" s="775"/>
      <c r="S337" s="301">
        <f>L337</f>
        <v>5</v>
      </c>
      <c r="T337" s="808">
        <f>4449</f>
        <v>4449</v>
      </c>
      <c r="U337" s="25">
        <f t="shared" si="77"/>
        <v>22245</v>
      </c>
      <c r="V337" s="451"/>
      <c r="W337" s="776"/>
      <c r="X337" s="808"/>
      <c r="Y337" s="808"/>
      <c r="Z337" s="25"/>
    </row>
    <row r="338" spans="1:26" ht="13.5" customHeight="1">
      <c r="A338" s="758">
        <f t="shared" si="112"/>
        <v>142</v>
      </c>
      <c r="B338" s="293" t="s">
        <v>742</v>
      </c>
      <c r="C338" s="25">
        <f t="shared" si="99"/>
        <v>3924480</v>
      </c>
      <c r="D338" s="759">
        <f t="shared" si="113"/>
        <v>275636.27950023138</v>
      </c>
      <c r="E338" s="759">
        <f t="shared" si="108"/>
        <v>72711.267931513197</v>
      </c>
      <c r="F338" s="759">
        <f t="shared" si="113"/>
        <v>154316.88338732067</v>
      </c>
      <c r="G338" s="759">
        <f t="shared" si="113"/>
        <v>28040.166589541881</v>
      </c>
      <c r="H338" s="759">
        <f t="shared" si="113"/>
        <v>267430.20206694433</v>
      </c>
      <c r="I338" s="759">
        <f t="shared" si="113"/>
        <v>46376.719882770318</v>
      </c>
      <c r="J338" s="360"/>
      <c r="K338" s="25">
        <f t="shared" si="111"/>
        <v>4768991.519358322</v>
      </c>
      <c r="L338" s="759">
        <v>380</v>
      </c>
      <c r="M338" s="759">
        <f t="shared" si="100"/>
        <v>12549.9776825219</v>
      </c>
      <c r="N338" s="671">
        <v>14892</v>
      </c>
      <c r="O338" s="671"/>
      <c r="P338" s="40" t="s">
        <v>485</v>
      </c>
      <c r="Q338" s="776">
        <v>40813</v>
      </c>
      <c r="R338" s="775"/>
      <c r="S338" s="301">
        <v>192</v>
      </c>
      <c r="T338" s="808">
        <v>20440</v>
      </c>
      <c r="U338" s="25">
        <f t="shared" si="77"/>
        <v>3924480</v>
      </c>
      <c r="V338" s="451"/>
      <c r="W338" s="776"/>
      <c r="X338" s="808"/>
      <c r="Y338" s="808"/>
      <c r="Z338" s="25"/>
    </row>
    <row r="339" spans="1:26" ht="13.5" customHeight="1">
      <c r="A339" s="758">
        <f t="shared" si="112"/>
        <v>143</v>
      </c>
      <c r="B339" s="293" t="s">
        <v>743</v>
      </c>
      <c r="C339" s="25">
        <f t="shared" si="99"/>
        <v>1227438</v>
      </c>
      <c r="D339" s="759">
        <f t="shared" si="113"/>
        <v>90669.828782970857</v>
      </c>
      <c r="E339" s="759">
        <f t="shared" si="108"/>
        <v>23918.180240629339</v>
      </c>
      <c r="F339" s="759">
        <f t="shared" si="113"/>
        <v>50762.132693197593</v>
      </c>
      <c r="G339" s="759">
        <f t="shared" si="113"/>
        <v>9223.7390097177231</v>
      </c>
      <c r="H339" s="759">
        <f t="shared" si="113"/>
        <v>87970.461206231688</v>
      </c>
      <c r="I339" s="759">
        <f t="shared" si="113"/>
        <v>15255.499961437605</v>
      </c>
      <c r="J339" s="360"/>
      <c r="K339" s="25">
        <f t="shared" si="111"/>
        <v>1505237.8418941847</v>
      </c>
      <c r="L339" s="759">
        <v>125</v>
      </c>
      <c r="M339" s="759">
        <f t="shared" si="100"/>
        <v>12041.902735153477</v>
      </c>
      <c r="N339" s="671">
        <v>13169</v>
      </c>
      <c r="O339" s="671"/>
      <c r="P339" s="188" t="s">
        <v>455</v>
      </c>
      <c r="Q339" s="776">
        <v>40813</v>
      </c>
      <c r="R339" s="775"/>
      <c r="S339" s="301">
        <f t="shared" ref="S339" si="115">L339/2</f>
        <v>62.5</v>
      </c>
      <c r="T339" s="808">
        <v>19639</v>
      </c>
      <c r="U339" s="25">
        <f t="shared" si="77"/>
        <v>1227438</v>
      </c>
      <c r="V339" s="451"/>
      <c r="W339" s="776"/>
      <c r="X339" s="808"/>
      <c r="Y339" s="808"/>
      <c r="Z339" s="25"/>
    </row>
    <row r="340" spans="1:26" ht="13.5" customHeight="1">
      <c r="A340" s="758">
        <f t="shared" si="112"/>
        <v>144</v>
      </c>
      <c r="B340" s="293" t="s">
        <v>744</v>
      </c>
      <c r="C340" s="25">
        <f t="shared" si="99"/>
        <v>6904800</v>
      </c>
      <c r="D340" s="759">
        <f t="shared" si="113"/>
        <v>417081.21240166592</v>
      </c>
      <c r="E340" s="759">
        <f t="shared" si="108"/>
        <v>110023.62910689496</v>
      </c>
      <c r="F340" s="759">
        <f t="shared" si="113"/>
        <v>233505.81038870892</v>
      </c>
      <c r="G340" s="759">
        <f t="shared" si="113"/>
        <v>42429.199444701531</v>
      </c>
      <c r="H340" s="759">
        <f t="shared" si="113"/>
        <v>404664.12154866575</v>
      </c>
      <c r="I340" s="759">
        <f t="shared" si="113"/>
        <v>70175.299822612986</v>
      </c>
      <c r="J340" s="360"/>
      <c r="K340" s="25">
        <f t="shared" si="111"/>
        <v>8182679.2727132495</v>
      </c>
      <c r="L340" s="759">
        <v>575</v>
      </c>
      <c r="M340" s="759">
        <f t="shared" si="100"/>
        <v>14230.746561240434</v>
      </c>
      <c r="N340" s="671">
        <v>17333</v>
      </c>
      <c r="O340" s="671"/>
      <c r="P340" s="40" t="s">
        <v>490</v>
      </c>
      <c r="Q340" s="776">
        <v>40813</v>
      </c>
      <c r="R340" s="775"/>
      <c r="S340" s="301">
        <v>288</v>
      </c>
      <c r="T340" s="808">
        <v>23975</v>
      </c>
      <c r="U340" s="25">
        <f t="shared" si="77"/>
        <v>6904800</v>
      </c>
      <c r="V340" s="451"/>
      <c r="W340" s="776"/>
      <c r="X340" s="808"/>
      <c r="Y340" s="808"/>
      <c r="Z340" s="25"/>
    </row>
    <row r="341" spans="1:26" ht="13.5" customHeight="1">
      <c r="A341" s="758">
        <f>IF(B341&lt;&gt;"",A340+1,"")</f>
        <v>145</v>
      </c>
      <c r="B341" s="293" t="s">
        <v>744</v>
      </c>
      <c r="C341" s="25">
        <f t="shared" si="99"/>
        <v>7192500</v>
      </c>
      <c r="D341" s="759">
        <f t="shared" si="113"/>
        <v>435215.17815826007</v>
      </c>
      <c r="E341" s="759">
        <f t="shared" si="108"/>
        <v>114807.26515502084</v>
      </c>
      <c r="F341" s="759">
        <f t="shared" si="113"/>
        <v>243658.23692734845</v>
      </c>
      <c r="G341" s="759">
        <f t="shared" si="113"/>
        <v>44273.947246645075</v>
      </c>
      <c r="H341" s="759">
        <f t="shared" si="113"/>
        <v>422258.21378991212</v>
      </c>
      <c r="I341" s="759">
        <f t="shared" si="113"/>
        <v>73226.399814900506</v>
      </c>
      <c r="J341" s="360"/>
      <c r="K341" s="25">
        <f t="shared" si="111"/>
        <v>8525939.2410920858</v>
      </c>
      <c r="L341" s="759">
        <v>600</v>
      </c>
      <c r="M341" s="759">
        <f t="shared" si="100"/>
        <v>14209.898735153476</v>
      </c>
      <c r="N341" s="671">
        <v>17333</v>
      </c>
      <c r="O341" s="671"/>
      <c r="P341" s="40" t="s">
        <v>490</v>
      </c>
      <c r="Q341" s="776">
        <v>40813</v>
      </c>
      <c r="R341" s="775"/>
      <c r="S341" s="301">
        <f>L341/2</f>
        <v>300</v>
      </c>
      <c r="T341" s="808">
        <v>23975</v>
      </c>
      <c r="U341" s="25">
        <f t="shared" si="77"/>
        <v>7192500</v>
      </c>
      <c r="V341" s="451"/>
      <c r="W341" s="776"/>
      <c r="X341" s="808"/>
      <c r="Y341" s="808"/>
      <c r="Z341" s="25"/>
    </row>
    <row r="342" spans="1:26" ht="13.5" customHeight="1">
      <c r="A342" s="758">
        <f>IF(B342&lt;&gt;"",A341+1,"")</f>
        <v>146</v>
      </c>
      <c r="B342" s="293" t="s">
        <v>743</v>
      </c>
      <c r="C342" s="25">
        <f t="shared" si="99"/>
        <v>1227437</v>
      </c>
      <c r="D342" s="759">
        <f t="shared" ref="D342:I348" si="116">IF($L$350&lt;&gt;0,D$350/$L$350*$L342,0)</f>
        <v>90669.828782970857</v>
      </c>
      <c r="E342" s="759">
        <f t="shared" si="108"/>
        <v>23918.180240629339</v>
      </c>
      <c r="F342" s="759">
        <f t="shared" si="116"/>
        <v>50762.132693197593</v>
      </c>
      <c r="G342" s="759">
        <f t="shared" si="116"/>
        <v>9223.7390097177231</v>
      </c>
      <c r="H342" s="759">
        <f t="shared" si="116"/>
        <v>87970.461206231688</v>
      </c>
      <c r="I342" s="759">
        <f t="shared" si="116"/>
        <v>15255.499961437605</v>
      </c>
      <c r="J342" s="360"/>
      <c r="K342" s="25">
        <f t="shared" si="111"/>
        <v>1505236.8418941847</v>
      </c>
      <c r="L342" s="759">
        <v>125</v>
      </c>
      <c r="M342" s="759">
        <f t="shared" si="100"/>
        <v>12041.894735153477</v>
      </c>
      <c r="N342" s="671">
        <v>13169</v>
      </c>
      <c r="O342" s="671"/>
      <c r="P342" s="188" t="s">
        <v>455</v>
      </c>
      <c r="Q342" s="776">
        <v>40813</v>
      </c>
      <c r="R342" s="775"/>
      <c r="S342" s="301">
        <f t="shared" ref="S342" si="117">L342/2</f>
        <v>62.5</v>
      </c>
      <c r="T342" s="808">
        <v>19638.991999999998</v>
      </c>
      <c r="U342" s="25">
        <f t="shared" si="77"/>
        <v>1227437</v>
      </c>
      <c r="V342" s="451"/>
      <c r="W342" s="776"/>
      <c r="X342" s="808"/>
      <c r="Y342" s="808"/>
      <c r="Z342" s="25"/>
    </row>
    <row r="343" spans="1:26" ht="13.5" customHeight="1">
      <c r="A343" s="758">
        <f t="shared" si="112"/>
        <v>147</v>
      </c>
      <c r="B343" s="293" t="s">
        <v>745</v>
      </c>
      <c r="C343" s="25">
        <f t="shared" si="99"/>
        <v>1776600</v>
      </c>
      <c r="D343" s="759">
        <f t="shared" si="116"/>
        <v>108803.79453956502</v>
      </c>
      <c r="E343" s="759">
        <f t="shared" si="108"/>
        <v>28701.81628875521</v>
      </c>
      <c r="F343" s="759">
        <f t="shared" si="116"/>
        <v>60914.559231837113</v>
      </c>
      <c r="G343" s="759">
        <f t="shared" si="116"/>
        <v>11068.486811661269</v>
      </c>
      <c r="H343" s="759">
        <f t="shared" si="116"/>
        <v>105564.55344747803</v>
      </c>
      <c r="I343" s="759">
        <f t="shared" si="116"/>
        <v>18306.599953725126</v>
      </c>
      <c r="J343" s="360"/>
      <c r="K343" s="25">
        <f t="shared" si="111"/>
        <v>2109959.8102730215</v>
      </c>
      <c r="L343" s="759">
        <v>150</v>
      </c>
      <c r="M343" s="759">
        <f t="shared" si="100"/>
        <v>14066.398735153476</v>
      </c>
      <c r="N343" s="671">
        <v>15453</v>
      </c>
      <c r="O343" s="671"/>
      <c r="P343" s="40" t="s">
        <v>488</v>
      </c>
      <c r="Q343" s="776">
        <v>40813</v>
      </c>
      <c r="R343" s="775"/>
      <c r="S343" s="301">
        <f>L343/2</f>
        <v>75</v>
      </c>
      <c r="T343" s="808">
        <v>23688</v>
      </c>
      <c r="U343" s="25">
        <f t="shared" si="77"/>
        <v>1776600</v>
      </c>
      <c r="V343" s="451"/>
      <c r="W343" s="776"/>
      <c r="X343" s="808"/>
      <c r="Y343" s="808"/>
      <c r="Z343" s="25"/>
    </row>
    <row r="344" spans="1:26" ht="13.5" customHeight="1">
      <c r="A344" s="758">
        <f t="shared" si="112"/>
        <v>148</v>
      </c>
      <c r="B344" s="293" t="s">
        <v>746</v>
      </c>
      <c r="C344" s="25">
        <f t="shared" si="99"/>
        <v>690525</v>
      </c>
      <c r="D344" s="759">
        <f t="shared" si="116"/>
        <v>65282.276723739014</v>
      </c>
      <c r="E344" s="759">
        <f t="shared" si="108"/>
        <v>17221.089773253123</v>
      </c>
      <c r="F344" s="759">
        <f t="shared" si="116"/>
        <v>36548.735539102265</v>
      </c>
      <c r="G344" s="759">
        <f t="shared" si="116"/>
        <v>6641.0920869967613</v>
      </c>
      <c r="H344" s="759">
        <f t="shared" si="116"/>
        <v>63338.732068486817</v>
      </c>
      <c r="I344" s="759">
        <f t="shared" si="116"/>
        <v>10983.959972235076</v>
      </c>
      <c r="J344" s="360"/>
      <c r="K344" s="25">
        <f t="shared" si="111"/>
        <v>890540.88616381295</v>
      </c>
      <c r="L344" s="759">
        <v>90</v>
      </c>
      <c r="M344" s="759">
        <f t="shared" si="100"/>
        <v>9894.8987351534779</v>
      </c>
      <c r="N344" s="671">
        <v>11613</v>
      </c>
      <c r="O344" s="671"/>
      <c r="P344" s="188" t="s">
        <v>438</v>
      </c>
      <c r="Q344" s="776">
        <v>40813</v>
      </c>
      <c r="R344" s="775"/>
      <c r="S344" s="301">
        <f t="shared" ref="S344" si="118">L344/2</f>
        <v>45</v>
      </c>
      <c r="T344" s="808">
        <v>15345</v>
      </c>
      <c r="U344" s="25">
        <f t="shared" si="77"/>
        <v>690525</v>
      </c>
      <c r="V344" s="451"/>
      <c r="W344" s="776"/>
      <c r="X344" s="808"/>
      <c r="Y344" s="808"/>
      <c r="Z344" s="25"/>
    </row>
    <row r="345" spans="1:26" ht="13.5" customHeight="1">
      <c r="A345" s="758">
        <f t="shared" si="112"/>
        <v>149</v>
      </c>
      <c r="B345" s="293" t="s">
        <v>746</v>
      </c>
      <c r="C345" s="25">
        <f t="shared" si="99"/>
        <v>1678700</v>
      </c>
      <c r="D345" s="759">
        <f t="shared" si="116"/>
        <v>145071.72605275337</v>
      </c>
      <c r="E345" s="759">
        <f t="shared" si="108"/>
        <v>38269.088385006944</v>
      </c>
      <c r="F345" s="759">
        <f t="shared" si="116"/>
        <v>81219.412309116145</v>
      </c>
      <c r="G345" s="759">
        <f t="shared" si="116"/>
        <v>14757.982415548358</v>
      </c>
      <c r="H345" s="759">
        <f t="shared" si="116"/>
        <v>140752.7379299707</v>
      </c>
      <c r="I345" s="759">
        <f t="shared" si="116"/>
        <v>24408.79993830017</v>
      </c>
      <c r="J345" s="360"/>
      <c r="K345" s="25">
        <f t="shared" si="111"/>
        <v>2123179.7470306954</v>
      </c>
      <c r="L345" s="759">
        <v>200</v>
      </c>
      <c r="M345" s="759">
        <f t="shared" si="100"/>
        <v>10615.898735153478</v>
      </c>
      <c r="N345" s="671">
        <v>11613</v>
      </c>
      <c r="O345" s="671"/>
      <c r="P345" s="188" t="s">
        <v>454</v>
      </c>
      <c r="Q345" s="776">
        <v>40813</v>
      </c>
      <c r="R345" s="775"/>
      <c r="S345" s="301">
        <v>100</v>
      </c>
      <c r="T345" s="808">
        <v>16787</v>
      </c>
      <c r="U345" s="25">
        <f t="shared" si="77"/>
        <v>1678700</v>
      </c>
      <c r="V345" s="451"/>
      <c r="W345" s="776"/>
      <c r="X345" s="808"/>
      <c r="Y345" s="808"/>
      <c r="Z345" s="25"/>
    </row>
    <row r="346" spans="1:26" ht="13.5" customHeight="1">
      <c r="A346" s="758">
        <f t="shared" si="112"/>
        <v>150</v>
      </c>
      <c r="B346" s="293" t="s">
        <v>747</v>
      </c>
      <c r="C346" s="25">
        <f t="shared" si="99"/>
        <v>662860</v>
      </c>
      <c r="D346" s="759">
        <f t="shared" si="116"/>
        <v>79789.449329014344</v>
      </c>
      <c r="E346" s="759">
        <f t="shared" si="108"/>
        <v>21047.998611753821</v>
      </c>
      <c r="F346" s="759">
        <f t="shared" si="116"/>
        <v>44670.676770013881</v>
      </c>
      <c r="G346" s="759">
        <f t="shared" si="116"/>
        <v>8116.8903285515971</v>
      </c>
      <c r="H346" s="759">
        <f t="shared" si="116"/>
        <v>77414.005861483893</v>
      </c>
      <c r="I346" s="759">
        <f t="shared" si="116"/>
        <v>13424.839966065092</v>
      </c>
      <c r="J346" s="360"/>
      <c r="K346" s="25">
        <f t="shared" si="111"/>
        <v>907323.86086688272</v>
      </c>
      <c r="L346" s="759">
        <v>110</v>
      </c>
      <c r="M346" s="759">
        <f t="shared" si="100"/>
        <v>8248.3987351534797</v>
      </c>
      <c r="N346" s="671">
        <v>10580</v>
      </c>
      <c r="O346" s="671"/>
      <c r="P346" s="293" t="s">
        <v>394</v>
      </c>
      <c r="Q346" s="776">
        <v>40813</v>
      </c>
      <c r="R346" s="775"/>
      <c r="S346" s="301">
        <f>L346</f>
        <v>110</v>
      </c>
      <c r="T346" s="808">
        <v>6026</v>
      </c>
      <c r="U346" s="25">
        <f t="shared" si="77"/>
        <v>662860</v>
      </c>
      <c r="V346" s="451"/>
      <c r="W346" s="776"/>
      <c r="X346" s="808"/>
      <c r="Y346" s="808"/>
      <c r="Z346" s="25"/>
    </row>
    <row r="347" spans="1:26" ht="13.5" customHeight="1">
      <c r="A347" s="758">
        <f t="shared" si="112"/>
        <v>151</v>
      </c>
      <c r="B347" s="293" t="s">
        <v>745</v>
      </c>
      <c r="C347" s="25">
        <f t="shared" si="99"/>
        <v>3579996</v>
      </c>
      <c r="D347" s="759">
        <f t="shared" si="116"/>
        <v>199473.62332253589</v>
      </c>
      <c r="E347" s="759">
        <f t="shared" si="108"/>
        <v>52619.996529384545</v>
      </c>
      <c r="F347" s="759">
        <f t="shared" si="116"/>
        <v>111676.6919250347</v>
      </c>
      <c r="G347" s="759">
        <f t="shared" si="116"/>
        <v>20292.225821378994</v>
      </c>
      <c r="H347" s="759">
        <f t="shared" si="116"/>
        <v>193535.01465370972</v>
      </c>
      <c r="I347" s="759">
        <f t="shared" si="116"/>
        <v>33562.099915162733</v>
      </c>
      <c r="J347" s="360"/>
      <c r="K347" s="25">
        <f t="shared" si="111"/>
        <v>4191155.6521672066</v>
      </c>
      <c r="L347" s="759">
        <v>275</v>
      </c>
      <c r="M347" s="759">
        <f t="shared" si="100"/>
        <v>15240.56600788075</v>
      </c>
      <c r="N347" s="671">
        <v>15453</v>
      </c>
      <c r="O347" s="671"/>
      <c r="P347" s="40" t="s">
        <v>465</v>
      </c>
      <c r="Q347" s="776">
        <v>40813</v>
      </c>
      <c r="R347" s="775"/>
      <c r="S347" s="301">
        <v>138</v>
      </c>
      <c r="T347" s="808">
        <v>25942</v>
      </c>
      <c r="U347" s="25">
        <f t="shared" si="77"/>
        <v>3579996</v>
      </c>
      <c r="V347" s="451"/>
      <c r="W347" s="776"/>
      <c r="X347" s="808"/>
      <c r="Y347" s="808"/>
      <c r="Z347" s="25"/>
    </row>
    <row r="348" spans="1:26" ht="13.5" customHeight="1">
      <c r="A348" s="758">
        <f t="shared" si="112"/>
        <v>152</v>
      </c>
      <c r="B348" s="293" t="s">
        <v>745</v>
      </c>
      <c r="C348" s="25">
        <f t="shared" si="99"/>
        <v>2258370</v>
      </c>
      <c r="D348" s="759">
        <f t="shared" si="116"/>
        <v>166832.48496066636</v>
      </c>
      <c r="E348" s="759">
        <f t="shared" si="108"/>
        <v>44009.451642757987</v>
      </c>
      <c r="F348" s="759">
        <f t="shared" si="116"/>
        <v>93402.324155483569</v>
      </c>
      <c r="G348" s="759">
        <f t="shared" si="116"/>
        <v>16971.67977788061</v>
      </c>
      <c r="H348" s="759">
        <f t="shared" si="116"/>
        <v>161865.64861946632</v>
      </c>
      <c r="I348" s="759">
        <f t="shared" si="116"/>
        <v>28070.119929045195</v>
      </c>
      <c r="J348" s="360"/>
      <c r="K348" s="25">
        <f t="shared" si="111"/>
        <v>2769521.7090853001</v>
      </c>
      <c r="L348" s="759">
        <v>230</v>
      </c>
      <c r="M348" s="759">
        <f t="shared" si="100"/>
        <v>12041.398735153478</v>
      </c>
      <c r="N348" s="671">
        <v>13169</v>
      </c>
      <c r="O348" s="671"/>
      <c r="P348" s="188" t="s">
        <v>428</v>
      </c>
      <c r="Q348" s="776">
        <v>40813</v>
      </c>
      <c r="R348" s="775"/>
      <c r="S348" s="301">
        <f t="shared" ref="S348" si="119">L348/2</f>
        <v>115</v>
      </c>
      <c r="T348" s="808">
        <v>19638</v>
      </c>
      <c r="U348" s="25">
        <f t="shared" si="77"/>
        <v>2258370</v>
      </c>
      <c r="V348" s="451"/>
      <c r="W348" s="776"/>
      <c r="X348" s="808"/>
      <c r="Y348" s="808"/>
      <c r="Z348" s="25"/>
    </row>
    <row r="349" spans="1:26" s="780" customFormat="1" ht="13.5" customHeight="1">
      <c r="A349" s="758" t="str">
        <f>IF(B349&lt;&gt;"",#REF!+1,"")</f>
        <v/>
      </c>
      <c r="B349" s="792"/>
      <c r="C349" s="25"/>
      <c r="D349" s="759"/>
      <c r="E349" s="759"/>
      <c r="F349" s="759"/>
      <c r="G349" s="759"/>
      <c r="H349" s="759"/>
      <c r="I349" s="759"/>
      <c r="J349" s="360"/>
      <c r="K349" s="25"/>
      <c r="L349" s="254"/>
      <c r="M349" s="759"/>
      <c r="N349" s="671"/>
      <c r="O349" s="671"/>
      <c r="P349" s="451"/>
      <c r="Q349" s="776"/>
      <c r="R349" s="775"/>
      <c r="S349" s="301"/>
      <c r="T349" s="808"/>
      <c r="U349" s="25">
        <f t="shared" si="77"/>
        <v>0</v>
      </c>
      <c r="V349" s="451"/>
      <c r="W349" s="776"/>
      <c r="X349" s="808"/>
      <c r="Y349" s="808"/>
      <c r="Z349" s="25">
        <f t="shared" si="72"/>
        <v>0</v>
      </c>
    </row>
    <row r="350" spans="1:26" s="755" customFormat="1" ht="13.5" customHeight="1">
      <c r="A350" s="760"/>
      <c r="B350" s="761" t="s">
        <v>258</v>
      </c>
      <c r="C350" s="538">
        <f>SUM(C196:C349)</f>
        <v>206807315</v>
      </c>
      <c r="D350" s="538">
        <v>18810000</v>
      </c>
      <c r="E350" s="538">
        <f>$Z$350</f>
        <v>4961970</v>
      </c>
      <c r="F350" s="538">
        <v>10530909</v>
      </c>
      <c r="G350" s="538">
        <v>1913520</v>
      </c>
      <c r="H350" s="538">
        <v>18250000</v>
      </c>
      <c r="I350" s="538">
        <v>3164845</v>
      </c>
      <c r="J350" s="452">
        <f>ROUND(SUM(J196:J349),0)</f>
        <v>0</v>
      </c>
      <c r="K350" s="538">
        <f>ROUND(SUM(K196:K349),0)</f>
        <v>264438569</v>
      </c>
      <c r="L350" s="538">
        <f>ROUND(SUM(L196:L349),0)</f>
        <v>25932</v>
      </c>
      <c r="M350" s="538"/>
      <c r="N350" s="769"/>
      <c r="O350" s="769"/>
      <c r="P350" s="781"/>
      <c r="Q350" s="782"/>
      <c r="R350" s="783"/>
      <c r="S350" s="831"/>
      <c r="T350" s="27"/>
      <c r="U350" s="47">
        <f>SUM(U196:U349)</f>
        <v>206807315</v>
      </c>
      <c r="V350" s="781"/>
      <c r="W350" s="782"/>
      <c r="X350" s="795"/>
      <c r="Y350" s="27"/>
      <c r="Z350" s="47">
        <f>SUM(Z196:Z349)</f>
        <v>4961970</v>
      </c>
    </row>
    <row r="351" spans="1:26" s="755" customFormat="1">
      <c r="A351" s="762"/>
      <c r="B351" s="763"/>
      <c r="C351" s="756"/>
      <c r="D351" s="756"/>
      <c r="E351" s="756"/>
      <c r="F351" s="756"/>
      <c r="G351" s="756"/>
      <c r="H351" s="756"/>
      <c r="I351" s="756"/>
      <c r="J351" s="453"/>
      <c r="K351" s="756"/>
      <c r="L351" s="756"/>
      <c r="M351" s="756"/>
      <c r="N351" s="769"/>
      <c r="O351" s="769"/>
      <c r="P351" s="289"/>
      <c r="Q351" s="748"/>
      <c r="R351" s="768"/>
      <c r="S351" s="822"/>
      <c r="T351" s="289"/>
      <c r="U351" s="754"/>
      <c r="V351" s="289"/>
      <c r="W351" s="748"/>
      <c r="X351" s="289"/>
      <c r="Y351" s="289"/>
      <c r="Z351" s="754"/>
    </row>
    <row r="352" spans="1:26" ht="18" customHeight="1">
      <c r="A352" s="576" t="str">
        <f>TH!$A$1</f>
        <v>Đơn vị: CÔNG TY TNHH MỘT THÀNH VIÊN KHỞI NGUYÊN AN</v>
      </c>
      <c r="B352" s="755"/>
      <c r="C352" s="289"/>
      <c r="D352" s="289"/>
      <c r="E352" s="289"/>
      <c r="F352" s="289"/>
      <c r="G352" s="289"/>
      <c r="H352" s="289"/>
      <c r="I352" s="289"/>
      <c r="J352" s="439"/>
      <c r="K352" s="289"/>
      <c r="L352" s="604"/>
      <c r="M352" s="289"/>
      <c r="N352" s="769"/>
      <c r="O352" s="769"/>
      <c r="P352" s="289"/>
      <c r="Q352" s="748"/>
      <c r="V352" s="289"/>
      <c r="W352" s="748"/>
    </row>
    <row r="353" spans="1:26" ht="18.75" customHeight="1">
      <c r="A353" s="756" t="s">
        <v>554</v>
      </c>
      <c r="B353" s="756"/>
      <c r="C353" s="756"/>
      <c r="D353" s="756"/>
      <c r="E353" s="756"/>
      <c r="F353" s="756"/>
      <c r="G353" s="756"/>
      <c r="H353" s="756"/>
      <c r="I353" s="756"/>
      <c r="J353" s="440"/>
      <c r="K353" s="756"/>
      <c r="L353" s="756"/>
      <c r="M353" s="756"/>
      <c r="N353" s="769"/>
      <c r="O353" s="769"/>
      <c r="P353" s="289"/>
      <c r="Q353" s="748"/>
      <c r="V353" s="289"/>
      <c r="W353" s="748"/>
    </row>
    <row r="354" spans="1:26" ht="18.75" hidden="1" customHeight="1">
      <c r="A354" s="756"/>
      <c r="B354" s="757"/>
      <c r="C354" s="757"/>
      <c r="D354" s="757"/>
      <c r="E354" s="757"/>
      <c r="F354" s="757"/>
      <c r="G354" s="757"/>
      <c r="H354" s="757"/>
      <c r="I354" s="756"/>
      <c r="J354" s="441"/>
      <c r="K354" s="757"/>
      <c r="L354" s="770"/>
      <c r="M354" s="757"/>
      <c r="N354" s="769"/>
      <c r="O354" s="769"/>
      <c r="P354" s="289"/>
      <c r="Q354" s="748"/>
      <c r="V354" s="289"/>
      <c r="W354" s="748"/>
    </row>
    <row r="355" spans="1:26" ht="12.75" customHeight="1">
      <c r="A355" s="812"/>
      <c r="B355" s="804"/>
      <c r="C355" s="804"/>
      <c r="D355" s="804"/>
      <c r="E355" s="804"/>
      <c r="F355" s="804"/>
      <c r="G355" s="804"/>
      <c r="H355" s="804"/>
      <c r="I355" s="804"/>
      <c r="J355" s="442"/>
      <c r="K355" s="804"/>
      <c r="L355" s="771"/>
      <c r="M355" s="804"/>
      <c r="N355" s="769"/>
      <c r="O355" s="769"/>
      <c r="P355" s="289"/>
      <c r="Q355" s="748"/>
      <c r="V355" s="289"/>
      <c r="W355" s="748"/>
    </row>
    <row r="356" spans="1:26" s="448" customFormat="1" ht="30.75" customHeight="1">
      <c r="A356" s="836" t="s">
        <v>35</v>
      </c>
      <c r="B356" s="443" t="s">
        <v>246</v>
      </c>
      <c r="C356" s="444" t="s">
        <v>250</v>
      </c>
      <c r="D356" s="444" t="s">
        <v>562</v>
      </c>
      <c r="E356" s="444" t="s">
        <v>251</v>
      </c>
      <c r="F356" s="444" t="s">
        <v>550</v>
      </c>
      <c r="G356" s="444" t="s">
        <v>252</v>
      </c>
      <c r="H356" s="445" t="s">
        <v>253</v>
      </c>
      <c r="I356" s="444" t="s">
        <v>549</v>
      </c>
      <c r="J356" s="445" t="s">
        <v>254</v>
      </c>
      <c r="K356" s="444" t="s">
        <v>255</v>
      </c>
      <c r="L356" s="446" t="s">
        <v>248</v>
      </c>
      <c r="M356" s="444" t="s">
        <v>256</v>
      </c>
      <c r="N356" s="447"/>
      <c r="O356" s="447"/>
      <c r="P356" s="443" t="s">
        <v>246</v>
      </c>
      <c r="Q356" s="444" t="s">
        <v>240</v>
      </c>
      <c r="R356" s="749"/>
      <c r="S356" s="824" t="s">
        <v>205</v>
      </c>
      <c r="T356" s="444" t="s">
        <v>249</v>
      </c>
      <c r="U356" s="444" t="s">
        <v>257</v>
      </c>
      <c r="V356" s="443" t="s">
        <v>246</v>
      </c>
      <c r="W356" s="444" t="s">
        <v>240</v>
      </c>
      <c r="X356" s="444" t="s">
        <v>205</v>
      </c>
      <c r="Y356" s="444" t="s">
        <v>249</v>
      </c>
      <c r="Z356" s="443" t="s">
        <v>257</v>
      </c>
    </row>
    <row r="357" spans="1:26" ht="16.5" customHeight="1">
      <c r="A357" s="758">
        <v>1</v>
      </c>
      <c r="B357" s="293" t="s">
        <v>790</v>
      </c>
      <c r="C357" s="25">
        <f>U357</f>
        <v>22794000</v>
      </c>
      <c r="D357" s="759">
        <f t="shared" ref="D357:J372" si="120">IF($L$599&lt;&gt;0,D$599/$L$599*$L357,0)</f>
        <v>951901.33156419208</v>
      </c>
      <c r="E357" s="759">
        <f t="shared" si="120"/>
        <v>301211.71913454746</v>
      </c>
      <c r="F357" s="759">
        <f t="shared" si="120"/>
        <v>649448.92674470867</v>
      </c>
      <c r="G357" s="759">
        <f t="shared" si="120"/>
        <v>51910.338776296361</v>
      </c>
      <c r="H357" s="759">
        <f t="shared" si="120"/>
        <v>945170.88621139817</v>
      </c>
      <c r="I357" s="759">
        <f t="shared" si="120"/>
        <v>242746.6073148287</v>
      </c>
      <c r="J357" s="360">
        <f t="shared" si="120"/>
        <v>0</v>
      </c>
      <c r="K357" s="25">
        <f>SUM(C357:I357)</f>
        <v>25936389.809745971</v>
      </c>
      <c r="L357" s="759">
        <v>2420</v>
      </c>
      <c r="M357" s="759">
        <f>IF(L357&lt;&gt;"",K357/L357,"")</f>
        <v>10717.516450308252</v>
      </c>
      <c r="N357" s="671">
        <v>17447.77438016529</v>
      </c>
      <c r="O357" s="671"/>
      <c r="P357" s="40" t="s">
        <v>511</v>
      </c>
      <c r="Q357" s="774">
        <v>40821</v>
      </c>
      <c r="R357" s="775"/>
      <c r="S357" s="301">
        <v>1200</v>
      </c>
      <c r="T357" s="797">
        <v>18995</v>
      </c>
      <c r="U357" s="25">
        <f t="shared" ref="U357:U598" si="121">ROUND(S357*T357,0)</f>
        <v>22794000</v>
      </c>
      <c r="V357" s="449" t="s">
        <v>383</v>
      </c>
      <c r="W357" s="774">
        <v>40817</v>
      </c>
      <c r="X357" s="808">
        <v>50</v>
      </c>
      <c r="Y357" s="797">
        <v>25000</v>
      </c>
      <c r="Z357" s="25">
        <f t="shared" ref="Z357:Z598" si="122">ROUND(X357*Y357,0)</f>
        <v>1250000</v>
      </c>
    </row>
    <row r="358" spans="1:26" ht="16.5" customHeight="1">
      <c r="A358" s="758">
        <f t="shared" ref="A358:A421" si="123">IF(B358&lt;&gt;"",A357+1,"")</f>
        <v>2</v>
      </c>
      <c r="B358" s="293" t="s">
        <v>791</v>
      </c>
      <c r="C358" s="25">
        <f t="shared" ref="C358:C421" si="124">U358</f>
        <v>28272900</v>
      </c>
      <c r="D358" s="759">
        <f t="shared" si="120"/>
        <v>1162013.5310317159</v>
      </c>
      <c r="E358" s="759">
        <f t="shared" si="120"/>
        <v>367697.87133769307</v>
      </c>
      <c r="F358" s="759">
        <f t="shared" si="120"/>
        <v>792801.118737048</v>
      </c>
      <c r="G358" s="759">
        <f t="shared" si="120"/>
        <v>63368.454332736677</v>
      </c>
      <c r="H358" s="759">
        <f t="shared" si="120"/>
        <v>1153797.4814155602</v>
      </c>
      <c r="I358" s="759">
        <f t="shared" si="120"/>
        <v>296327.81566589454</v>
      </c>
      <c r="J358" s="360">
        <f t="shared" si="120"/>
        <v>0</v>
      </c>
      <c r="K358" s="25">
        <f t="shared" ref="K358:K421" si="125">SUM(C358:I358)-1</f>
        <v>32108905.272520646</v>
      </c>
      <c r="L358" s="759">
        <v>2954.1641048824595</v>
      </c>
      <c r="M358" s="759">
        <f t="shared" ref="M358" si="126">IF(L358&lt;&gt;"",K358/L358,"")</f>
        <v>10869.032366703337</v>
      </c>
      <c r="N358" s="671">
        <v>19908</v>
      </c>
      <c r="O358" s="671"/>
      <c r="P358" s="40" t="s">
        <v>507</v>
      </c>
      <c r="Q358" s="774">
        <v>40831</v>
      </c>
      <c r="R358" s="775"/>
      <c r="S358" s="301">
        <v>1460</v>
      </c>
      <c r="T358" s="806">
        <v>19365</v>
      </c>
      <c r="U358" s="25">
        <f t="shared" si="121"/>
        <v>28272900</v>
      </c>
      <c r="V358" s="449" t="s">
        <v>383</v>
      </c>
      <c r="W358" s="774">
        <v>40847</v>
      </c>
      <c r="X358" s="808">
        <v>50</v>
      </c>
      <c r="Y358" s="806">
        <v>25000</v>
      </c>
      <c r="Z358" s="25">
        <f t="shared" si="122"/>
        <v>1250000</v>
      </c>
    </row>
    <row r="359" spans="1:26" ht="16.5" customHeight="1">
      <c r="A359" s="758">
        <f t="shared" si="123"/>
        <v>3</v>
      </c>
      <c r="B359" s="293" t="s">
        <v>803</v>
      </c>
      <c r="C359" s="25">
        <f t="shared" si="124"/>
        <v>1283249</v>
      </c>
      <c r="D359" s="759">
        <f t="shared" si="120"/>
        <v>47201.718920538449</v>
      </c>
      <c r="E359" s="759">
        <f t="shared" si="120"/>
        <v>14936.118304192438</v>
      </c>
      <c r="F359" s="759">
        <f t="shared" si="120"/>
        <v>32204.079012134313</v>
      </c>
      <c r="G359" s="759">
        <f t="shared" si="120"/>
        <v>2574.0663856014726</v>
      </c>
      <c r="H359" s="759">
        <f t="shared" si="120"/>
        <v>46867.97782866437</v>
      </c>
      <c r="I359" s="759">
        <f t="shared" si="120"/>
        <v>12037.021850322084</v>
      </c>
      <c r="J359" s="360">
        <f t="shared" si="120"/>
        <v>0</v>
      </c>
      <c r="K359" s="25">
        <f t="shared" si="125"/>
        <v>1439068.9823014531</v>
      </c>
      <c r="L359" s="759">
        <v>120</v>
      </c>
      <c r="M359" s="759">
        <f t="shared" ref="M359:M422" si="127">IF(L359&lt;&gt;"",K359/L359,"")</f>
        <v>11992.241519178777</v>
      </c>
      <c r="N359" s="671">
        <v>20820</v>
      </c>
      <c r="O359" s="671"/>
      <c r="P359" s="188" t="s">
        <v>442</v>
      </c>
      <c r="Q359" s="774">
        <v>40833</v>
      </c>
      <c r="R359" s="775"/>
      <c r="S359" s="301">
        <v>43</v>
      </c>
      <c r="T359" s="806">
        <v>29843</v>
      </c>
      <c r="U359" s="25">
        <f t="shared" ref="U359:U422" si="128">ROUND(S359*T359,0)</f>
        <v>1283249</v>
      </c>
      <c r="V359" s="451" t="s">
        <v>392</v>
      </c>
      <c r="W359" s="774">
        <v>40817</v>
      </c>
      <c r="X359" s="806">
        <v>1</v>
      </c>
      <c r="Y359" s="806">
        <v>1300000</v>
      </c>
      <c r="Z359" s="25">
        <f t="shared" ref="Z359:Z422" si="129">ROUND(X359*Y359,0)</f>
        <v>1300000</v>
      </c>
    </row>
    <row r="360" spans="1:26" ht="16.5" customHeight="1">
      <c r="A360" s="758">
        <f t="shared" si="123"/>
        <v>4</v>
      </c>
      <c r="B360" s="293" t="s">
        <v>802</v>
      </c>
      <c r="C360" s="25">
        <f t="shared" si="124"/>
        <v>955600</v>
      </c>
      <c r="D360" s="759">
        <f t="shared" si="120"/>
        <v>39334.765767115372</v>
      </c>
      <c r="E360" s="759">
        <f t="shared" si="120"/>
        <v>12446.765253493697</v>
      </c>
      <c r="F360" s="759">
        <f t="shared" si="120"/>
        <v>26836.732510111928</v>
      </c>
      <c r="G360" s="759">
        <f t="shared" si="120"/>
        <v>2145.0553213345602</v>
      </c>
      <c r="H360" s="759">
        <f t="shared" si="120"/>
        <v>39056.648190553642</v>
      </c>
      <c r="I360" s="759">
        <f t="shared" si="120"/>
        <v>10030.85154193507</v>
      </c>
      <c r="J360" s="360">
        <f t="shared" si="120"/>
        <v>0</v>
      </c>
      <c r="K360" s="25">
        <f t="shared" si="125"/>
        <v>1085449.8185845441</v>
      </c>
      <c r="L360" s="759">
        <v>100</v>
      </c>
      <c r="M360" s="759">
        <f t="shared" si="127"/>
        <v>10854.498185845441</v>
      </c>
      <c r="N360" s="671">
        <v>14880</v>
      </c>
      <c r="O360" s="671"/>
      <c r="P360" s="188" t="s">
        <v>399</v>
      </c>
      <c r="Q360" s="774">
        <v>40833</v>
      </c>
      <c r="R360" s="775"/>
      <c r="S360" s="301">
        <v>50</v>
      </c>
      <c r="T360" s="806">
        <v>19112</v>
      </c>
      <c r="U360" s="25">
        <f t="shared" si="128"/>
        <v>955600</v>
      </c>
      <c r="V360" s="451" t="s">
        <v>358</v>
      </c>
      <c r="W360" s="774">
        <v>40822</v>
      </c>
      <c r="X360" s="753">
        <v>48</v>
      </c>
      <c r="Y360" s="253">
        <v>42000</v>
      </c>
      <c r="Z360" s="25">
        <f t="shared" si="129"/>
        <v>2016000</v>
      </c>
    </row>
    <row r="361" spans="1:26" ht="16.5" customHeight="1">
      <c r="A361" s="758">
        <f t="shared" si="123"/>
        <v>5</v>
      </c>
      <c r="B361" s="293" t="s">
        <v>804</v>
      </c>
      <c r="C361" s="25">
        <f t="shared" si="124"/>
        <v>3164980</v>
      </c>
      <c r="D361" s="759">
        <f t="shared" si="120"/>
        <v>98336.91441778843</v>
      </c>
      <c r="E361" s="759">
        <f t="shared" si="120"/>
        <v>31116.913133734244</v>
      </c>
      <c r="F361" s="759">
        <f t="shared" si="120"/>
        <v>67091.831275279823</v>
      </c>
      <c r="G361" s="759">
        <f t="shared" si="120"/>
        <v>5362.6383033364009</v>
      </c>
      <c r="H361" s="759">
        <f t="shared" si="120"/>
        <v>97641.620476384109</v>
      </c>
      <c r="I361" s="759">
        <f t="shared" si="120"/>
        <v>25077.128854837676</v>
      </c>
      <c r="J361" s="360">
        <f t="shared" si="120"/>
        <v>0</v>
      </c>
      <c r="K361" s="25">
        <f t="shared" si="125"/>
        <v>3489606.0464613605</v>
      </c>
      <c r="L361" s="759">
        <v>250</v>
      </c>
      <c r="M361" s="759">
        <f t="shared" si="127"/>
        <v>13958.424185845442</v>
      </c>
      <c r="N361" s="671">
        <v>26203</v>
      </c>
      <c r="O361" s="671"/>
      <c r="P361" s="291" t="s">
        <v>377</v>
      </c>
      <c r="Q361" s="774">
        <v>40833</v>
      </c>
      <c r="R361" s="775"/>
      <c r="S361" s="301">
        <v>130</v>
      </c>
      <c r="T361" s="806">
        <v>24346</v>
      </c>
      <c r="U361" s="25">
        <f t="shared" si="128"/>
        <v>3164980</v>
      </c>
      <c r="V361" s="451"/>
      <c r="W361" s="774"/>
      <c r="X361" s="808"/>
      <c r="Y361" s="806"/>
      <c r="Z361" s="25">
        <f t="shared" si="129"/>
        <v>0</v>
      </c>
    </row>
    <row r="362" spans="1:26" ht="16.5" customHeight="1">
      <c r="A362" s="758">
        <f t="shared" si="123"/>
        <v>6</v>
      </c>
      <c r="B362" s="293" t="s">
        <v>805</v>
      </c>
      <c r="C362" s="25">
        <f t="shared" si="124"/>
        <v>1056020</v>
      </c>
      <c r="D362" s="759">
        <f t="shared" si="120"/>
        <v>55068.672073961527</v>
      </c>
      <c r="E362" s="759">
        <f t="shared" si="120"/>
        <v>17425.471354891175</v>
      </c>
      <c r="F362" s="759">
        <f t="shared" si="120"/>
        <v>37571.425514156697</v>
      </c>
      <c r="G362" s="759">
        <f t="shared" si="120"/>
        <v>3003.0774498683845</v>
      </c>
      <c r="H362" s="759">
        <f t="shared" si="120"/>
        <v>54679.307466775099</v>
      </c>
      <c r="I362" s="759">
        <f t="shared" si="120"/>
        <v>14043.192158709098</v>
      </c>
      <c r="J362" s="360">
        <f t="shared" si="120"/>
        <v>0</v>
      </c>
      <c r="K362" s="25">
        <f t="shared" si="125"/>
        <v>1237810.1460183619</v>
      </c>
      <c r="L362" s="759">
        <v>140</v>
      </c>
      <c r="M362" s="759">
        <f t="shared" si="127"/>
        <v>8841.5010429882987</v>
      </c>
      <c r="N362" s="671">
        <v>11355</v>
      </c>
      <c r="O362" s="671"/>
      <c r="P362" s="188" t="s">
        <v>452</v>
      </c>
      <c r="Q362" s="774">
        <v>40833</v>
      </c>
      <c r="R362" s="775"/>
      <c r="S362" s="301">
        <v>140</v>
      </c>
      <c r="T362" s="806">
        <v>7543</v>
      </c>
      <c r="U362" s="25">
        <f t="shared" si="128"/>
        <v>1056020</v>
      </c>
      <c r="V362" s="451"/>
      <c r="W362" s="774"/>
      <c r="X362" s="808"/>
      <c r="Y362" s="806"/>
      <c r="Z362" s="25">
        <f t="shared" si="129"/>
        <v>0</v>
      </c>
    </row>
    <row r="363" spans="1:26" ht="16.5" customHeight="1">
      <c r="A363" s="758">
        <f t="shared" si="123"/>
        <v>7</v>
      </c>
      <c r="B363" s="293" t="s">
        <v>806</v>
      </c>
      <c r="C363" s="25">
        <f t="shared" si="124"/>
        <v>328440</v>
      </c>
      <c r="D363" s="759">
        <f t="shared" si="120"/>
        <v>19667.382883557686</v>
      </c>
      <c r="E363" s="759">
        <f t="shared" si="120"/>
        <v>6223.3826267468485</v>
      </c>
      <c r="F363" s="759">
        <f t="shared" si="120"/>
        <v>13418.366255055964</v>
      </c>
      <c r="G363" s="759">
        <f t="shared" si="120"/>
        <v>1072.5276606672801</v>
      </c>
      <c r="H363" s="759">
        <f t="shared" si="120"/>
        <v>19528.324095276821</v>
      </c>
      <c r="I363" s="759">
        <f t="shared" si="120"/>
        <v>5015.4257709675348</v>
      </c>
      <c r="J363" s="360">
        <f t="shared" si="120"/>
        <v>0</v>
      </c>
      <c r="K363" s="25">
        <f t="shared" si="125"/>
        <v>393364.40929227212</v>
      </c>
      <c r="L363" s="759">
        <v>50</v>
      </c>
      <c r="M363" s="759">
        <f t="shared" si="127"/>
        <v>7867.2881858454421</v>
      </c>
      <c r="N363" s="671">
        <v>11420</v>
      </c>
      <c r="O363" s="671"/>
      <c r="P363" s="40" t="s">
        <v>484</v>
      </c>
      <c r="Q363" s="774">
        <v>40833</v>
      </c>
      <c r="R363" s="775"/>
      <c r="S363" s="301">
        <v>10</v>
      </c>
      <c r="T363" s="806">
        <v>32844</v>
      </c>
      <c r="U363" s="25">
        <f t="shared" si="128"/>
        <v>328440</v>
      </c>
      <c r="V363" s="451"/>
      <c r="W363" s="774"/>
      <c r="X363" s="808"/>
      <c r="Y363" s="806"/>
      <c r="Z363" s="25">
        <f t="shared" si="129"/>
        <v>0</v>
      </c>
    </row>
    <row r="364" spans="1:26" ht="16.5" customHeight="1">
      <c r="A364" s="758">
        <f t="shared" si="123"/>
        <v>8</v>
      </c>
      <c r="B364" s="293" t="s">
        <v>807</v>
      </c>
      <c r="C364" s="25">
        <f t="shared" si="124"/>
        <v>594436</v>
      </c>
      <c r="D364" s="759">
        <f t="shared" si="120"/>
        <v>27534.336036980763</v>
      </c>
      <c r="E364" s="759">
        <f t="shared" si="120"/>
        <v>8712.7356774455875</v>
      </c>
      <c r="F364" s="759">
        <f t="shared" si="120"/>
        <v>18785.712757078349</v>
      </c>
      <c r="G364" s="759">
        <f t="shared" si="120"/>
        <v>1501.5387249341923</v>
      </c>
      <c r="H364" s="759">
        <f t="shared" si="120"/>
        <v>27339.653733387549</v>
      </c>
      <c r="I364" s="759">
        <f t="shared" si="120"/>
        <v>7021.5960793545491</v>
      </c>
      <c r="J364" s="360">
        <f t="shared" si="120"/>
        <v>0</v>
      </c>
      <c r="K364" s="25">
        <f t="shared" si="125"/>
        <v>685330.57300918095</v>
      </c>
      <c r="L364" s="759">
        <v>70</v>
      </c>
      <c r="M364" s="759">
        <f t="shared" si="127"/>
        <v>9790.4367572740139</v>
      </c>
      <c r="N364" s="671">
        <v>14450</v>
      </c>
      <c r="O364" s="671"/>
      <c r="P364" s="40" t="s">
        <v>460</v>
      </c>
      <c r="Q364" s="774">
        <v>40833</v>
      </c>
      <c r="R364" s="775"/>
      <c r="S364" s="301">
        <v>20</v>
      </c>
      <c r="T364" s="806">
        <v>29721.8</v>
      </c>
      <c r="U364" s="25">
        <f t="shared" si="128"/>
        <v>594436</v>
      </c>
      <c r="V364" s="451"/>
      <c r="W364" s="774"/>
      <c r="X364" s="808"/>
      <c r="Y364" s="806"/>
      <c r="Z364" s="25">
        <f t="shared" si="129"/>
        <v>0</v>
      </c>
    </row>
    <row r="365" spans="1:26" ht="16.5" customHeight="1">
      <c r="A365" s="758">
        <f t="shared" si="123"/>
        <v>9</v>
      </c>
      <c r="B365" s="293" t="s">
        <v>808</v>
      </c>
      <c r="C365" s="25">
        <f t="shared" si="124"/>
        <v>306880</v>
      </c>
      <c r="D365" s="759">
        <f t="shared" si="120"/>
        <v>21240.773514242301</v>
      </c>
      <c r="E365" s="759">
        <f t="shared" si="120"/>
        <v>6721.2532368865968</v>
      </c>
      <c r="F365" s="759">
        <f t="shared" si="120"/>
        <v>14491.83555546044</v>
      </c>
      <c r="G365" s="759">
        <f t="shared" si="120"/>
        <v>1158.3298735206627</v>
      </c>
      <c r="H365" s="759">
        <f t="shared" si="120"/>
        <v>21090.590022898967</v>
      </c>
      <c r="I365" s="759">
        <f t="shared" si="120"/>
        <v>5416.6598326449375</v>
      </c>
      <c r="J365" s="360">
        <f t="shared" si="120"/>
        <v>0</v>
      </c>
      <c r="K365" s="25">
        <f t="shared" si="125"/>
        <v>376998.44203565386</v>
      </c>
      <c r="L365" s="759">
        <v>54</v>
      </c>
      <c r="M365" s="759">
        <f t="shared" si="127"/>
        <v>6981.4526302898867</v>
      </c>
      <c r="N365" s="671">
        <v>13881</v>
      </c>
      <c r="O365" s="671"/>
      <c r="P365" s="40" t="s">
        <v>479</v>
      </c>
      <c r="Q365" s="774">
        <v>40833</v>
      </c>
      <c r="R365" s="775"/>
      <c r="S365" s="301">
        <v>16</v>
      </c>
      <c r="T365" s="806">
        <v>19180</v>
      </c>
      <c r="U365" s="25">
        <f t="shared" si="128"/>
        <v>306880</v>
      </c>
      <c r="V365" s="451"/>
      <c r="W365" s="774"/>
      <c r="X365" s="808"/>
      <c r="Y365" s="806"/>
      <c r="Z365" s="25">
        <f t="shared" si="129"/>
        <v>0</v>
      </c>
    </row>
    <row r="366" spans="1:26" ht="16.5" customHeight="1">
      <c r="A366" s="758">
        <f t="shared" si="123"/>
        <v>10</v>
      </c>
      <c r="B366" s="293" t="s">
        <v>809</v>
      </c>
      <c r="C366" s="25">
        <f t="shared" si="124"/>
        <v>1340640</v>
      </c>
      <c r="D366" s="759">
        <f t="shared" si="120"/>
        <v>35401.289190403833</v>
      </c>
      <c r="E366" s="759">
        <f t="shared" si="120"/>
        <v>11202.088728144328</v>
      </c>
      <c r="F366" s="759">
        <f t="shared" si="120"/>
        <v>24153.059259100733</v>
      </c>
      <c r="G366" s="759">
        <f t="shared" si="120"/>
        <v>1930.5497892011044</v>
      </c>
      <c r="H366" s="759">
        <f t="shared" si="120"/>
        <v>35150.983371498281</v>
      </c>
      <c r="I366" s="759">
        <f t="shared" si="120"/>
        <v>9027.7663877415634</v>
      </c>
      <c r="J366" s="360">
        <f t="shared" si="120"/>
        <v>0</v>
      </c>
      <c r="K366" s="25">
        <f t="shared" si="125"/>
        <v>1457504.7367260898</v>
      </c>
      <c r="L366" s="759">
        <v>90</v>
      </c>
      <c r="M366" s="759">
        <f t="shared" si="127"/>
        <v>16194.497074734332</v>
      </c>
      <c r="N366" s="671">
        <v>20891</v>
      </c>
      <c r="O366" s="671"/>
      <c r="P366" s="40" t="s">
        <v>478</v>
      </c>
      <c r="Q366" s="774">
        <v>40833</v>
      </c>
      <c r="R366" s="775"/>
      <c r="S366" s="301">
        <v>45</v>
      </c>
      <c r="T366" s="806">
        <v>29792</v>
      </c>
      <c r="U366" s="25">
        <f t="shared" si="128"/>
        <v>1340640</v>
      </c>
      <c r="V366" s="451"/>
      <c r="W366" s="774"/>
      <c r="X366" s="808"/>
      <c r="Y366" s="806"/>
      <c r="Z366" s="25">
        <f t="shared" si="129"/>
        <v>0</v>
      </c>
    </row>
    <row r="367" spans="1:26" ht="16.5" customHeight="1">
      <c r="A367" s="758">
        <f t="shared" si="123"/>
        <v>11</v>
      </c>
      <c r="B367" s="293" t="s">
        <v>810</v>
      </c>
      <c r="C367" s="25">
        <f t="shared" si="124"/>
        <v>1112146</v>
      </c>
      <c r="D367" s="759">
        <f t="shared" si="120"/>
        <v>39334.765767115372</v>
      </c>
      <c r="E367" s="759">
        <f t="shared" si="120"/>
        <v>12446.765253493697</v>
      </c>
      <c r="F367" s="759">
        <f t="shared" si="120"/>
        <v>26836.732510111928</v>
      </c>
      <c r="G367" s="759">
        <f t="shared" si="120"/>
        <v>2145.0553213345602</v>
      </c>
      <c r="H367" s="759">
        <f t="shared" si="120"/>
        <v>39056.648190553642</v>
      </c>
      <c r="I367" s="759">
        <f t="shared" si="120"/>
        <v>10030.85154193507</v>
      </c>
      <c r="J367" s="360">
        <f t="shared" si="120"/>
        <v>0</v>
      </c>
      <c r="K367" s="25">
        <f t="shared" si="125"/>
        <v>1241995.8185845444</v>
      </c>
      <c r="L367" s="759">
        <v>100</v>
      </c>
      <c r="M367" s="759">
        <f t="shared" si="127"/>
        <v>12419.958185845444</v>
      </c>
      <c r="N367" s="671">
        <v>16534</v>
      </c>
      <c r="O367" s="671"/>
      <c r="P367" s="40" t="s">
        <v>482</v>
      </c>
      <c r="Q367" s="774">
        <v>40833</v>
      </c>
      <c r="R367" s="775"/>
      <c r="S367" s="301">
        <v>37</v>
      </c>
      <c r="T367" s="806">
        <v>30058</v>
      </c>
      <c r="U367" s="25">
        <f t="shared" si="128"/>
        <v>1112146</v>
      </c>
      <c r="V367" s="451"/>
      <c r="W367" s="774"/>
      <c r="X367" s="808"/>
      <c r="Y367" s="806"/>
      <c r="Z367" s="25">
        <f t="shared" si="129"/>
        <v>0</v>
      </c>
    </row>
    <row r="368" spans="1:26" ht="16.5" customHeight="1">
      <c r="A368" s="758">
        <f t="shared" si="123"/>
        <v>12</v>
      </c>
      <c r="B368" s="293" t="s">
        <v>809</v>
      </c>
      <c r="C368" s="25">
        <f t="shared" si="124"/>
        <v>2724120</v>
      </c>
      <c r="D368" s="759">
        <f t="shared" si="120"/>
        <v>78669.531534230744</v>
      </c>
      <c r="E368" s="759">
        <f t="shared" si="120"/>
        <v>24893.530506987394</v>
      </c>
      <c r="F368" s="759">
        <f t="shared" si="120"/>
        <v>53673.465020223855</v>
      </c>
      <c r="G368" s="759">
        <f t="shared" si="120"/>
        <v>4290.1106426691204</v>
      </c>
      <c r="H368" s="759">
        <f t="shared" si="120"/>
        <v>78113.296381107284</v>
      </c>
      <c r="I368" s="759">
        <f t="shared" si="120"/>
        <v>20061.703083870139</v>
      </c>
      <c r="J368" s="360">
        <f t="shared" si="120"/>
        <v>0</v>
      </c>
      <c r="K368" s="25">
        <f t="shared" si="125"/>
        <v>2983820.6371690887</v>
      </c>
      <c r="L368" s="759">
        <v>200</v>
      </c>
      <c r="M368" s="759">
        <f t="shared" si="127"/>
        <v>14919.103185845444</v>
      </c>
      <c r="N368" s="671">
        <v>20981</v>
      </c>
      <c r="O368" s="671"/>
      <c r="P368" s="40" t="s">
        <v>489</v>
      </c>
      <c r="Q368" s="774">
        <v>40833</v>
      </c>
      <c r="R368" s="775"/>
      <c r="S368" s="301">
        <v>94</v>
      </c>
      <c r="T368" s="806">
        <v>28980</v>
      </c>
      <c r="U368" s="25">
        <f t="shared" si="128"/>
        <v>2724120</v>
      </c>
      <c r="V368" s="451"/>
      <c r="W368" s="774"/>
      <c r="X368" s="808"/>
      <c r="Y368" s="806"/>
      <c r="Z368" s="25">
        <f t="shared" si="129"/>
        <v>0</v>
      </c>
    </row>
    <row r="369" spans="1:26" ht="16.5" customHeight="1">
      <c r="A369" s="758">
        <f t="shared" si="123"/>
        <v>13</v>
      </c>
      <c r="B369" s="293" t="s">
        <v>811</v>
      </c>
      <c r="C369" s="25">
        <f t="shared" si="124"/>
        <v>571200</v>
      </c>
      <c r="D369" s="759">
        <f t="shared" si="120"/>
        <v>19667.382883557686</v>
      </c>
      <c r="E369" s="759">
        <f t="shared" si="120"/>
        <v>6223.3826267468485</v>
      </c>
      <c r="F369" s="759">
        <f t="shared" si="120"/>
        <v>13418.366255055964</v>
      </c>
      <c r="G369" s="759">
        <f t="shared" si="120"/>
        <v>1072.5276606672801</v>
      </c>
      <c r="H369" s="759">
        <f t="shared" si="120"/>
        <v>19528.324095276821</v>
      </c>
      <c r="I369" s="759">
        <f t="shared" si="120"/>
        <v>5015.4257709675348</v>
      </c>
      <c r="J369" s="360">
        <f t="shared" si="120"/>
        <v>0</v>
      </c>
      <c r="K369" s="25">
        <f t="shared" si="125"/>
        <v>636124.40929227218</v>
      </c>
      <c r="L369" s="759">
        <v>50</v>
      </c>
      <c r="M369" s="759">
        <f t="shared" si="127"/>
        <v>12722.488185845443</v>
      </c>
      <c r="N369" s="671">
        <v>15669</v>
      </c>
      <c r="O369" s="671"/>
      <c r="P369" s="40" t="s">
        <v>483</v>
      </c>
      <c r="Q369" s="774">
        <v>40833</v>
      </c>
      <c r="R369" s="775"/>
      <c r="S369" s="301">
        <v>20</v>
      </c>
      <c r="T369" s="806">
        <v>28560</v>
      </c>
      <c r="U369" s="25">
        <f t="shared" si="128"/>
        <v>571200</v>
      </c>
      <c r="V369" s="451"/>
      <c r="W369" s="774"/>
      <c r="X369" s="808"/>
      <c r="Y369" s="806"/>
      <c r="Z369" s="25">
        <f t="shared" si="129"/>
        <v>0</v>
      </c>
    </row>
    <row r="370" spans="1:26" ht="16.5" customHeight="1">
      <c r="A370" s="758">
        <f t="shared" si="123"/>
        <v>14</v>
      </c>
      <c r="B370" s="293" t="s">
        <v>812</v>
      </c>
      <c r="C370" s="25">
        <f t="shared" si="124"/>
        <v>502843</v>
      </c>
      <c r="D370" s="759">
        <f t="shared" si="120"/>
        <v>11800.429730134612</v>
      </c>
      <c r="E370" s="759">
        <f t="shared" si="120"/>
        <v>3734.0295760481094</v>
      </c>
      <c r="F370" s="759">
        <f t="shared" si="120"/>
        <v>8051.0197530335781</v>
      </c>
      <c r="G370" s="759">
        <f t="shared" si="120"/>
        <v>643.51659640036814</v>
      </c>
      <c r="H370" s="759">
        <f t="shared" si="120"/>
        <v>11716.994457166093</v>
      </c>
      <c r="I370" s="759">
        <f t="shared" si="120"/>
        <v>3009.255462580521</v>
      </c>
      <c r="J370" s="360">
        <f t="shared" si="120"/>
        <v>0</v>
      </c>
      <c r="K370" s="25">
        <f t="shared" si="125"/>
        <v>541797.24557536317</v>
      </c>
      <c r="L370" s="759">
        <v>30</v>
      </c>
      <c r="M370" s="759">
        <f t="shared" si="127"/>
        <v>18059.908185845437</v>
      </c>
      <c r="N370" s="671">
        <v>20326</v>
      </c>
      <c r="O370" s="671"/>
      <c r="P370" s="188" t="s">
        <v>444</v>
      </c>
      <c r="Q370" s="774">
        <v>40833</v>
      </c>
      <c r="R370" s="775"/>
      <c r="S370" s="301">
        <v>17</v>
      </c>
      <c r="T370" s="806">
        <v>29579</v>
      </c>
      <c r="U370" s="25">
        <f t="shared" si="128"/>
        <v>502843</v>
      </c>
      <c r="V370" s="451"/>
      <c r="W370" s="774"/>
      <c r="X370" s="808"/>
      <c r="Y370" s="806"/>
      <c r="Z370" s="25">
        <f t="shared" si="129"/>
        <v>0</v>
      </c>
    </row>
    <row r="371" spans="1:26" ht="16.5" customHeight="1">
      <c r="A371" s="758">
        <f t="shared" si="123"/>
        <v>15</v>
      </c>
      <c r="B371" s="293" t="s">
        <v>813</v>
      </c>
      <c r="C371" s="25">
        <f t="shared" si="124"/>
        <v>871350</v>
      </c>
      <c r="D371" s="759">
        <f t="shared" si="120"/>
        <v>59002.148650673058</v>
      </c>
      <c r="E371" s="759">
        <f t="shared" si="120"/>
        <v>18670.147880240547</v>
      </c>
      <c r="F371" s="759">
        <f t="shared" si="120"/>
        <v>40255.098765167888</v>
      </c>
      <c r="G371" s="759">
        <f t="shared" si="120"/>
        <v>3217.5829820018407</v>
      </c>
      <c r="H371" s="759">
        <f t="shared" si="120"/>
        <v>58584.972285830459</v>
      </c>
      <c r="I371" s="759">
        <f t="shared" si="120"/>
        <v>15046.277312902605</v>
      </c>
      <c r="J371" s="360">
        <f t="shared" si="120"/>
        <v>0</v>
      </c>
      <c r="K371" s="25">
        <f t="shared" si="125"/>
        <v>1066125.2278768164</v>
      </c>
      <c r="L371" s="759">
        <v>150</v>
      </c>
      <c r="M371" s="759">
        <f t="shared" si="127"/>
        <v>7107.5015191787761</v>
      </c>
      <c r="N371" s="671">
        <v>10397</v>
      </c>
      <c r="O371" s="671"/>
      <c r="P371" s="188" t="s">
        <v>403</v>
      </c>
      <c r="Q371" s="774">
        <v>40836</v>
      </c>
      <c r="R371" s="775"/>
      <c r="S371" s="301">
        <f>L371/3</f>
        <v>50</v>
      </c>
      <c r="T371" s="806">
        <v>17427</v>
      </c>
      <c r="U371" s="25">
        <f t="shared" si="128"/>
        <v>871350</v>
      </c>
      <c r="V371" s="451"/>
      <c r="W371" s="774"/>
      <c r="X371" s="808"/>
      <c r="Y371" s="806"/>
      <c r="Z371" s="25">
        <f t="shared" si="129"/>
        <v>0</v>
      </c>
    </row>
    <row r="372" spans="1:26" ht="16.5" customHeight="1">
      <c r="A372" s="758">
        <f t="shared" si="123"/>
        <v>16</v>
      </c>
      <c r="B372" s="293" t="s">
        <v>814</v>
      </c>
      <c r="C372" s="25">
        <f t="shared" si="124"/>
        <v>1911200</v>
      </c>
      <c r="D372" s="759">
        <f t="shared" si="120"/>
        <v>78669.531534230744</v>
      </c>
      <c r="E372" s="759">
        <f t="shared" si="120"/>
        <v>24893.530506987394</v>
      </c>
      <c r="F372" s="759">
        <f t="shared" si="120"/>
        <v>53673.465020223855</v>
      </c>
      <c r="G372" s="759">
        <f t="shared" si="120"/>
        <v>4290.1106426691204</v>
      </c>
      <c r="H372" s="759">
        <f t="shared" si="120"/>
        <v>78113.296381107284</v>
      </c>
      <c r="I372" s="759">
        <f t="shared" si="120"/>
        <v>20061.703083870139</v>
      </c>
      <c r="J372" s="360">
        <f t="shared" si="120"/>
        <v>0</v>
      </c>
      <c r="K372" s="25">
        <f t="shared" si="125"/>
        <v>2170900.6371690882</v>
      </c>
      <c r="L372" s="759">
        <v>200</v>
      </c>
      <c r="M372" s="759">
        <f t="shared" si="127"/>
        <v>10854.50318584544</v>
      </c>
      <c r="N372" s="671">
        <v>12869</v>
      </c>
      <c r="O372" s="671"/>
      <c r="P372" s="188" t="s">
        <v>399</v>
      </c>
      <c r="Q372" s="774">
        <v>40836</v>
      </c>
      <c r="R372" s="775"/>
      <c r="S372" s="8">
        <v>100</v>
      </c>
      <c r="T372" s="289">
        <v>19112</v>
      </c>
      <c r="U372" s="25">
        <f t="shared" si="128"/>
        <v>1911200</v>
      </c>
      <c r="V372" s="451"/>
      <c r="W372" s="774"/>
      <c r="X372" s="808"/>
      <c r="Y372" s="806"/>
      <c r="Z372" s="25">
        <f t="shared" si="129"/>
        <v>0</v>
      </c>
    </row>
    <row r="373" spans="1:26" ht="16.5" customHeight="1">
      <c r="A373" s="758">
        <f t="shared" si="123"/>
        <v>17</v>
      </c>
      <c r="B373" s="293" t="s">
        <v>807</v>
      </c>
      <c r="C373" s="25">
        <f t="shared" si="124"/>
        <v>1839000</v>
      </c>
      <c r="D373" s="759">
        <f t="shared" ref="D373:J409" si="130">IF($L$599&lt;&gt;0,D$599/$L$599*$L373,0)</f>
        <v>86536.484687653821</v>
      </c>
      <c r="E373" s="759">
        <f t="shared" si="130"/>
        <v>27382.883557686135</v>
      </c>
      <c r="F373" s="759">
        <f t="shared" si="130"/>
        <v>59040.811522246237</v>
      </c>
      <c r="G373" s="759">
        <f t="shared" si="130"/>
        <v>4719.1217069360328</v>
      </c>
      <c r="H373" s="759">
        <f t="shared" si="130"/>
        <v>85924.626019218005</v>
      </c>
      <c r="I373" s="759">
        <f t="shared" si="130"/>
        <v>22067.873392257152</v>
      </c>
      <c r="J373" s="360">
        <f t="shared" si="130"/>
        <v>0</v>
      </c>
      <c r="K373" s="25">
        <f t="shared" si="125"/>
        <v>2124670.8008859977</v>
      </c>
      <c r="L373" s="759">
        <v>220</v>
      </c>
      <c r="M373" s="759">
        <f t="shared" si="127"/>
        <v>9657.5945494818079</v>
      </c>
      <c r="N373" s="671">
        <v>14450</v>
      </c>
      <c r="O373" s="671"/>
      <c r="P373" s="188" t="s">
        <v>441</v>
      </c>
      <c r="Q373" s="774">
        <v>40836</v>
      </c>
      <c r="R373" s="775"/>
      <c r="S373" s="301">
        <v>100</v>
      </c>
      <c r="T373" s="806">
        <v>18390</v>
      </c>
      <c r="U373" s="25">
        <f t="shared" si="128"/>
        <v>1839000</v>
      </c>
      <c r="V373" s="451"/>
      <c r="W373" s="774"/>
      <c r="X373" s="808"/>
      <c r="Y373" s="806"/>
      <c r="Z373" s="25">
        <f t="shared" si="129"/>
        <v>0</v>
      </c>
    </row>
    <row r="374" spans="1:26" ht="16.5" customHeight="1">
      <c r="A374" s="758">
        <f t="shared" si="123"/>
        <v>18</v>
      </c>
      <c r="B374" s="293" t="s">
        <v>806</v>
      </c>
      <c r="C374" s="25">
        <f t="shared" si="124"/>
        <v>1103760</v>
      </c>
      <c r="D374" s="759">
        <f t="shared" si="130"/>
        <v>70802.578380807667</v>
      </c>
      <c r="E374" s="759">
        <f t="shared" si="130"/>
        <v>22404.177456288657</v>
      </c>
      <c r="F374" s="759">
        <f t="shared" si="130"/>
        <v>48306.118518201467</v>
      </c>
      <c r="G374" s="759">
        <f t="shared" si="130"/>
        <v>3861.0995784022089</v>
      </c>
      <c r="H374" s="759">
        <f t="shared" si="130"/>
        <v>70301.966742996563</v>
      </c>
      <c r="I374" s="759">
        <f t="shared" si="130"/>
        <v>18055.532775483127</v>
      </c>
      <c r="J374" s="360">
        <f t="shared" si="130"/>
        <v>0</v>
      </c>
      <c r="K374" s="25">
        <f t="shared" si="125"/>
        <v>1337490.4734521797</v>
      </c>
      <c r="L374" s="759">
        <v>180</v>
      </c>
      <c r="M374" s="759">
        <f t="shared" si="127"/>
        <v>7430.5026302898868</v>
      </c>
      <c r="N374" s="671">
        <v>11420</v>
      </c>
      <c r="O374" s="671"/>
      <c r="P374" s="40" t="s">
        <v>477</v>
      </c>
      <c r="Q374" s="774">
        <v>40836</v>
      </c>
      <c r="R374" s="775"/>
      <c r="S374" s="301">
        <f>L374/3</f>
        <v>60</v>
      </c>
      <c r="T374" s="806">
        <v>18396</v>
      </c>
      <c r="U374" s="25">
        <f t="shared" si="128"/>
        <v>1103760</v>
      </c>
      <c r="V374" s="451"/>
      <c r="W374" s="774"/>
      <c r="X374" s="808"/>
      <c r="Y374" s="806"/>
      <c r="Z374" s="25">
        <f t="shared" si="129"/>
        <v>0</v>
      </c>
    </row>
    <row r="375" spans="1:26" ht="16.5" customHeight="1">
      <c r="A375" s="758">
        <f t="shared" si="123"/>
        <v>19</v>
      </c>
      <c r="B375" s="293" t="s">
        <v>808</v>
      </c>
      <c r="C375" s="25">
        <f t="shared" si="124"/>
        <v>2921880</v>
      </c>
      <c r="D375" s="759">
        <f t="shared" si="130"/>
        <v>116824.25432833267</v>
      </c>
      <c r="E375" s="759">
        <f t="shared" si="130"/>
        <v>36966.892802876282</v>
      </c>
      <c r="F375" s="759">
        <f t="shared" si="130"/>
        <v>79705.095555032414</v>
      </c>
      <c r="G375" s="759">
        <f t="shared" si="130"/>
        <v>6370.8143043636446</v>
      </c>
      <c r="H375" s="759">
        <f t="shared" si="130"/>
        <v>115998.24512594432</v>
      </c>
      <c r="I375" s="759">
        <f t="shared" si="130"/>
        <v>29791.629079547158</v>
      </c>
      <c r="J375" s="360">
        <f t="shared" si="130"/>
        <v>0</v>
      </c>
      <c r="K375" s="25">
        <f t="shared" si="125"/>
        <v>3307535.9311960968</v>
      </c>
      <c r="L375" s="759">
        <v>297</v>
      </c>
      <c r="M375" s="759">
        <f t="shared" si="127"/>
        <v>11136.484616821876</v>
      </c>
      <c r="N375" s="671">
        <v>13881</v>
      </c>
      <c r="O375" s="671"/>
      <c r="P375" s="188" t="s">
        <v>433</v>
      </c>
      <c r="Q375" s="774">
        <v>40836</v>
      </c>
      <c r="R375" s="775"/>
      <c r="S375" s="8">
        <v>130</v>
      </c>
      <c r="T375" s="289">
        <v>22476</v>
      </c>
      <c r="U375" s="25">
        <f t="shared" si="128"/>
        <v>2921880</v>
      </c>
      <c r="V375" s="451"/>
      <c r="W375" s="774"/>
      <c r="X375" s="808"/>
      <c r="Y375" s="806"/>
      <c r="Z375" s="25">
        <f t="shared" si="129"/>
        <v>0</v>
      </c>
    </row>
    <row r="376" spans="1:26" ht="16.5" customHeight="1">
      <c r="A376" s="758">
        <f t="shared" si="123"/>
        <v>20</v>
      </c>
      <c r="B376" s="293" t="s">
        <v>812</v>
      </c>
      <c r="C376" s="25">
        <f t="shared" si="124"/>
        <v>3173700</v>
      </c>
      <c r="D376" s="759">
        <f t="shared" si="130"/>
        <v>125871.25045476919</v>
      </c>
      <c r="E376" s="759">
        <f t="shared" si="130"/>
        <v>39829.648811179832</v>
      </c>
      <c r="F376" s="759">
        <f t="shared" si="130"/>
        <v>85877.544032358157</v>
      </c>
      <c r="G376" s="759">
        <f t="shared" si="130"/>
        <v>6864.1770282705929</v>
      </c>
      <c r="H376" s="759">
        <f t="shared" si="130"/>
        <v>124981.27420977165</v>
      </c>
      <c r="I376" s="759">
        <f t="shared" si="130"/>
        <v>32098.724934192222</v>
      </c>
      <c r="J376" s="360">
        <f t="shared" si="130"/>
        <v>0</v>
      </c>
      <c r="K376" s="25">
        <f t="shared" si="125"/>
        <v>3589221.6194705414</v>
      </c>
      <c r="L376" s="759">
        <v>320</v>
      </c>
      <c r="M376" s="759">
        <f t="shared" si="127"/>
        <v>11216.317560845442</v>
      </c>
      <c r="N376" s="671">
        <v>17372</v>
      </c>
      <c r="O376" s="671"/>
      <c r="P376" s="188" t="s">
        <v>437</v>
      </c>
      <c r="Q376" s="774">
        <v>40836</v>
      </c>
      <c r="R376" s="775"/>
      <c r="S376" s="301">
        <v>150</v>
      </c>
      <c r="T376" s="806">
        <v>21158</v>
      </c>
      <c r="U376" s="25">
        <f t="shared" si="128"/>
        <v>3173700</v>
      </c>
      <c r="V376" s="451"/>
      <c r="W376" s="774"/>
      <c r="X376" s="808"/>
      <c r="Y376" s="806"/>
      <c r="Z376" s="25">
        <f t="shared" si="129"/>
        <v>0</v>
      </c>
    </row>
    <row r="377" spans="1:26" ht="16.5" customHeight="1">
      <c r="A377" s="758">
        <f t="shared" si="123"/>
        <v>21</v>
      </c>
      <c r="B377" s="293" t="s">
        <v>809</v>
      </c>
      <c r="C377" s="25">
        <f t="shared" si="124"/>
        <v>2160449</v>
      </c>
      <c r="D377" s="759">
        <f t="shared" si="130"/>
        <v>59002.148650673058</v>
      </c>
      <c r="E377" s="759">
        <f t="shared" si="130"/>
        <v>18670.147880240547</v>
      </c>
      <c r="F377" s="759">
        <f t="shared" si="130"/>
        <v>40255.098765167888</v>
      </c>
      <c r="G377" s="759">
        <f t="shared" si="130"/>
        <v>3217.5829820018407</v>
      </c>
      <c r="H377" s="759">
        <f t="shared" si="130"/>
        <v>58584.972285830459</v>
      </c>
      <c r="I377" s="759">
        <f t="shared" si="130"/>
        <v>15046.277312902605</v>
      </c>
      <c r="J377" s="360">
        <f t="shared" si="130"/>
        <v>0</v>
      </c>
      <c r="K377" s="25">
        <f t="shared" si="125"/>
        <v>2355224.2278768164</v>
      </c>
      <c r="L377" s="759">
        <v>150</v>
      </c>
      <c r="M377" s="759">
        <f t="shared" si="127"/>
        <v>15701.494852512109</v>
      </c>
      <c r="N377" s="671">
        <v>20981</v>
      </c>
      <c r="O377" s="671"/>
      <c r="P377" s="40" t="s">
        <v>440</v>
      </c>
      <c r="Q377" s="774">
        <v>40836</v>
      </c>
      <c r="R377" s="775"/>
      <c r="S377" s="301">
        <v>90</v>
      </c>
      <c r="T377" s="806">
        <v>24004.988888888889</v>
      </c>
      <c r="U377" s="25">
        <f t="shared" si="128"/>
        <v>2160449</v>
      </c>
      <c r="V377" s="451"/>
      <c r="W377" s="774"/>
      <c r="X377" s="808"/>
      <c r="Y377" s="806"/>
      <c r="Z377" s="25">
        <f t="shared" si="129"/>
        <v>0</v>
      </c>
    </row>
    <row r="378" spans="1:26" ht="16.5" customHeight="1">
      <c r="A378" s="758">
        <f t="shared" si="123"/>
        <v>22</v>
      </c>
      <c r="B378" s="293" t="s">
        <v>815</v>
      </c>
      <c r="C378" s="25">
        <f t="shared" si="124"/>
        <v>2554450</v>
      </c>
      <c r="D378" s="759">
        <f t="shared" si="130"/>
        <v>106203.86757121151</v>
      </c>
      <c r="E378" s="759">
        <f t="shared" si="130"/>
        <v>33606.266184432985</v>
      </c>
      <c r="F378" s="759">
        <f t="shared" si="130"/>
        <v>72459.177777302204</v>
      </c>
      <c r="G378" s="759">
        <f t="shared" si="130"/>
        <v>5791.6493676033133</v>
      </c>
      <c r="H378" s="759">
        <f t="shared" si="130"/>
        <v>105452.95011449483</v>
      </c>
      <c r="I378" s="759">
        <f t="shared" si="130"/>
        <v>27083.299163224689</v>
      </c>
      <c r="J378" s="360">
        <f t="shared" si="130"/>
        <v>0</v>
      </c>
      <c r="K378" s="25">
        <f t="shared" si="125"/>
        <v>2905046.2101782691</v>
      </c>
      <c r="L378" s="759">
        <v>270</v>
      </c>
      <c r="M378" s="759">
        <f t="shared" si="127"/>
        <v>10759.430408067663</v>
      </c>
      <c r="N378" s="671">
        <v>16832</v>
      </c>
      <c r="O378" s="671"/>
      <c r="P378" s="188" t="s">
        <v>493</v>
      </c>
      <c r="Q378" s="774">
        <v>40836</v>
      </c>
      <c r="R378" s="775"/>
      <c r="S378" s="301">
        <v>94</v>
      </c>
      <c r="T378" s="806">
        <v>27175</v>
      </c>
      <c r="U378" s="25">
        <f t="shared" si="128"/>
        <v>2554450</v>
      </c>
      <c r="V378" s="451"/>
      <c r="W378" s="774"/>
      <c r="X378" s="808"/>
      <c r="Y378" s="806"/>
      <c r="Z378" s="25">
        <f t="shared" si="129"/>
        <v>0</v>
      </c>
    </row>
    <row r="379" spans="1:26" ht="16.5" customHeight="1">
      <c r="A379" s="758">
        <f t="shared" si="123"/>
        <v>23</v>
      </c>
      <c r="B379" s="293" t="s">
        <v>535</v>
      </c>
      <c r="C379" s="25">
        <f t="shared" si="124"/>
        <v>1115328</v>
      </c>
      <c r="D379" s="759">
        <f t="shared" si="130"/>
        <v>74736.054957519213</v>
      </c>
      <c r="E379" s="759">
        <f t="shared" si="130"/>
        <v>23648.853981638025</v>
      </c>
      <c r="F379" s="759">
        <f t="shared" si="130"/>
        <v>50989.791769212658</v>
      </c>
      <c r="G379" s="759">
        <f t="shared" si="130"/>
        <v>4075.6051105356646</v>
      </c>
      <c r="H379" s="759">
        <f t="shared" si="130"/>
        <v>74207.631562051916</v>
      </c>
      <c r="I379" s="759">
        <f t="shared" si="130"/>
        <v>19058.617929676631</v>
      </c>
      <c r="J379" s="360">
        <f t="shared" si="130"/>
        <v>0</v>
      </c>
      <c r="K379" s="25">
        <f t="shared" si="125"/>
        <v>1362043.555310634</v>
      </c>
      <c r="L379" s="759">
        <v>190</v>
      </c>
      <c r="M379" s="759">
        <f t="shared" si="127"/>
        <v>7168.6502911086</v>
      </c>
      <c r="N379" s="671">
        <v>10253</v>
      </c>
      <c r="O379" s="671"/>
      <c r="P379" s="188" t="s">
        <v>403</v>
      </c>
      <c r="Q379" s="774">
        <v>40836</v>
      </c>
      <c r="R379" s="775"/>
      <c r="S379" s="301">
        <v>64</v>
      </c>
      <c r="T379" s="806">
        <v>17427</v>
      </c>
      <c r="U379" s="25">
        <f t="shared" si="128"/>
        <v>1115328</v>
      </c>
      <c r="V379" s="451"/>
      <c r="W379" s="774"/>
      <c r="X379" s="808"/>
      <c r="Y379" s="806"/>
      <c r="Z379" s="25">
        <f t="shared" si="129"/>
        <v>0</v>
      </c>
    </row>
    <row r="380" spans="1:26" ht="16.5" customHeight="1">
      <c r="A380" s="758">
        <f t="shared" si="123"/>
        <v>24</v>
      </c>
      <c r="B380" s="293" t="s">
        <v>533</v>
      </c>
      <c r="C380" s="25">
        <f t="shared" si="124"/>
        <v>1864689</v>
      </c>
      <c r="D380" s="759">
        <f t="shared" si="130"/>
        <v>125871.25045476919</v>
      </c>
      <c r="E380" s="759">
        <f t="shared" si="130"/>
        <v>39829.648811179832</v>
      </c>
      <c r="F380" s="759">
        <f t="shared" si="130"/>
        <v>85877.544032358157</v>
      </c>
      <c r="G380" s="759">
        <f t="shared" si="130"/>
        <v>6864.1770282705929</v>
      </c>
      <c r="H380" s="759">
        <f t="shared" si="130"/>
        <v>124981.27420977165</v>
      </c>
      <c r="I380" s="759">
        <f t="shared" si="130"/>
        <v>32098.724934192222</v>
      </c>
      <c r="J380" s="360">
        <f t="shared" si="130"/>
        <v>0</v>
      </c>
      <c r="K380" s="25">
        <f t="shared" si="125"/>
        <v>2280210.6194705418</v>
      </c>
      <c r="L380" s="759">
        <v>320</v>
      </c>
      <c r="M380" s="759">
        <f t="shared" si="127"/>
        <v>7125.6581858454429</v>
      </c>
      <c r="N380" s="671">
        <v>10595</v>
      </c>
      <c r="O380" s="671"/>
      <c r="P380" s="188" t="s">
        <v>403</v>
      </c>
      <c r="Q380" s="774">
        <v>40836</v>
      </c>
      <c r="R380" s="775"/>
      <c r="S380" s="301">
        <v>107</v>
      </c>
      <c r="T380" s="806">
        <v>17427</v>
      </c>
      <c r="U380" s="25">
        <f t="shared" si="128"/>
        <v>1864689</v>
      </c>
      <c r="V380" s="451"/>
      <c r="W380" s="774"/>
      <c r="X380" s="808"/>
      <c r="Y380" s="806"/>
      <c r="Z380" s="25">
        <f t="shared" si="129"/>
        <v>0</v>
      </c>
    </row>
    <row r="381" spans="1:26" ht="16.5" customHeight="1">
      <c r="A381" s="758">
        <f t="shared" si="123"/>
        <v>25</v>
      </c>
      <c r="B381" s="293" t="s">
        <v>542</v>
      </c>
      <c r="C381" s="25">
        <f t="shared" si="124"/>
        <v>2427360</v>
      </c>
      <c r="D381" s="759">
        <f t="shared" si="130"/>
        <v>118004.29730134612</v>
      </c>
      <c r="E381" s="759">
        <f t="shared" si="130"/>
        <v>37340.295760481094</v>
      </c>
      <c r="F381" s="759">
        <f t="shared" si="130"/>
        <v>80510.197530335776</v>
      </c>
      <c r="G381" s="759">
        <f t="shared" si="130"/>
        <v>6435.1659640036814</v>
      </c>
      <c r="H381" s="759">
        <f t="shared" si="130"/>
        <v>117169.94457166092</v>
      </c>
      <c r="I381" s="759">
        <f t="shared" si="130"/>
        <v>30092.554625805209</v>
      </c>
      <c r="J381" s="360">
        <f t="shared" si="130"/>
        <v>0</v>
      </c>
      <c r="K381" s="25">
        <f t="shared" si="125"/>
        <v>2816911.4557536324</v>
      </c>
      <c r="L381" s="759">
        <v>300</v>
      </c>
      <c r="M381" s="759">
        <f t="shared" si="127"/>
        <v>9389.7048525121081</v>
      </c>
      <c r="N381" s="671">
        <v>12179</v>
      </c>
      <c r="O381" s="671"/>
      <c r="P381" s="188" t="s">
        <v>448</v>
      </c>
      <c r="Q381" s="774">
        <v>40836</v>
      </c>
      <c r="R381" s="775"/>
      <c r="S381" s="301">
        <v>104</v>
      </c>
      <c r="T381" s="806">
        <v>23340</v>
      </c>
      <c r="U381" s="25">
        <f t="shared" si="128"/>
        <v>2427360</v>
      </c>
      <c r="V381" s="451"/>
      <c r="W381" s="774"/>
      <c r="X381" s="808"/>
      <c r="Y381" s="806"/>
      <c r="Z381" s="25">
        <f t="shared" si="129"/>
        <v>0</v>
      </c>
    </row>
    <row r="382" spans="1:26" ht="16.5" customHeight="1">
      <c r="A382" s="758">
        <f t="shared" si="123"/>
        <v>26</v>
      </c>
      <c r="B382" s="293" t="s">
        <v>537</v>
      </c>
      <c r="C382" s="25">
        <f t="shared" si="124"/>
        <v>3534076</v>
      </c>
      <c r="D382" s="759">
        <f t="shared" si="130"/>
        <v>137671.68018490382</v>
      </c>
      <c r="E382" s="759">
        <f t="shared" si="130"/>
        <v>43563.678387227941</v>
      </c>
      <c r="F382" s="759">
        <f t="shared" si="130"/>
        <v>93928.563785391743</v>
      </c>
      <c r="G382" s="759">
        <f t="shared" si="130"/>
        <v>7507.6936246709611</v>
      </c>
      <c r="H382" s="759">
        <f t="shared" si="130"/>
        <v>136698.26866693774</v>
      </c>
      <c r="I382" s="759">
        <f t="shared" si="130"/>
        <v>35107.980396772742</v>
      </c>
      <c r="J382" s="360">
        <f t="shared" si="130"/>
        <v>0</v>
      </c>
      <c r="K382" s="25">
        <f t="shared" si="125"/>
        <v>3988552.8650459056</v>
      </c>
      <c r="L382" s="759">
        <v>350</v>
      </c>
      <c r="M382" s="759">
        <f t="shared" si="127"/>
        <v>11395.865328702588</v>
      </c>
      <c r="N382" s="671">
        <v>15618</v>
      </c>
      <c r="O382" s="671"/>
      <c r="P382" s="40" t="s">
        <v>475</v>
      </c>
      <c r="Q382" s="774">
        <v>40836</v>
      </c>
      <c r="R382" s="775"/>
      <c r="S382" s="301">
        <v>182</v>
      </c>
      <c r="T382" s="806">
        <v>19418</v>
      </c>
      <c r="U382" s="25">
        <f t="shared" si="128"/>
        <v>3534076</v>
      </c>
      <c r="V382" s="451"/>
      <c r="W382" s="774"/>
      <c r="X382" s="808"/>
      <c r="Y382" s="806"/>
      <c r="Z382" s="25">
        <f t="shared" si="129"/>
        <v>0</v>
      </c>
    </row>
    <row r="383" spans="1:26" ht="16.5" customHeight="1">
      <c r="A383" s="758">
        <f t="shared" si="123"/>
        <v>27</v>
      </c>
      <c r="B383" s="293" t="s">
        <v>810</v>
      </c>
      <c r="C383" s="25">
        <f t="shared" si="124"/>
        <v>2857816</v>
      </c>
      <c r="D383" s="759">
        <f t="shared" si="130"/>
        <v>114070.82072463458</v>
      </c>
      <c r="E383" s="759">
        <f t="shared" si="130"/>
        <v>36095.619235131722</v>
      </c>
      <c r="F383" s="759">
        <f t="shared" si="130"/>
        <v>77826.524279324585</v>
      </c>
      <c r="G383" s="759">
        <f t="shared" si="130"/>
        <v>6220.6604318702248</v>
      </c>
      <c r="H383" s="759">
        <f t="shared" si="130"/>
        <v>113264.27975260557</v>
      </c>
      <c r="I383" s="759">
        <f t="shared" si="130"/>
        <v>29089.469471611701</v>
      </c>
      <c r="J383" s="360">
        <f t="shared" si="130"/>
        <v>0</v>
      </c>
      <c r="K383" s="25">
        <f t="shared" si="125"/>
        <v>3234382.3738951785</v>
      </c>
      <c r="L383" s="759">
        <v>290</v>
      </c>
      <c r="M383" s="759">
        <f t="shared" si="127"/>
        <v>11153.042668604065</v>
      </c>
      <c r="N383" s="671">
        <v>16534</v>
      </c>
      <c r="O383" s="671"/>
      <c r="P383" s="188" t="s">
        <v>447</v>
      </c>
      <c r="Q383" s="774">
        <v>40836</v>
      </c>
      <c r="R383" s="775"/>
      <c r="S383" s="301">
        <v>104</v>
      </c>
      <c r="T383" s="806">
        <v>27479</v>
      </c>
      <c r="U383" s="25">
        <f t="shared" si="128"/>
        <v>2857816</v>
      </c>
      <c r="V383" s="451"/>
      <c r="W383" s="774"/>
      <c r="X383" s="808"/>
      <c r="Y383" s="806"/>
      <c r="Z383" s="25">
        <f t="shared" si="129"/>
        <v>0</v>
      </c>
    </row>
    <row r="384" spans="1:26" ht="16.5" customHeight="1">
      <c r="A384" s="758">
        <f t="shared" si="123"/>
        <v>28</v>
      </c>
      <c r="B384" s="293" t="s">
        <v>816</v>
      </c>
      <c r="C384" s="25">
        <f t="shared" si="124"/>
        <v>1840280</v>
      </c>
      <c r="D384" s="759">
        <f t="shared" si="130"/>
        <v>51135.195497249988</v>
      </c>
      <c r="E384" s="759">
        <f t="shared" si="130"/>
        <v>16180.794829541806</v>
      </c>
      <c r="F384" s="759">
        <f t="shared" si="130"/>
        <v>34887.752263145507</v>
      </c>
      <c r="G384" s="759">
        <f t="shared" si="130"/>
        <v>2788.5719177349283</v>
      </c>
      <c r="H384" s="759">
        <f t="shared" si="130"/>
        <v>50773.642647719738</v>
      </c>
      <c r="I384" s="759">
        <f t="shared" si="130"/>
        <v>13040.10700451559</v>
      </c>
      <c r="J384" s="360">
        <f t="shared" si="130"/>
        <v>0</v>
      </c>
      <c r="K384" s="25">
        <f t="shared" si="125"/>
        <v>2009085.0641599076</v>
      </c>
      <c r="L384" s="759">
        <v>130</v>
      </c>
      <c r="M384" s="759">
        <f t="shared" si="127"/>
        <v>15454.500493537751</v>
      </c>
      <c r="N384" s="671">
        <v>20633</v>
      </c>
      <c r="O384" s="671"/>
      <c r="P384" s="293" t="s">
        <v>398</v>
      </c>
      <c r="Q384" s="774">
        <v>40836</v>
      </c>
      <c r="R384" s="775"/>
      <c r="S384" s="301">
        <v>52</v>
      </c>
      <c r="T384" s="806">
        <v>35390</v>
      </c>
      <c r="U384" s="25">
        <f t="shared" si="128"/>
        <v>1840280</v>
      </c>
      <c r="V384" s="451"/>
      <c r="W384" s="774"/>
      <c r="X384" s="808"/>
      <c r="Y384" s="806"/>
      <c r="Z384" s="25">
        <f t="shared" si="129"/>
        <v>0</v>
      </c>
    </row>
    <row r="385" spans="1:26" ht="16.5" customHeight="1">
      <c r="A385" s="758">
        <f t="shared" si="123"/>
        <v>29</v>
      </c>
      <c r="B385" s="293" t="s">
        <v>533</v>
      </c>
      <c r="C385" s="25">
        <f t="shared" si="124"/>
        <v>1219890</v>
      </c>
      <c r="D385" s="759">
        <f t="shared" si="130"/>
        <v>82603.00811094229</v>
      </c>
      <c r="E385" s="759">
        <f t="shared" si="130"/>
        <v>26138.207032336766</v>
      </c>
      <c r="F385" s="759">
        <f t="shared" si="130"/>
        <v>56357.138271235046</v>
      </c>
      <c r="G385" s="759">
        <f t="shared" si="130"/>
        <v>4504.616174802577</v>
      </c>
      <c r="H385" s="759">
        <f t="shared" si="130"/>
        <v>82018.961200162652</v>
      </c>
      <c r="I385" s="759">
        <f t="shared" si="130"/>
        <v>21064.788238063647</v>
      </c>
      <c r="J385" s="360">
        <f t="shared" si="130"/>
        <v>0</v>
      </c>
      <c r="K385" s="25">
        <f t="shared" si="125"/>
        <v>1492575.7190275432</v>
      </c>
      <c r="L385" s="759">
        <v>210</v>
      </c>
      <c r="M385" s="759">
        <f t="shared" si="127"/>
        <v>7107.5034239406823</v>
      </c>
      <c r="N385" s="671">
        <v>10595</v>
      </c>
      <c r="O385" s="671"/>
      <c r="P385" s="188" t="s">
        <v>403</v>
      </c>
      <c r="Q385" s="774">
        <v>40838</v>
      </c>
      <c r="R385" s="775"/>
      <c r="S385" s="301">
        <f>L385/3</f>
        <v>70</v>
      </c>
      <c r="T385" s="806">
        <v>17427</v>
      </c>
      <c r="U385" s="25">
        <f t="shared" si="128"/>
        <v>1219890</v>
      </c>
      <c r="V385" s="451"/>
      <c r="W385" s="774"/>
      <c r="X385" s="808"/>
      <c r="Y385" s="806"/>
      <c r="Z385" s="25">
        <f t="shared" si="129"/>
        <v>0</v>
      </c>
    </row>
    <row r="386" spans="1:26" ht="16.5" customHeight="1">
      <c r="A386" s="758">
        <f t="shared" si="123"/>
        <v>30</v>
      </c>
      <c r="B386" s="293" t="s">
        <v>817</v>
      </c>
      <c r="C386" s="25">
        <f t="shared" si="124"/>
        <v>1102850</v>
      </c>
      <c r="D386" s="759">
        <f t="shared" si="130"/>
        <v>59002.148650673058</v>
      </c>
      <c r="E386" s="759">
        <f t="shared" si="130"/>
        <v>18670.147880240547</v>
      </c>
      <c r="F386" s="759">
        <f t="shared" si="130"/>
        <v>40255.098765167888</v>
      </c>
      <c r="G386" s="759">
        <f t="shared" si="130"/>
        <v>3217.5829820018407</v>
      </c>
      <c r="H386" s="759">
        <f t="shared" si="130"/>
        <v>58584.972285830459</v>
      </c>
      <c r="I386" s="759">
        <f t="shared" si="130"/>
        <v>15046.277312902605</v>
      </c>
      <c r="J386" s="360">
        <f t="shared" si="130"/>
        <v>0</v>
      </c>
      <c r="K386" s="25">
        <f t="shared" si="125"/>
        <v>1297625.2278768162</v>
      </c>
      <c r="L386" s="759">
        <v>150</v>
      </c>
      <c r="M386" s="759">
        <f t="shared" si="127"/>
        <v>8650.8348525121073</v>
      </c>
      <c r="N386" s="671">
        <v>17966</v>
      </c>
      <c r="O386" s="671"/>
      <c r="P386" s="40" t="s">
        <v>490</v>
      </c>
      <c r="Q386" s="774">
        <v>40838</v>
      </c>
      <c r="R386" s="775"/>
      <c r="S386" s="301">
        <v>46</v>
      </c>
      <c r="T386" s="806">
        <v>23975</v>
      </c>
      <c r="U386" s="25">
        <f t="shared" si="128"/>
        <v>1102850</v>
      </c>
      <c r="V386" s="451"/>
      <c r="W386" s="774"/>
      <c r="X386" s="808"/>
      <c r="Y386" s="806"/>
      <c r="Z386" s="25">
        <f t="shared" si="129"/>
        <v>0</v>
      </c>
    </row>
    <row r="387" spans="1:26" ht="16.5" customHeight="1">
      <c r="A387" s="758">
        <f t="shared" si="123"/>
        <v>31</v>
      </c>
      <c r="B387" s="293" t="s">
        <v>818</v>
      </c>
      <c r="C387" s="25">
        <f t="shared" si="124"/>
        <v>2784936</v>
      </c>
      <c r="D387" s="759">
        <f t="shared" si="130"/>
        <v>134524.89892353458</v>
      </c>
      <c r="E387" s="759">
        <f t="shared" si="130"/>
        <v>42567.937166948446</v>
      </c>
      <c r="F387" s="759">
        <f t="shared" si="130"/>
        <v>91781.625184582794</v>
      </c>
      <c r="G387" s="759">
        <f t="shared" si="130"/>
        <v>7336.0891989641968</v>
      </c>
      <c r="H387" s="759">
        <f t="shared" si="130"/>
        <v>133573.73681169347</v>
      </c>
      <c r="I387" s="759">
        <f t="shared" si="130"/>
        <v>34305.512273417939</v>
      </c>
      <c r="J387" s="360">
        <f t="shared" si="130"/>
        <v>0</v>
      </c>
      <c r="K387" s="25">
        <f t="shared" si="125"/>
        <v>3229024.799559141</v>
      </c>
      <c r="L387" s="759">
        <v>342</v>
      </c>
      <c r="M387" s="759">
        <f t="shared" si="127"/>
        <v>9441.5929811670794</v>
      </c>
      <c r="N387" s="671">
        <v>14535</v>
      </c>
      <c r="O387" s="671"/>
      <c r="P387" s="40" t="s">
        <v>474</v>
      </c>
      <c r="Q387" s="774">
        <v>40838</v>
      </c>
      <c r="R387" s="775"/>
      <c r="S387" s="301">
        <v>132</v>
      </c>
      <c r="T387" s="806">
        <v>21098</v>
      </c>
      <c r="U387" s="25">
        <f t="shared" si="128"/>
        <v>2784936</v>
      </c>
      <c r="V387" s="451"/>
      <c r="W387" s="774"/>
      <c r="X387" s="808"/>
      <c r="Y387" s="806"/>
      <c r="Z387" s="25">
        <f t="shared" si="129"/>
        <v>0</v>
      </c>
    </row>
    <row r="388" spans="1:26" ht="16.5" customHeight="1">
      <c r="A388" s="758">
        <f t="shared" si="123"/>
        <v>32</v>
      </c>
      <c r="B388" s="293" t="s">
        <v>534</v>
      </c>
      <c r="C388" s="25">
        <f t="shared" si="124"/>
        <v>919800</v>
      </c>
      <c r="D388" s="759">
        <f t="shared" si="130"/>
        <v>59002.148650673058</v>
      </c>
      <c r="E388" s="759">
        <f t="shared" si="130"/>
        <v>18670.147880240547</v>
      </c>
      <c r="F388" s="759">
        <f t="shared" si="130"/>
        <v>40255.098765167888</v>
      </c>
      <c r="G388" s="759">
        <f t="shared" si="130"/>
        <v>3217.5829820018407</v>
      </c>
      <c r="H388" s="759">
        <f t="shared" si="130"/>
        <v>58584.972285830459</v>
      </c>
      <c r="I388" s="759">
        <f t="shared" si="130"/>
        <v>15046.277312902605</v>
      </c>
      <c r="J388" s="360">
        <f t="shared" si="130"/>
        <v>0</v>
      </c>
      <c r="K388" s="25">
        <f t="shared" si="125"/>
        <v>1114575.2278768164</v>
      </c>
      <c r="L388" s="759">
        <v>150</v>
      </c>
      <c r="M388" s="759">
        <f t="shared" si="127"/>
        <v>7430.5015191787761</v>
      </c>
      <c r="N388" s="671">
        <v>11321</v>
      </c>
      <c r="O388" s="671"/>
      <c r="P388" s="40" t="s">
        <v>477</v>
      </c>
      <c r="Q388" s="774">
        <v>40838</v>
      </c>
      <c r="R388" s="775"/>
      <c r="S388" s="301">
        <f>L388/3</f>
        <v>50</v>
      </c>
      <c r="T388" s="806">
        <v>18396</v>
      </c>
      <c r="U388" s="25">
        <f t="shared" si="128"/>
        <v>919800</v>
      </c>
      <c r="V388" s="451"/>
      <c r="W388" s="774"/>
      <c r="X388" s="808"/>
      <c r="Y388" s="806"/>
      <c r="Z388" s="25">
        <f t="shared" si="129"/>
        <v>0</v>
      </c>
    </row>
    <row r="389" spans="1:26" ht="16.5" customHeight="1">
      <c r="A389" s="758">
        <f t="shared" si="123"/>
        <v>33</v>
      </c>
      <c r="B389" s="293" t="s">
        <v>819</v>
      </c>
      <c r="C389" s="25">
        <f t="shared" si="124"/>
        <v>941058</v>
      </c>
      <c r="D389" s="759">
        <f t="shared" si="130"/>
        <v>62935.625227384597</v>
      </c>
      <c r="E389" s="759">
        <f t="shared" si="130"/>
        <v>19914.824405589916</v>
      </c>
      <c r="F389" s="759">
        <f t="shared" si="130"/>
        <v>42938.772016179078</v>
      </c>
      <c r="G389" s="759">
        <f t="shared" si="130"/>
        <v>3432.0885141352965</v>
      </c>
      <c r="H389" s="759">
        <f t="shared" si="130"/>
        <v>62490.637104885827</v>
      </c>
      <c r="I389" s="759">
        <f t="shared" si="130"/>
        <v>16049.362467096111</v>
      </c>
      <c r="J389" s="360">
        <f t="shared" si="130"/>
        <v>0</v>
      </c>
      <c r="K389" s="25">
        <f t="shared" si="125"/>
        <v>1148818.3097352709</v>
      </c>
      <c r="L389" s="759">
        <v>160</v>
      </c>
      <c r="M389" s="759">
        <f t="shared" si="127"/>
        <v>7180.114435845443</v>
      </c>
      <c r="N389" s="671">
        <v>10267</v>
      </c>
      <c r="O389" s="671"/>
      <c r="P389" s="188" t="s">
        <v>403</v>
      </c>
      <c r="Q389" s="774">
        <v>40838</v>
      </c>
      <c r="R389" s="775"/>
      <c r="S389" s="301">
        <v>54</v>
      </c>
      <c r="T389" s="806">
        <v>17427</v>
      </c>
      <c r="U389" s="25">
        <f t="shared" si="128"/>
        <v>941058</v>
      </c>
      <c r="V389" s="451"/>
      <c r="W389" s="774"/>
      <c r="X389" s="808"/>
      <c r="Y389" s="806"/>
      <c r="Z389" s="25">
        <f t="shared" si="129"/>
        <v>0</v>
      </c>
    </row>
    <row r="390" spans="1:26" ht="16.5" customHeight="1">
      <c r="A390" s="758">
        <f t="shared" si="123"/>
        <v>34</v>
      </c>
      <c r="B390" s="293" t="s">
        <v>718</v>
      </c>
      <c r="C390" s="25">
        <f t="shared" si="124"/>
        <v>919800</v>
      </c>
      <c r="D390" s="759">
        <f t="shared" si="130"/>
        <v>39334.765767115372</v>
      </c>
      <c r="E390" s="759">
        <f t="shared" si="130"/>
        <v>12446.765253493697</v>
      </c>
      <c r="F390" s="759">
        <f t="shared" si="130"/>
        <v>26836.732510111928</v>
      </c>
      <c r="G390" s="759">
        <f t="shared" si="130"/>
        <v>2145.0553213345602</v>
      </c>
      <c r="H390" s="759">
        <f t="shared" si="130"/>
        <v>39056.648190553642</v>
      </c>
      <c r="I390" s="759">
        <f t="shared" si="130"/>
        <v>10030.85154193507</v>
      </c>
      <c r="J390" s="360">
        <f t="shared" si="130"/>
        <v>0</v>
      </c>
      <c r="K390" s="25">
        <f t="shared" si="125"/>
        <v>1049649.8185845441</v>
      </c>
      <c r="L390" s="759">
        <v>100</v>
      </c>
      <c r="M390" s="759">
        <f t="shared" si="127"/>
        <v>10496.498185845441</v>
      </c>
      <c r="N390" s="671">
        <v>13099</v>
      </c>
      <c r="O390" s="671"/>
      <c r="P390" s="40" t="s">
        <v>477</v>
      </c>
      <c r="Q390" s="774">
        <v>40838</v>
      </c>
      <c r="R390" s="775"/>
      <c r="S390" s="301">
        <v>50</v>
      </c>
      <c r="T390" s="806">
        <v>18396</v>
      </c>
      <c r="U390" s="25">
        <f t="shared" si="128"/>
        <v>919800</v>
      </c>
      <c r="V390" s="451"/>
      <c r="W390" s="774"/>
      <c r="X390" s="808"/>
      <c r="Y390" s="806"/>
      <c r="Z390" s="25">
        <f t="shared" si="129"/>
        <v>0</v>
      </c>
    </row>
    <row r="391" spans="1:26" ht="16.5" customHeight="1">
      <c r="A391" s="758">
        <f t="shared" si="123"/>
        <v>35</v>
      </c>
      <c r="B391" s="293" t="s">
        <v>536</v>
      </c>
      <c r="C391" s="25">
        <f t="shared" si="124"/>
        <v>1528960</v>
      </c>
      <c r="D391" s="759">
        <f t="shared" si="130"/>
        <v>66869.101804096135</v>
      </c>
      <c r="E391" s="759">
        <f t="shared" si="130"/>
        <v>21159.500930939284</v>
      </c>
      <c r="F391" s="759">
        <f t="shared" si="130"/>
        <v>45622.445267190276</v>
      </c>
      <c r="G391" s="759">
        <f t="shared" si="130"/>
        <v>3646.5940462687527</v>
      </c>
      <c r="H391" s="759">
        <f t="shared" si="130"/>
        <v>66396.301923941195</v>
      </c>
      <c r="I391" s="759">
        <f t="shared" si="130"/>
        <v>17052.447621289619</v>
      </c>
      <c r="J391" s="360">
        <f t="shared" si="130"/>
        <v>0</v>
      </c>
      <c r="K391" s="25">
        <f t="shared" si="125"/>
        <v>1749705.3915937254</v>
      </c>
      <c r="L391" s="759">
        <v>170</v>
      </c>
      <c r="M391" s="759">
        <f t="shared" si="127"/>
        <v>10292.384656433678</v>
      </c>
      <c r="N391" s="671">
        <v>12564</v>
      </c>
      <c r="O391" s="671"/>
      <c r="P391" s="188" t="s">
        <v>399</v>
      </c>
      <c r="Q391" s="774">
        <v>40838</v>
      </c>
      <c r="R391" s="775"/>
      <c r="S391" s="8">
        <v>80</v>
      </c>
      <c r="T391" s="289">
        <v>19112</v>
      </c>
      <c r="U391" s="25">
        <f t="shared" si="128"/>
        <v>1528960</v>
      </c>
      <c r="V391" s="451"/>
      <c r="W391" s="774"/>
      <c r="X391" s="808"/>
      <c r="Y391" s="806"/>
      <c r="Z391" s="25">
        <f t="shared" si="129"/>
        <v>0</v>
      </c>
    </row>
    <row r="392" spans="1:26" ht="16.5" customHeight="1">
      <c r="A392" s="758">
        <f t="shared" si="123"/>
        <v>36</v>
      </c>
      <c r="B392" s="293" t="s">
        <v>539</v>
      </c>
      <c r="C392" s="25">
        <f t="shared" si="124"/>
        <v>2124760</v>
      </c>
      <c r="D392" s="759">
        <f t="shared" si="130"/>
        <v>74736.054957519213</v>
      </c>
      <c r="E392" s="759">
        <f t="shared" si="130"/>
        <v>23648.853981638025</v>
      </c>
      <c r="F392" s="759">
        <f t="shared" si="130"/>
        <v>50989.791769212658</v>
      </c>
      <c r="G392" s="759">
        <f t="shared" si="130"/>
        <v>4075.6051105356646</v>
      </c>
      <c r="H392" s="759">
        <f t="shared" si="130"/>
        <v>74207.631562051916</v>
      </c>
      <c r="I392" s="759">
        <f t="shared" si="130"/>
        <v>19058.617929676631</v>
      </c>
      <c r="J392" s="360">
        <f t="shared" si="130"/>
        <v>0</v>
      </c>
      <c r="K392" s="25">
        <f t="shared" si="125"/>
        <v>2371475.555310634</v>
      </c>
      <c r="L392" s="759">
        <v>190</v>
      </c>
      <c r="M392" s="759">
        <f t="shared" si="127"/>
        <v>12481.4502911086</v>
      </c>
      <c r="N392" s="671">
        <v>16284</v>
      </c>
      <c r="O392" s="671"/>
      <c r="P392" s="188" t="s">
        <v>419</v>
      </c>
      <c r="Q392" s="774">
        <v>40838</v>
      </c>
      <c r="R392" s="775"/>
      <c r="S392" s="301">
        <v>110</v>
      </c>
      <c r="T392" s="806">
        <v>19316</v>
      </c>
      <c r="U392" s="25">
        <f t="shared" si="128"/>
        <v>2124760</v>
      </c>
      <c r="V392" s="451"/>
      <c r="W392" s="774"/>
      <c r="X392" s="808"/>
      <c r="Y392" s="806"/>
      <c r="Z392" s="25">
        <f t="shared" si="129"/>
        <v>0</v>
      </c>
    </row>
    <row r="393" spans="1:26" ht="16.5" customHeight="1">
      <c r="A393" s="758">
        <f t="shared" si="123"/>
        <v>37</v>
      </c>
      <c r="B393" s="293" t="s">
        <v>535</v>
      </c>
      <c r="C393" s="25">
        <f t="shared" si="124"/>
        <v>680652</v>
      </c>
      <c r="D393" s="759">
        <f t="shared" si="130"/>
        <v>43268.242343826911</v>
      </c>
      <c r="E393" s="759">
        <f t="shared" si="130"/>
        <v>13691.441778843067</v>
      </c>
      <c r="F393" s="759">
        <f t="shared" si="130"/>
        <v>29520.405761123118</v>
      </c>
      <c r="G393" s="759">
        <f t="shared" si="130"/>
        <v>2359.5608534680164</v>
      </c>
      <c r="H393" s="759">
        <f t="shared" si="130"/>
        <v>42962.313009609003</v>
      </c>
      <c r="I393" s="759">
        <f t="shared" si="130"/>
        <v>11033.936696128576</v>
      </c>
      <c r="J393" s="360">
        <f t="shared" si="130"/>
        <v>0</v>
      </c>
      <c r="K393" s="25">
        <f t="shared" si="125"/>
        <v>823486.90044299874</v>
      </c>
      <c r="L393" s="759">
        <v>110</v>
      </c>
      <c r="M393" s="759">
        <f t="shared" si="127"/>
        <v>7486.2445494818066</v>
      </c>
      <c r="N393" s="671">
        <v>10253</v>
      </c>
      <c r="O393" s="671"/>
      <c r="P393" s="40" t="s">
        <v>477</v>
      </c>
      <c r="Q393" s="774">
        <v>40838</v>
      </c>
      <c r="R393" s="775"/>
      <c r="S393" s="301">
        <v>37</v>
      </c>
      <c r="T393" s="806">
        <v>18396</v>
      </c>
      <c r="U393" s="25">
        <f t="shared" si="128"/>
        <v>680652</v>
      </c>
      <c r="V393" s="451"/>
      <c r="W393" s="774"/>
      <c r="X393" s="808"/>
      <c r="Y393" s="806"/>
      <c r="Z393" s="25">
        <f t="shared" si="129"/>
        <v>0</v>
      </c>
    </row>
    <row r="394" spans="1:26" ht="16.5" customHeight="1">
      <c r="A394" s="758">
        <f t="shared" si="123"/>
        <v>38</v>
      </c>
      <c r="B394" s="293" t="s">
        <v>820</v>
      </c>
      <c r="C394" s="25">
        <f t="shared" si="124"/>
        <v>2399040</v>
      </c>
      <c r="D394" s="759">
        <f t="shared" si="130"/>
        <v>118004.29730134612</v>
      </c>
      <c r="E394" s="759">
        <f t="shared" si="130"/>
        <v>37340.295760481094</v>
      </c>
      <c r="F394" s="759">
        <f t="shared" si="130"/>
        <v>80510.197530335776</v>
      </c>
      <c r="G394" s="759">
        <f t="shared" si="130"/>
        <v>6435.1659640036814</v>
      </c>
      <c r="H394" s="759">
        <f t="shared" si="130"/>
        <v>117169.94457166092</v>
      </c>
      <c r="I394" s="759">
        <f t="shared" si="130"/>
        <v>30092.554625805209</v>
      </c>
      <c r="J394" s="360">
        <f t="shared" si="130"/>
        <v>0</v>
      </c>
      <c r="K394" s="25">
        <f t="shared" si="125"/>
        <v>2788591.4557536324</v>
      </c>
      <c r="L394" s="759">
        <v>300</v>
      </c>
      <c r="M394" s="759">
        <f t="shared" si="127"/>
        <v>9295.3048525121085</v>
      </c>
      <c r="N394" s="671">
        <v>18620</v>
      </c>
      <c r="O394" s="671"/>
      <c r="P394" s="40" t="s">
        <v>473</v>
      </c>
      <c r="Q394" s="774">
        <v>40838</v>
      </c>
      <c r="R394" s="775"/>
      <c r="S394" s="301">
        <v>90</v>
      </c>
      <c r="T394" s="806">
        <v>26656</v>
      </c>
      <c r="U394" s="25">
        <f t="shared" si="128"/>
        <v>2399040</v>
      </c>
      <c r="V394" s="451"/>
      <c r="W394" s="774"/>
      <c r="X394" s="808"/>
      <c r="Y394" s="806"/>
      <c r="Z394" s="25">
        <f t="shared" si="129"/>
        <v>0</v>
      </c>
    </row>
    <row r="395" spans="1:26" ht="16.5" customHeight="1">
      <c r="A395" s="758">
        <f t="shared" si="123"/>
        <v>39</v>
      </c>
      <c r="B395" s="293" t="s">
        <v>792</v>
      </c>
      <c r="C395" s="25">
        <f t="shared" si="124"/>
        <v>1651608</v>
      </c>
      <c r="D395" s="759">
        <f t="shared" si="130"/>
        <v>221848.0789265307</v>
      </c>
      <c r="E395" s="759">
        <f t="shared" si="130"/>
        <v>70199.756029704455</v>
      </c>
      <c r="F395" s="759">
        <f t="shared" si="130"/>
        <v>151359.17135703127</v>
      </c>
      <c r="G395" s="759">
        <f t="shared" si="130"/>
        <v>12098.112012326921</v>
      </c>
      <c r="H395" s="759">
        <f t="shared" si="130"/>
        <v>220279.49579472255</v>
      </c>
      <c r="I395" s="759">
        <f t="shared" si="130"/>
        <v>56574.002696513795</v>
      </c>
      <c r="J395" s="360">
        <f t="shared" si="130"/>
        <v>0</v>
      </c>
      <c r="K395" s="25">
        <f t="shared" si="125"/>
        <v>2383965.616816829</v>
      </c>
      <c r="L395" s="759">
        <v>564</v>
      </c>
      <c r="M395" s="759">
        <f t="shared" si="127"/>
        <v>4226.8893915192002</v>
      </c>
      <c r="N395" s="671">
        <v>5080</v>
      </c>
      <c r="O395" s="671"/>
      <c r="P395" s="40" t="s">
        <v>481</v>
      </c>
      <c r="Q395" s="774">
        <v>40839</v>
      </c>
      <c r="R395" s="775"/>
      <c r="S395" s="301">
        <v>58</v>
      </c>
      <c r="T395" s="806">
        <v>28476</v>
      </c>
      <c r="U395" s="25">
        <f t="shared" si="128"/>
        <v>1651608</v>
      </c>
      <c r="V395" s="451"/>
      <c r="W395" s="774"/>
      <c r="X395" s="808"/>
      <c r="Y395" s="806"/>
      <c r="Z395" s="25">
        <f t="shared" si="129"/>
        <v>0</v>
      </c>
    </row>
    <row r="396" spans="1:26" ht="16.5" customHeight="1">
      <c r="A396" s="758">
        <f t="shared" si="123"/>
        <v>40</v>
      </c>
      <c r="B396" s="293" t="s">
        <v>793</v>
      </c>
      <c r="C396" s="25">
        <f t="shared" si="124"/>
        <v>1441440</v>
      </c>
      <c r="D396" s="759">
        <f t="shared" si="130"/>
        <v>157732.41072613266</v>
      </c>
      <c r="E396" s="759">
        <f t="shared" si="130"/>
        <v>49911.52866650973</v>
      </c>
      <c r="F396" s="759">
        <f t="shared" si="130"/>
        <v>107615.29736554883</v>
      </c>
      <c r="G396" s="759">
        <f t="shared" si="130"/>
        <v>8601.6718385515869</v>
      </c>
      <c r="H396" s="759">
        <f t="shared" si="130"/>
        <v>156617.15924412009</v>
      </c>
      <c r="I396" s="759">
        <f t="shared" si="130"/>
        <v>40223.714683159633</v>
      </c>
      <c r="J396" s="360">
        <f t="shared" si="130"/>
        <v>0</v>
      </c>
      <c r="K396" s="25">
        <f t="shared" si="125"/>
        <v>1962140.7825240225</v>
      </c>
      <c r="L396" s="759">
        <v>401</v>
      </c>
      <c r="M396" s="759">
        <f t="shared" si="127"/>
        <v>4893.1191584140215</v>
      </c>
      <c r="N396" s="671">
        <v>4980</v>
      </c>
      <c r="O396" s="671"/>
      <c r="P396" s="293" t="s">
        <v>397</v>
      </c>
      <c r="Q396" s="774">
        <v>40839</v>
      </c>
      <c r="R396" s="775"/>
      <c r="S396" s="301">
        <v>52</v>
      </c>
      <c r="T396" s="806">
        <v>27720</v>
      </c>
      <c r="U396" s="25">
        <f t="shared" si="128"/>
        <v>1441440</v>
      </c>
      <c r="V396" s="451"/>
      <c r="W396" s="774"/>
      <c r="X396" s="808"/>
      <c r="Y396" s="806"/>
      <c r="Z396" s="25">
        <f t="shared" si="129"/>
        <v>0</v>
      </c>
    </row>
    <row r="397" spans="1:26" ht="16.5" customHeight="1">
      <c r="A397" s="758">
        <f t="shared" si="123"/>
        <v>41</v>
      </c>
      <c r="B397" s="293" t="s">
        <v>794</v>
      </c>
      <c r="C397" s="25">
        <f t="shared" si="124"/>
        <v>1708200</v>
      </c>
      <c r="D397" s="759">
        <f t="shared" si="130"/>
        <v>199033.91478160379</v>
      </c>
      <c r="E397" s="759">
        <f t="shared" si="130"/>
        <v>62980.632182678106</v>
      </c>
      <c r="F397" s="759">
        <f t="shared" si="130"/>
        <v>135793.86650116634</v>
      </c>
      <c r="G397" s="759">
        <f t="shared" si="130"/>
        <v>10853.979925952875</v>
      </c>
      <c r="H397" s="759">
        <f t="shared" si="130"/>
        <v>197626.63984420142</v>
      </c>
      <c r="I397" s="759">
        <f t="shared" si="130"/>
        <v>50756.108802191455</v>
      </c>
      <c r="J397" s="360">
        <f t="shared" si="130"/>
        <v>0</v>
      </c>
      <c r="K397" s="25">
        <f t="shared" si="125"/>
        <v>2365244.142037794</v>
      </c>
      <c r="L397" s="759">
        <v>506</v>
      </c>
      <c r="M397" s="759">
        <f t="shared" si="127"/>
        <v>4674.3955376240992</v>
      </c>
      <c r="N397" s="671">
        <v>5180</v>
      </c>
      <c r="O397" s="671"/>
      <c r="P397" s="188" t="s">
        <v>431</v>
      </c>
      <c r="Q397" s="774">
        <v>40839</v>
      </c>
      <c r="R397" s="775"/>
      <c r="S397" s="301">
        <v>52</v>
      </c>
      <c r="T397" s="806">
        <v>32850</v>
      </c>
      <c r="U397" s="25">
        <f t="shared" si="128"/>
        <v>1708200</v>
      </c>
      <c r="V397" s="451"/>
      <c r="W397" s="774"/>
      <c r="X397" s="808"/>
      <c r="Y397" s="806"/>
      <c r="Z397" s="25">
        <f t="shared" si="129"/>
        <v>0</v>
      </c>
    </row>
    <row r="398" spans="1:26" ht="16.5" customHeight="1">
      <c r="A398" s="758">
        <f t="shared" si="123"/>
        <v>42</v>
      </c>
      <c r="B398" s="293" t="s">
        <v>795</v>
      </c>
      <c r="C398" s="25">
        <f t="shared" si="124"/>
        <v>1559040</v>
      </c>
      <c r="D398" s="759">
        <f t="shared" si="130"/>
        <v>118397.64495901727</v>
      </c>
      <c r="E398" s="759">
        <f t="shared" si="130"/>
        <v>37464.76341301603</v>
      </c>
      <c r="F398" s="759">
        <f t="shared" si="130"/>
        <v>80778.564855436896</v>
      </c>
      <c r="G398" s="759">
        <f t="shared" si="130"/>
        <v>6456.6165172170267</v>
      </c>
      <c r="H398" s="759">
        <f t="shared" si="130"/>
        <v>117560.51105356646</v>
      </c>
      <c r="I398" s="759">
        <f t="shared" si="130"/>
        <v>30192.86314122456</v>
      </c>
      <c r="J398" s="360">
        <f t="shared" si="130"/>
        <v>0</v>
      </c>
      <c r="K398" s="25">
        <f t="shared" si="125"/>
        <v>1949889.9639394779</v>
      </c>
      <c r="L398" s="759">
        <v>301</v>
      </c>
      <c r="M398" s="759">
        <f t="shared" si="127"/>
        <v>6478.0397473072353</v>
      </c>
      <c r="N398" s="671">
        <v>6740</v>
      </c>
      <c r="O398" s="671"/>
      <c r="P398" s="188" t="s">
        <v>424</v>
      </c>
      <c r="Q398" s="774">
        <v>40839</v>
      </c>
      <c r="R398" s="775"/>
      <c r="S398" s="301">
        <v>58</v>
      </c>
      <c r="T398" s="806">
        <v>26880</v>
      </c>
      <c r="U398" s="25">
        <f t="shared" si="128"/>
        <v>1559040</v>
      </c>
      <c r="V398" s="451"/>
      <c r="W398" s="774"/>
      <c r="X398" s="808"/>
      <c r="Y398" s="806"/>
      <c r="Z398" s="25">
        <f t="shared" si="129"/>
        <v>0</v>
      </c>
    </row>
    <row r="399" spans="1:26" ht="16.5" customHeight="1">
      <c r="A399" s="758">
        <f t="shared" si="123"/>
        <v>43</v>
      </c>
      <c r="B399" s="293" t="s">
        <v>796</v>
      </c>
      <c r="C399" s="25">
        <f t="shared" si="124"/>
        <v>787864</v>
      </c>
      <c r="D399" s="759">
        <f t="shared" si="130"/>
        <v>121151.07856271535</v>
      </c>
      <c r="E399" s="759">
        <f t="shared" si="130"/>
        <v>38336.036980760589</v>
      </c>
      <c r="F399" s="759">
        <f t="shared" si="130"/>
        <v>82657.13613114474</v>
      </c>
      <c r="G399" s="759">
        <f t="shared" si="130"/>
        <v>6606.7703897104457</v>
      </c>
      <c r="H399" s="759">
        <f t="shared" si="130"/>
        <v>120294.47642690522</v>
      </c>
      <c r="I399" s="759">
        <f t="shared" si="130"/>
        <v>30895.022749160016</v>
      </c>
      <c r="J399" s="360">
        <f t="shared" si="130"/>
        <v>0</v>
      </c>
      <c r="K399" s="25">
        <f t="shared" si="125"/>
        <v>1187803.5212403962</v>
      </c>
      <c r="L399" s="759">
        <v>308</v>
      </c>
      <c r="M399" s="759">
        <f t="shared" si="127"/>
        <v>3856.5049390921954</v>
      </c>
      <c r="N399" s="671">
        <v>4980</v>
      </c>
      <c r="O399" s="671"/>
      <c r="P399" s="188" t="s">
        <v>498</v>
      </c>
      <c r="Q399" s="774">
        <v>40839</v>
      </c>
      <c r="R399" s="775"/>
      <c r="S399" s="301">
        <v>22</v>
      </c>
      <c r="T399" s="806">
        <v>35812</v>
      </c>
      <c r="U399" s="25">
        <f t="shared" si="128"/>
        <v>787864</v>
      </c>
      <c r="V399" s="451"/>
      <c r="W399" s="774"/>
      <c r="X399" s="808"/>
      <c r="Y399" s="806"/>
      <c r="Z399" s="25">
        <f t="shared" si="129"/>
        <v>0</v>
      </c>
    </row>
    <row r="400" spans="1:26" ht="16.5" customHeight="1">
      <c r="A400" s="758">
        <f t="shared" si="123"/>
        <v>44</v>
      </c>
      <c r="B400" s="293" t="s">
        <v>797</v>
      </c>
      <c r="C400" s="25">
        <f t="shared" si="124"/>
        <v>2283008</v>
      </c>
      <c r="D400" s="759">
        <f t="shared" si="130"/>
        <v>199033.91478160379</v>
      </c>
      <c r="E400" s="759">
        <f t="shared" si="130"/>
        <v>62980.632182678106</v>
      </c>
      <c r="F400" s="759">
        <f t="shared" si="130"/>
        <v>135793.86650116634</v>
      </c>
      <c r="G400" s="759">
        <f t="shared" si="130"/>
        <v>10853.979925952875</v>
      </c>
      <c r="H400" s="759">
        <f t="shared" si="130"/>
        <v>197626.63984420142</v>
      </c>
      <c r="I400" s="759">
        <f t="shared" si="130"/>
        <v>50756.108802191455</v>
      </c>
      <c r="J400" s="360">
        <f t="shared" si="130"/>
        <v>0</v>
      </c>
      <c r="K400" s="25">
        <f t="shared" si="125"/>
        <v>2940052.1420377945</v>
      </c>
      <c r="L400" s="759">
        <v>506</v>
      </c>
      <c r="M400" s="759">
        <f t="shared" si="127"/>
        <v>5810.3797273474202</v>
      </c>
      <c r="N400" s="671">
        <v>6680</v>
      </c>
      <c r="O400" s="671"/>
      <c r="P400" s="188" t="s">
        <v>408</v>
      </c>
      <c r="Q400" s="774">
        <v>40839</v>
      </c>
      <c r="R400" s="775"/>
      <c r="S400" s="301">
        <v>52</v>
      </c>
      <c r="T400" s="806">
        <v>43904</v>
      </c>
      <c r="U400" s="25">
        <f t="shared" si="128"/>
        <v>2283008</v>
      </c>
      <c r="V400" s="451"/>
      <c r="W400" s="774"/>
      <c r="X400" s="808"/>
      <c r="Y400" s="806"/>
      <c r="Z400" s="25">
        <f t="shared" si="129"/>
        <v>0</v>
      </c>
    </row>
    <row r="401" spans="1:26" ht="16.5" customHeight="1">
      <c r="A401" s="758">
        <f t="shared" si="123"/>
        <v>45</v>
      </c>
      <c r="B401" s="293" t="s">
        <v>798</v>
      </c>
      <c r="C401" s="25">
        <f t="shared" si="124"/>
        <v>1215739</v>
      </c>
      <c r="D401" s="759">
        <f t="shared" si="130"/>
        <v>155765.67243777687</v>
      </c>
      <c r="E401" s="759">
        <f t="shared" si="130"/>
        <v>49289.19040383504</v>
      </c>
      <c r="F401" s="759">
        <f t="shared" si="130"/>
        <v>106273.46074004323</v>
      </c>
      <c r="G401" s="759">
        <f t="shared" si="130"/>
        <v>8494.4190724848595</v>
      </c>
      <c r="H401" s="759">
        <f t="shared" si="130"/>
        <v>154664.32683459242</v>
      </c>
      <c r="I401" s="759">
        <f t="shared" si="130"/>
        <v>39722.172106062877</v>
      </c>
      <c r="J401" s="360">
        <f t="shared" si="130"/>
        <v>0</v>
      </c>
      <c r="K401" s="25">
        <f t="shared" si="125"/>
        <v>1729947.2415947956</v>
      </c>
      <c r="L401" s="759">
        <v>396</v>
      </c>
      <c r="M401" s="759">
        <f t="shared" si="127"/>
        <v>4368.5536403908982</v>
      </c>
      <c r="N401" s="671">
        <v>4400</v>
      </c>
      <c r="O401" s="671"/>
      <c r="P401" s="188" t="s">
        <v>443</v>
      </c>
      <c r="Q401" s="774">
        <v>40839</v>
      </c>
      <c r="R401" s="775"/>
      <c r="S401" s="301">
        <v>43</v>
      </c>
      <c r="T401" s="806">
        <v>28273</v>
      </c>
      <c r="U401" s="25">
        <f t="shared" si="128"/>
        <v>1215739</v>
      </c>
      <c r="V401" s="451"/>
      <c r="W401" s="774"/>
      <c r="X401" s="808"/>
      <c r="Y401" s="806"/>
      <c r="Z401" s="25">
        <f t="shared" si="129"/>
        <v>0</v>
      </c>
    </row>
    <row r="402" spans="1:26" ht="16.5" customHeight="1">
      <c r="A402" s="758">
        <f t="shared" si="123"/>
        <v>46</v>
      </c>
      <c r="B402" s="293" t="s">
        <v>799</v>
      </c>
      <c r="C402" s="25">
        <f t="shared" si="124"/>
        <v>243250</v>
      </c>
      <c r="D402" s="759">
        <f t="shared" si="130"/>
        <v>110137.34414792305</v>
      </c>
      <c r="E402" s="759">
        <f t="shared" si="130"/>
        <v>34850.94270978235</v>
      </c>
      <c r="F402" s="759">
        <f t="shared" si="130"/>
        <v>75142.851028313395</v>
      </c>
      <c r="G402" s="759">
        <f t="shared" si="130"/>
        <v>6006.154899736769</v>
      </c>
      <c r="H402" s="759">
        <f t="shared" si="130"/>
        <v>109358.6149335502</v>
      </c>
      <c r="I402" s="759">
        <f t="shared" si="130"/>
        <v>28086.384317418197</v>
      </c>
      <c r="J402" s="360">
        <f t="shared" si="130"/>
        <v>0</v>
      </c>
      <c r="K402" s="25">
        <f t="shared" si="125"/>
        <v>606831.29203672393</v>
      </c>
      <c r="L402" s="759">
        <v>280</v>
      </c>
      <c r="M402" s="759">
        <f t="shared" si="127"/>
        <v>2167.2546144168714</v>
      </c>
      <c r="N402" s="671">
        <v>2700</v>
      </c>
      <c r="O402" s="671"/>
      <c r="P402" s="188" t="s">
        <v>387</v>
      </c>
      <c r="Q402" s="774">
        <v>40839</v>
      </c>
      <c r="R402" s="775"/>
      <c r="S402" s="301">
        <v>10</v>
      </c>
      <c r="T402" s="806">
        <v>24325</v>
      </c>
      <c r="U402" s="25">
        <f t="shared" si="128"/>
        <v>243250</v>
      </c>
      <c r="V402" s="451"/>
      <c r="W402" s="774"/>
      <c r="X402" s="808"/>
      <c r="Y402" s="806"/>
      <c r="Z402" s="25">
        <f t="shared" si="129"/>
        <v>0</v>
      </c>
    </row>
    <row r="403" spans="1:26" ht="16.5" customHeight="1">
      <c r="A403" s="758">
        <f t="shared" si="123"/>
        <v>47</v>
      </c>
      <c r="B403" s="293" t="s">
        <v>800</v>
      </c>
      <c r="C403" s="25">
        <f t="shared" si="124"/>
        <v>3173916</v>
      </c>
      <c r="D403" s="759">
        <f t="shared" si="130"/>
        <v>64902.36351574037</v>
      </c>
      <c r="E403" s="759">
        <f t="shared" si="130"/>
        <v>20537.162668264602</v>
      </c>
      <c r="F403" s="759">
        <f t="shared" si="130"/>
        <v>44280.608641684681</v>
      </c>
      <c r="G403" s="759">
        <f t="shared" si="130"/>
        <v>3539.3412802020248</v>
      </c>
      <c r="H403" s="759">
        <f t="shared" si="130"/>
        <v>64443.469514413511</v>
      </c>
      <c r="I403" s="759">
        <f t="shared" si="130"/>
        <v>16550.905044192867</v>
      </c>
      <c r="J403" s="360">
        <f t="shared" si="130"/>
        <v>0</v>
      </c>
      <c r="K403" s="25">
        <f t="shared" si="125"/>
        <v>3388168.8506644978</v>
      </c>
      <c r="L403" s="759">
        <v>165</v>
      </c>
      <c r="M403" s="759">
        <f t="shared" si="127"/>
        <v>20534.356670693927</v>
      </c>
      <c r="N403" s="671">
        <v>25900</v>
      </c>
      <c r="O403" s="671"/>
      <c r="P403" s="40" t="s">
        <v>458</v>
      </c>
      <c r="Q403" s="774">
        <v>40840</v>
      </c>
      <c r="R403" s="775"/>
      <c r="S403" s="301">
        <v>86</v>
      </c>
      <c r="T403" s="806">
        <v>36906</v>
      </c>
      <c r="U403" s="25">
        <f t="shared" si="128"/>
        <v>3173916</v>
      </c>
      <c r="V403" s="451"/>
      <c r="W403" s="774"/>
      <c r="X403" s="808"/>
      <c r="Y403" s="806"/>
      <c r="Z403" s="25">
        <f t="shared" si="129"/>
        <v>0</v>
      </c>
    </row>
    <row r="404" spans="1:26" ht="16.5" customHeight="1">
      <c r="A404" s="758">
        <f t="shared" si="123"/>
        <v>48</v>
      </c>
      <c r="B404" s="293" t="s">
        <v>801</v>
      </c>
      <c r="C404" s="25">
        <f t="shared" si="124"/>
        <v>7697228</v>
      </c>
      <c r="D404" s="759">
        <f t="shared" si="130"/>
        <v>224601.51253022879</v>
      </c>
      <c r="E404" s="759">
        <f t="shared" si="130"/>
        <v>71071.029597449015</v>
      </c>
      <c r="F404" s="759">
        <f t="shared" si="130"/>
        <v>153237.7426327391</v>
      </c>
      <c r="G404" s="759">
        <f t="shared" si="130"/>
        <v>12248.265884820339</v>
      </c>
      <c r="H404" s="759">
        <f t="shared" si="130"/>
        <v>223013.4611680613</v>
      </c>
      <c r="I404" s="759">
        <f t="shared" si="130"/>
        <v>57276.162304449252</v>
      </c>
      <c r="J404" s="360">
        <f t="shared" si="130"/>
        <v>0</v>
      </c>
      <c r="K404" s="25">
        <f t="shared" si="125"/>
        <v>8438675.1741177477</v>
      </c>
      <c r="L404" s="759">
        <v>571</v>
      </c>
      <c r="M404" s="759">
        <f t="shared" si="127"/>
        <v>14778.765628927755</v>
      </c>
      <c r="N404" s="671">
        <v>21300</v>
      </c>
      <c r="O404" s="671"/>
      <c r="P404" s="40" t="s">
        <v>462</v>
      </c>
      <c r="Q404" s="774">
        <v>40840</v>
      </c>
      <c r="R404" s="775"/>
      <c r="S404" s="301">
        <v>326</v>
      </c>
      <c r="T404" s="806">
        <v>23611.12883435583</v>
      </c>
      <c r="U404" s="25">
        <f t="shared" si="128"/>
        <v>7697228</v>
      </c>
      <c r="V404" s="451"/>
      <c r="W404" s="774"/>
      <c r="X404" s="808"/>
      <c r="Y404" s="806"/>
      <c r="Z404" s="25">
        <f t="shared" si="129"/>
        <v>0</v>
      </c>
    </row>
    <row r="405" spans="1:26" ht="16.5" customHeight="1">
      <c r="A405" s="758">
        <f t="shared" si="123"/>
        <v>49</v>
      </c>
      <c r="B405" s="293" t="s">
        <v>813</v>
      </c>
      <c r="C405" s="25">
        <f t="shared" si="124"/>
        <v>1237650</v>
      </c>
      <c r="D405" s="759">
        <f t="shared" si="130"/>
        <v>59002.148650673058</v>
      </c>
      <c r="E405" s="759">
        <f t="shared" si="130"/>
        <v>18670.147880240547</v>
      </c>
      <c r="F405" s="759">
        <f t="shared" si="130"/>
        <v>40255.098765167888</v>
      </c>
      <c r="G405" s="759">
        <f t="shared" si="130"/>
        <v>3217.5829820018407</v>
      </c>
      <c r="H405" s="759">
        <f t="shared" si="130"/>
        <v>58584.972285830459</v>
      </c>
      <c r="I405" s="759">
        <f t="shared" si="130"/>
        <v>15046.277312902605</v>
      </c>
      <c r="J405" s="360">
        <f t="shared" si="130"/>
        <v>0</v>
      </c>
      <c r="K405" s="25">
        <f t="shared" si="125"/>
        <v>1432425.2278768162</v>
      </c>
      <c r="L405" s="759">
        <v>150</v>
      </c>
      <c r="M405" s="759">
        <f t="shared" si="127"/>
        <v>9549.5015191787752</v>
      </c>
      <c r="N405" s="671">
        <v>10397</v>
      </c>
      <c r="O405" s="671"/>
      <c r="P405" s="40" t="s">
        <v>508</v>
      </c>
      <c r="Q405" s="774">
        <v>40855</v>
      </c>
      <c r="R405" s="775"/>
      <c r="S405" s="301">
        <f>L405/2</f>
        <v>75</v>
      </c>
      <c r="T405" s="806">
        <v>16502</v>
      </c>
      <c r="U405" s="25">
        <f t="shared" si="128"/>
        <v>1237650</v>
      </c>
      <c r="V405" s="451"/>
      <c r="W405" s="774"/>
      <c r="X405" s="808"/>
      <c r="Y405" s="806"/>
      <c r="Z405" s="25">
        <f t="shared" si="129"/>
        <v>0</v>
      </c>
    </row>
    <row r="406" spans="1:26" ht="16.5" customHeight="1">
      <c r="A406" s="758">
        <f t="shared" si="123"/>
        <v>50</v>
      </c>
      <c r="B406" s="293" t="s">
        <v>814</v>
      </c>
      <c r="C406" s="25">
        <f t="shared" si="124"/>
        <v>284460</v>
      </c>
      <c r="D406" s="759">
        <f t="shared" si="130"/>
        <v>12980.472703148074</v>
      </c>
      <c r="E406" s="759">
        <f t="shared" si="130"/>
        <v>4107.43253365292</v>
      </c>
      <c r="F406" s="759">
        <f t="shared" si="130"/>
        <v>8856.1217283369351</v>
      </c>
      <c r="G406" s="759">
        <f t="shared" si="130"/>
        <v>707.86825604040496</v>
      </c>
      <c r="H406" s="759">
        <f t="shared" si="130"/>
        <v>12888.693902882702</v>
      </c>
      <c r="I406" s="759">
        <f t="shared" si="130"/>
        <v>3310.1810088385732</v>
      </c>
      <c r="J406" s="360">
        <f t="shared" si="130"/>
        <v>0</v>
      </c>
      <c r="K406" s="25">
        <f t="shared" si="125"/>
        <v>327309.77013289963</v>
      </c>
      <c r="L406" s="759">
        <v>33</v>
      </c>
      <c r="M406" s="759">
        <f t="shared" si="127"/>
        <v>9918.4778828151411</v>
      </c>
      <c r="N406" s="671">
        <v>12869</v>
      </c>
      <c r="O406" s="671"/>
      <c r="P406" s="188" t="s">
        <v>415</v>
      </c>
      <c r="Q406" s="774">
        <v>40855</v>
      </c>
      <c r="R406" s="775"/>
      <c r="S406" s="301">
        <f>L406</f>
        <v>33</v>
      </c>
      <c r="T406" s="806">
        <v>8620</v>
      </c>
      <c r="U406" s="25">
        <f t="shared" si="128"/>
        <v>284460</v>
      </c>
      <c r="V406" s="451"/>
      <c r="W406" s="774"/>
      <c r="X406" s="808"/>
      <c r="Y406" s="806"/>
      <c r="Z406" s="25">
        <f t="shared" si="129"/>
        <v>0</v>
      </c>
    </row>
    <row r="407" spans="1:26" ht="16.5" customHeight="1">
      <c r="A407" s="758">
        <f t="shared" si="123"/>
        <v>51</v>
      </c>
      <c r="B407" s="293" t="s">
        <v>807</v>
      </c>
      <c r="C407" s="25">
        <f t="shared" si="124"/>
        <v>227568</v>
      </c>
      <c r="D407" s="759">
        <f t="shared" si="130"/>
        <v>8653.6484687653829</v>
      </c>
      <c r="E407" s="759">
        <f t="shared" si="130"/>
        <v>2738.2883557686137</v>
      </c>
      <c r="F407" s="759">
        <f t="shared" si="130"/>
        <v>5904.081152224624</v>
      </c>
      <c r="G407" s="759">
        <f t="shared" si="130"/>
        <v>471.91217069360329</v>
      </c>
      <c r="H407" s="759">
        <f t="shared" si="130"/>
        <v>8592.4626019218013</v>
      </c>
      <c r="I407" s="759">
        <f t="shared" si="130"/>
        <v>2206.7873392257152</v>
      </c>
      <c r="J407" s="360">
        <f t="shared" si="130"/>
        <v>0</v>
      </c>
      <c r="K407" s="25">
        <f t="shared" si="125"/>
        <v>256134.18008859971</v>
      </c>
      <c r="L407" s="759">
        <v>22</v>
      </c>
      <c r="M407" s="759">
        <f t="shared" si="127"/>
        <v>11642.462731299987</v>
      </c>
      <c r="N407" s="671">
        <v>14450</v>
      </c>
      <c r="O407" s="671"/>
      <c r="P407" s="188" t="s">
        <v>451</v>
      </c>
      <c r="Q407" s="774">
        <v>40855</v>
      </c>
      <c r="R407" s="775"/>
      <c r="S407" s="301">
        <f>L407</f>
        <v>22</v>
      </c>
      <c r="T407" s="806">
        <v>10344</v>
      </c>
      <c r="U407" s="25">
        <f t="shared" si="128"/>
        <v>227568</v>
      </c>
      <c r="V407" s="451"/>
      <c r="W407" s="774"/>
      <c r="X407" s="808"/>
      <c r="Y407" s="806"/>
      <c r="Z407" s="25">
        <f t="shared" si="129"/>
        <v>0</v>
      </c>
    </row>
    <row r="408" spans="1:26" ht="16.5" customHeight="1">
      <c r="A408" s="758">
        <f t="shared" si="123"/>
        <v>52</v>
      </c>
      <c r="B408" s="293" t="s">
        <v>806</v>
      </c>
      <c r="C408" s="25">
        <f t="shared" si="124"/>
        <v>379280</v>
      </c>
      <c r="D408" s="759">
        <f t="shared" si="130"/>
        <v>17307.296937530766</v>
      </c>
      <c r="E408" s="759">
        <f t="shared" si="130"/>
        <v>5476.5767115372273</v>
      </c>
      <c r="F408" s="759">
        <f t="shared" si="130"/>
        <v>11808.162304449248</v>
      </c>
      <c r="G408" s="759">
        <f t="shared" si="130"/>
        <v>943.82434138720657</v>
      </c>
      <c r="H408" s="759">
        <f t="shared" si="130"/>
        <v>17184.925203843603</v>
      </c>
      <c r="I408" s="759">
        <f t="shared" si="130"/>
        <v>4413.5746784514304</v>
      </c>
      <c r="J408" s="360">
        <f t="shared" si="130"/>
        <v>0</v>
      </c>
      <c r="K408" s="25">
        <f t="shared" si="125"/>
        <v>436413.36017719941</v>
      </c>
      <c r="L408" s="759">
        <v>44</v>
      </c>
      <c r="M408" s="759">
        <f t="shared" si="127"/>
        <v>9918.4854585727135</v>
      </c>
      <c r="N408" s="671">
        <v>11420</v>
      </c>
      <c r="O408" s="671"/>
      <c r="P408" s="188" t="s">
        <v>415</v>
      </c>
      <c r="Q408" s="774">
        <v>40855</v>
      </c>
      <c r="R408" s="775"/>
      <c r="S408" s="301">
        <f>L408</f>
        <v>44</v>
      </c>
      <c r="T408" s="806">
        <v>8620</v>
      </c>
      <c r="U408" s="25">
        <f t="shared" si="128"/>
        <v>379280</v>
      </c>
      <c r="V408" s="451"/>
      <c r="W408" s="774"/>
      <c r="X408" s="808"/>
      <c r="Y408" s="806"/>
      <c r="Z408" s="25">
        <f t="shared" si="129"/>
        <v>0</v>
      </c>
    </row>
    <row r="409" spans="1:26" ht="16.5" customHeight="1">
      <c r="A409" s="758">
        <f t="shared" si="123"/>
        <v>53</v>
      </c>
      <c r="B409" s="293" t="s">
        <v>808</v>
      </c>
      <c r="C409" s="25">
        <f t="shared" si="124"/>
        <v>314309</v>
      </c>
      <c r="D409" s="759">
        <f t="shared" si="130"/>
        <v>12193.777387805765</v>
      </c>
      <c r="E409" s="759">
        <f t="shared" si="130"/>
        <v>3858.4972285830463</v>
      </c>
      <c r="F409" s="759">
        <f t="shared" si="130"/>
        <v>8319.3870781346977</v>
      </c>
      <c r="G409" s="759">
        <f t="shared" ref="D409:J445" si="131">IF($L$599&lt;&gt;0,G$599/$L$599*$L409,0)</f>
        <v>664.96714961371367</v>
      </c>
      <c r="H409" s="759">
        <f t="shared" si="131"/>
        <v>12107.560939071629</v>
      </c>
      <c r="I409" s="759">
        <f t="shared" si="131"/>
        <v>3109.5639779998714</v>
      </c>
      <c r="J409" s="360">
        <f t="shared" si="131"/>
        <v>0</v>
      </c>
      <c r="K409" s="25">
        <f t="shared" si="125"/>
        <v>354561.75376120867</v>
      </c>
      <c r="L409" s="759">
        <v>31</v>
      </c>
      <c r="M409" s="759">
        <f t="shared" si="127"/>
        <v>11437.475927780924</v>
      </c>
      <c r="N409" s="671">
        <v>13881</v>
      </c>
      <c r="O409" s="671"/>
      <c r="P409" s="40" t="s">
        <v>503</v>
      </c>
      <c r="Q409" s="774">
        <v>40855</v>
      </c>
      <c r="R409" s="775"/>
      <c r="S409" s="301">
        <f>L409/2</f>
        <v>15.5</v>
      </c>
      <c r="T409" s="806">
        <v>20278</v>
      </c>
      <c r="U409" s="25">
        <f t="shared" si="128"/>
        <v>314309</v>
      </c>
      <c r="V409" s="451"/>
      <c r="W409" s="774"/>
      <c r="X409" s="808"/>
      <c r="Y409" s="806"/>
      <c r="Z409" s="25">
        <f t="shared" si="129"/>
        <v>0</v>
      </c>
    </row>
    <row r="410" spans="1:26" ht="16.5" customHeight="1">
      <c r="A410" s="758">
        <f t="shared" si="123"/>
        <v>54</v>
      </c>
      <c r="B410" s="293" t="s">
        <v>812</v>
      </c>
      <c r="C410" s="25">
        <f t="shared" si="124"/>
        <v>451360</v>
      </c>
      <c r="D410" s="759">
        <f t="shared" si="131"/>
        <v>12587.12504547692</v>
      </c>
      <c r="E410" s="759">
        <f t="shared" si="131"/>
        <v>3982.9648811179832</v>
      </c>
      <c r="F410" s="759">
        <f t="shared" si="131"/>
        <v>8587.7544032358164</v>
      </c>
      <c r="G410" s="759">
        <f t="shared" si="131"/>
        <v>686.41770282705932</v>
      </c>
      <c r="H410" s="759">
        <f t="shared" si="131"/>
        <v>12498.127420977165</v>
      </c>
      <c r="I410" s="759">
        <f t="shared" si="131"/>
        <v>3209.8724934192223</v>
      </c>
      <c r="J410" s="360">
        <f t="shared" si="131"/>
        <v>0</v>
      </c>
      <c r="K410" s="25">
        <f t="shared" si="125"/>
        <v>492911.26194705418</v>
      </c>
      <c r="L410" s="759">
        <v>32</v>
      </c>
      <c r="M410" s="759">
        <f t="shared" si="127"/>
        <v>15403.476935845443</v>
      </c>
      <c r="N410" s="671">
        <v>17372</v>
      </c>
      <c r="O410" s="671"/>
      <c r="P410" s="40" t="s">
        <v>510</v>
      </c>
      <c r="Q410" s="774">
        <v>40855</v>
      </c>
      <c r="R410" s="775"/>
      <c r="S410" s="301">
        <f>L410</f>
        <v>32</v>
      </c>
      <c r="T410" s="806">
        <v>14105</v>
      </c>
      <c r="U410" s="25">
        <f t="shared" si="128"/>
        <v>451360</v>
      </c>
      <c r="V410" s="451"/>
      <c r="W410" s="774"/>
      <c r="X410" s="808"/>
      <c r="Y410" s="806"/>
      <c r="Z410" s="25">
        <f t="shared" si="129"/>
        <v>0</v>
      </c>
    </row>
    <row r="411" spans="1:26" ht="16.5" customHeight="1">
      <c r="A411" s="758">
        <f t="shared" si="123"/>
        <v>55</v>
      </c>
      <c r="B411" s="293" t="s">
        <v>809</v>
      </c>
      <c r="C411" s="25">
        <f t="shared" si="124"/>
        <v>17368</v>
      </c>
      <c r="D411" s="759">
        <f t="shared" si="131"/>
        <v>393.34765767115374</v>
      </c>
      <c r="E411" s="759">
        <f t="shared" si="131"/>
        <v>124.46765253493697</v>
      </c>
      <c r="F411" s="759">
        <f t="shared" si="131"/>
        <v>268.36732510111926</v>
      </c>
      <c r="G411" s="759">
        <f t="shared" si="131"/>
        <v>21.450553213345604</v>
      </c>
      <c r="H411" s="759">
        <f t="shared" si="131"/>
        <v>390.56648190553642</v>
      </c>
      <c r="I411" s="759">
        <f t="shared" si="131"/>
        <v>100.3085154193507</v>
      </c>
      <c r="J411" s="360">
        <f t="shared" si="131"/>
        <v>0</v>
      </c>
      <c r="K411" s="25">
        <f t="shared" si="125"/>
        <v>18665.508185845447</v>
      </c>
      <c r="L411" s="759">
        <v>1</v>
      </c>
      <c r="M411" s="759">
        <f t="shared" si="127"/>
        <v>18665.508185845447</v>
      </c>
      <c r="N411" s="671">
        <v>20981</v>
      </c>
      <c r="O411" s="671"/>
      <c r="P411" s="188" t="s">
        <v>436</v>
      </c>
      <c r="Q411" s="774">
        <v>40855</v>
      </c>
      <c r="R411" s="775"/>
      <c r="S411" s="301">
        <f>L411</f>
        <v>1</v>
      </c>
      <c r="T411" s="806">
        <v>17368</v>
      </c>
      <c r="U411" s="25">
        <f t="shared" si="128"/>
        <v>17368</v>
      </c>
      <c r="V411" s="451"/>
      <c r="W411" s="774"/>
      <c r="X411" s="808"/>
      <c r="Y411" s="806"/>
      <c r="Z411" s="25">
        <f t="shared" si="129"/>
        <v>0</v>
      </c>
    </row>
    <row r="412" spans="1:26" ht="16.5" customHeight="1">
      <c r="A412" s="758">
        <f t="shared" si="123"/>
        <v>56</v>
      </c>
      <c r="B412" s="293" t="s">
        <v>815</v>
      </c>
      <c r="C412" s="25">
        <f t="shared" si="124"/>
        <v>367920</v>
      </c>
      <c r="D412" s="759">
        <f t="shared" si="131"/>
        <v>10620.38675712115</v>
      </c>
      <c r="E412" s="759">
        <f t="shared" si="131"/>
        <v>3360.6266184432984</v>
      </c>
      <c r="F412" s="759">
        <f t="shared" si="131"/>
        <v>7245.9177777302202</v>
      </c>
      <c r="G412" s="759">
        <f t="shared" si="131"/>
        <v>579.16493676033133</v>
      </c>
      <c r="H412" s="759">
        <f t="shared" si="131"/>
        <v>10545.295011449483</v>
      </c>
      <c r="I412" s="759">
        <f t="shared" si="131"/>
        <v>2708.3299163224688</v>
      </c>
      <c r="J412" s="360">
        <f t="shared" si="131"/>
        <v>0</v>
      </c>
      <c r="K412" s="25">
        <f t="shared" si="125"/>
        <v>402978.72101782693</v>
      </c>
      <c r="L412" s="759">
        <v>27</v>
      </c>
      <c r="M412" s="759">
        <f t="shared" si="127"/>
        <v>14925.137815475071</v>
      </c>
      <c r="N412" s="671">
        <v>16832</v>
      </c>
      <c r="O412" s="671"/>
      <c r="P412" s="188" t="s">
        <v>386</v>
      </c>
      <c r="Q412" s="774">
        <v>40855</v>
      </c>
      <c r="R412" s="775"/>
      <c r="S412" s="301">
        <v>10</v>
      </c>
      <c r="T412" s="806">
        <v>36792</v>
      </c>
      <c r="U412" s="25">
        <f t="shared" si="128"/>
        <v>367920</v>
      </c>
      <c r="V412" s="451"/>
      <c r="W412" s="774"/>
      <c r="X412" s="808"/>
      <c r="Y412" s="806"/>
      <c r="Z412" s="25">
        <f t="shared" si="129"/>
        <v>0</v>
      </c>
    </row>
    <row r="413" spans="1:26" ht="16.5" customHeight="1">
      <c r="A413" s="758">
        <f t="shared" si="123"/>
        <v>57</v>
      </c>
      <c r="B413" s="293" t="s">
        <v>535</v>
      </c>
      <c r="C413" s="25">
        <f t="shared" si="124"/>
        <v>74239</v>
      </c>
      <c r="D413" s="759">
        <f t="shared" si="131"/>
        <v>4326.8242343826914</v>
      </c>
      <c r="E413" s="759">
        <f t="shared" si="131"/>
        <v>1369.1441778843068</v>
      </c>
      <c r="F413" s="759">
        <f t="shared" si="131"/>
        <v>2952.040576112312</v>
      </c>
      <c r="G413" s="759">
        <f t="shared" si="131"/>
        <v>235.95608534680164</v>
      </c>
      <c r="H413" s="759">
        <f t="shared" si="131"/>
        <v>4296.2313009609006</v>
      </c>
      <c r="I413" s="759">
        <f t="shared" si="131"/>
        <v>1103.3936696128576</v>
      </c>
      <c r="J413" s="360">
        <f t="shared" si="131"/>
        <v>0</v>
      </c>
      <c r="K413" s="25">
        <f t="shared" si="125"/>
        <v>88521.590044299854</v>
      </c>
      <c r="L413" s="759">
        <v>11</v>
      </c>
      <c r="M413" s="759">
        <f t="shared" si="127"/>
        <v>8047.4172767545324</v>
      </c>
      <c r="N413" s="671">
        <v>10253</v>
      </c>
      <c r="O413" s="671"/>
      <c r="P413" s="188" t="s">
        <v>412</v>
      </c>
      <c r="Q413" s="774">
        <v>40855</v>
      </c>
      <c r="R413" s="775"/>
      <c r="S413" s="301">
        <f>L413/2</f>
        <v>5.5</v>
      </c>
      <c r="T413" s="806">
        <v>13498</v>
      </c>
      <c r="U413" s="25">
        <f t="shared" si="128"/>
        <v>74239</v>
      </c>
      <c r="V413" s="451"/>
      <c r="W413" s="774"/>
      <c r="X413" s="808"/>
      <c r="Y413" s="806"/>
      <c r="Z413" s="25">
        <f t="shared" si="129"/>
        <v>0</v>
      </c>
    </row>
    <row r="414" spans="1:26" ht="16.5" customHeight="1">
      <c r="A414" s="758">
        <f t="shared" si="123"/>
        <v>58</v>
      </c>
      <c r="B414" s="293" t="s">
        <v>533</v>
      </c>
      <c r="C414" s="25">
        <f t="shared" si="124"/>
        <v>2359786</v>
      </c>
      <c r="D414" s="759">
        <f t="shared" si="131"/>
        <v>112104.08243627881</v>
      </c>
      <c r="E414" s="759">
        <f t="shared" si="131"/>
        <v>35473.28097245704</v>
      </c>
      <c r="F414" s="759">
        <f t="shared" si="131"/>
        <v>76484.687653818997</v>
      </c>
      <c r="G414" s="759">
        <f t="shared" si="131"/>
        <v>6113.4076658034974</v>
      </c>
      <c r="H414" s="759">
        <f t="shared" si="131"/>
        <v>111311.44734307787</v>
      </c>
      <c r="I414" s="759">
        <f t="shared" si="131"/>
        <v>28587.926894514949</v>
      </c>
      <c r="J414" s="360">
        <f t="shared" si="131"/>
        <v>0</v>
      </c>
      <c r="K414" s="25">
        <f t="shared" si="125"/>
        <v>2729859.8329659514</v>
      </c>
      <c r="L414" s="759">
        <v>285</v>
      </c>
      <c r="M414" s="759">
        <f t="shared" si="127"/>
        <v>9578.4555542664966</v>
      </c>
      <c r="N414" s="671">
        <v>10595</v>
      </c>
      <c r="O414" s="671"/>
      <c r="P414" s="40" t="s">
        <v>508</v>
      </c>
      <c r="Q414" s="774">
        <v>40855</v>
      </c>
      <c r="R414" s="775"/>
      <c r="S414" s="301">
        <v>143</v>
      </c>
      <c r="T414" s="806">
        <v>16502</v>
      </c>
      <c r="U414" s="25">
        <f t="shared" si="128"/>
        <v>2359786</v>
      </c>
      <c r="V414" s="451"/>
      <c r="W414" s="774"/>
      <c r="X414" s="808"/>
      <c r="Y414" s="806"/>
      <c r="Z414" s="25">
        <f t="shared" si="129"/>
        <v>0</v>
      </c>
    </row>
    <row r="415" spans="1:26" ht="16.5" customHeight="1">
      <c r="A415" s="758">
        <f t="shared" si="123"/>
        <v>59</v>
      </c>
      <c r="B415" s="293" t="s">
        <v>542</v>
      </c>
      <c r="C415" s="25">
        <f t="shared" si="124"/>
        <v>27594</v>
      </c>
      <c r="D415" s="759">
        <f t="shared" si="131"/>
        <v>1180.0429730134613</v>
      </c>
      <c r="E415" s="759">
        <f t="shared" si="131"/>
        <v>373.40295760481092</v>
      </c>
      <c r="F415" s="759">
        <f t="shared" si="131"/>
        <v>805.10197530335779</v>
      </c>
      <c r="G415" s="759">
        <f t="shared" si="131"/>
        <v>64.351659640036814</v>
      </c>
      <c r="H415" s="759">
        <f t="shared" si="131"/>
        <v>1171.6994457166093</v>
      </c>
      <c r="I415" s="759">
        <f t="shared" si="131"/>
        <v>300.92554625805212</v>
      </c>
      <c r="J415" s="360">
        <f t="shared" si="131"/>
        <v>0</v>
      </c>
      <c r="K415" s="25">
        <f t="shared" si="125"/>
        <v>31488.524557536326</v>
      </c>
      <c r="L415" s="759">
        <v>3</v>
      </c>
      <c r="M415" s="759">
        <f t="shared" si="127"/>
        <v>10496.174852512109</v>
      </c>
      <c r="N415" s="671">
        <v>12179</v>
      </c>
      <c r="O415" s="671"/>
      <c r="P415" s="40" t="s">
        <v>477</v>
      </c>
      <c r="Q415" s="774">
        <v>40855</v>
      </c>
      <c r="R415" s="775"/>
      <c r="S415" s="301">
        <f>L415/2</f>
        <v>1.5</v>
      </c>
      <c r="T415" s="806">
        <v>18396</v>
      </c>
      <c r="U415" s="25">
        <f t="shared" si="128"/>
        <v>27594</v>
      </c>
      <c r="V415" s="451"/>
      <c r="W415" s="774"/>
      <c r="X415" s="808"/>
      <c r="Y415" s="806"/>
      <c r="Z415" s="25">
        <f t="shared" si="129"/>
        <v>0</v>
      </c>
    </row>
    <row r="416" spans="1:26" ht="16.5" customHeight="1">
      <c r="A416" s="758">
        <f t="shared" si="123"/>
        <v>60</v>
      </c>
      <c r="B416" s="293" t="s">
        <v>537</v>
      </c>
      <c r="C416" s="25">
        <f t="shared" si="124"/>
        <v>486989</v>
      </c>
      <c r="D416" s="759">
        <f t="shared" si="131"/>
        <v>14553.863333832689</v>
      </c>
      <c r="E416" s="759">
        <f t="shared" si="131"/>
        <v>4605.3031437926684</v>
      </c>
      <c r="F416" s="759">
        <f t="shared" si="131"/>
        <v>9929.5910287414135</v>
      </c>
      <c r="G416" s="759">
        <f t="shared" si="131"/>
        <v>793.6704688937873</v>
      </c>
      <c r="H416" s="759">
        <f t="shared" si="131"/>
        <v>14450.959830504848</v>
      </c>
      <c r="I416" s="759">
        <f t="shared" si="131"/>
        <v>3711.4150705159759</v>
      </c>
      <c r="J416" s="360">
        <f t="shared" si="131"/>
        <v>0</v>
      </c>
      <c r="K416" s="25">
        <f t="shared" si="125"/>
        <v>535032.80287628132</v>
      </c>
      <c r="L416" s="759">
        <v>37</v>
      </c>
      <c r="M416" s="759">
        <f t="shared" si="127"/>
        <v>14460.34602368328</v>
      </c>
      <c r="N416" s="671">
        <v>15618</v>
      </c>
      <c r="O416" s="671"/>
      <c r="P416" s="451" t="s">
        <v>504</v>
      </c>
      <c r="Q416" s="774">
        <v>40855</v>
      </c>
      <c r="R416" s="775"/>
      <c r="S416" s="301">
        <v>19</v>
      </c>
      <c r="T416" s="806">
        <v>25631</v>
      </c>
      <c r="U416" s="25">
        <f t="shared" si="128"/>
        <v>486989</v>
      </c>
      <c r="V416" s="451"/>
      <c r="W416" s="774"/>
      <c r="X416" s="808"/>
      <c r="Y416" s="806"/>
      <c r="Z416" s="25">
        <f t="shared" si="129"/>
        <v>0</v>
      </c>
    </row>
    <row r="417" spans="1:26" ht="16.5" customHeight="1">
      <c r="A417" s="758">
        <f t="shared" si="123"/>
        <v>61</v>
      </c>
      <c r="B417" s="293" t="s">
        <v>810</v>
      </c>
      <c r="C417" s="25">
        <f t="shared" si="124"/>
        <v>488390</v>
      </c>
      <c r="D417" s="759">
        <f t="shared" si="131"/>
        <v>13767.168018490382</v>
      </c>
      <c r="E417" s="759">
        <f t="shared" si="131"/>
        <v>4356.3678387227937</v>
      </c>
      <c r="F417" s="759">
        <f t="shared" si="131"/>
        <v>9392.8563785391743</v>
      </c>
      <c r="G417" s="759">
        <f t="shared" si="131"/>
        <v>750.76936246709613</v>
      </c>
      <c r="H417" s="759">
        <f t="shared" si="131"/>
        <v>13669.826866693775</v>
      </c>
      <c r="I417" s="759">
        <f t="shared" si="131"/>
        <v>3510.7980396772746</v>
      </c>
      <c r="J417" s="360">
        <f t="shared" si="131"/>
        <v>0</v>
      </c>
      <c r="K417" s="25">
        <f t="shared" si="125"/>
        <v>533836.78650459053</v>
      </c>
      <c r="L417" s="759">
        <v>35</v>
      </c>
      <c r="M417" s="759">
        <f t="shared" si="127"/>
        <v>15252.479614416872</v>
      </c>
      <c r="N417" s="671">
        <v>16534</v>
      </c>
      <c r="O417" s="671"/>
      <c r="P417" s="188" t="s">
        <v>432</v>
      </c>
      <c r="Q417" s="774">
        <v>40855</v>
      </c>
      <c r="R417" s="775"/>
      <c r="S417" s="301">
        <f>L417</f>
        <v>35</v>
      </c>
      <c r="T417" s="806">
        <v>13954</v>
      </c>
      <c r="U417" s="25">
        <f t="shared" si="128"/>
        <v>488390</v>
      </c>
      <c r="V417" s="451"/>
      <c r="W417" s="774"/>
      <c r="X417" s="808"/>
      <c r="Y417" s="806"/>
      <c r="Z417" s="25">
        <f t="shared" si="129"/>
        <v>0</v>
      </c>
    </row>
    <row r="418" spans="1:26" ht="16.5" customHeight="1">
      <c r="A418" s="758">
        <f t="shared" si="123"/>
        <v>62</v>
      </c>
      <c r="B418" s="293" t="s">
        <v>802</v>
      </c>
      <c r="C418" s="25">
        <f t="shared" si="124"/>
        <v>563882</v>
      </c>
      <c r="D418" s="759">
        <f t="shared" si="131"/>
        <v>17307.296937530766</v>
      </c>
      <c r="E418" s="759">
        <f t="shared" si="131"/>
        <v>5476.5767115372273</v>
      </c>
      <c r="F418" s="759">
        <f t="shared" si="131"/>
        <v>11808.162304449248</v>
      </c>
      <c r="G418" s="759">
        <f t="shared" si="131"/>
        <v>943.82434138720657</v>
      </c>
      <c r="H418" s="759">
        <f t="shared" si="131"/>
        <v>17184.925203843603</v>
      </c>
      <c r="I418" s="759">
        <f t="shared" si="131"/>
        <v>4413.5746784514304</v>
      </c>
      <c r="J418" s="360">
        <f t="shared" si="131"/>
        <v>0</v>
      </c>
      <c r="K418" s="25">
        <f t="shared" si="125"/>
        <v>621015.36017719947</v>
      </c>
      <c r="L418" s="759">
        <v>44</v>
      </c>
      <c r="M418" s="759">
        <f t="shared" si="127"/>
        <v>14113.985458572715</v>
      </c>
      <c r="N418" s="671">
        <v>14880</v>
      </c>
      <c r="O418" s="671"/>
      <c r="P418" s="40" t="s">
        <v>504</v>
      </c>
      <c r="Q418" s="774">
        <v>40855</v>
      </c>
      <c r="R418" s="775"/>
      <c r="S418" s="301">
        <f>L418/2</f>
        <v>22</v>
      </c>
      <c r="T418" s="806">
        <v>25631</v>
      </c>
      <c r="U418" s="25">
        <f t="shared" si="128"/>
        <v>563882</v>
      </c>
      <c r="V418" s="451"/>
      <c r="W418" s="774"/>
      <c r="X418" s="808"/>
      <c r="Y418" s="806"/>
      <c r="Z418" s="25">
        <f t="shared" si="129"/>
        <v>0</v>
      </c>
    </row>
    <row r="419" spans="1:26" ht="16.5" customHeight="1">
      <c r="A419" s="758">
        <f t="shared" si="123"/>
        <v>63</v>
      </c>
      <c r="B419" s="293" t="s">
        <v>821</v>
      </c>
      <c r="C419" s="25">
        <f t="shared" si="124"/>
        <v>169648</v>
      </c>
      <c r="D419" s="759">
        <f t="shared" si="131"/>
        <v>6293.5625227384598</v>
      </c>
      <c r="E419" s="759">
        <f t="shared" si="131"/>
        <v>1991.4824405589916</v>
      </c>
      <c r="F419" s="759">
        <f t="shared" si="131"/>
        <v>4293.8772016179082</v>
      </c>
      <c r="G419" s="759">
        <f t="shared" si="131"/>
        <v>343.20885141352966</v>
      </c>
      <c r="H419" s="759">
        <f t="shared" si="131"/>
        <v>6249.0637104885827</v>
      </c>
      <c r="I419" s="759">
        <f t="shared" si="131"/>
        <v>1604.9362467096112</v>
      </c>
      <c r="J419" s="360">
        <f t="shared" si="131"/>
        <v>0</v>
      </c>
      <c r="K419" s="25">
        <f t="shared" si="125"/>
        <v>190423.13097352709</v>
      </c>
      <c r="L419" s="759">
        <v>16</v>
      </c>
      <c r="M419" s="759">
        <f t="shared" si="127"/>
        <v>11901.445685845443</v>
      </c>
      <c r="N419" s="671">
        <v>12847</v>
      </c>
      <c r="O419" s="671"/>
      <c r="P419" s="188" t="s">
        <v>422</v>
      </c>
      <c r="Q419" s="774">
        <v>40855</v>
      </c>
      <c r="R419" s="775"/>
      <c r="S419" s="301">
        <v>16</v>
      </c>
      <c r="T419" s="806">
        <v>10603</v>
      </c>
      <c r="U419" s="25">
        <f t="shared" si="128"/>
        <v>169648</v>
      </c>
      <c r="V419" s="451"/>
      <c r="W419" s="774"/>
      <c r="X419" s="808"/>
      <c r="Y419" s="806"/>
      <c r="Z419" s="25">
        <f t="shared" si="129"/>
        <v>0</v>
      </c>
    </row>
    <row r="420" spans="1:26" ht="16.5" customHeight="1">
      <c r="A420" s="758">
        <f t="shared" si="123"/>
        <v>64</v>
      </c>
      <c r="B420" s="293" t="s">
        <v>811</v>
      </c>
      <c r="C420" s="25">
        <f t="shared" si="124"/>
        <v>23688</v>
      </c>
      <c r="D420" s="759">
        <f t="shared" si="131"/>
        <v>786.69531534230748</v>
      </c>
      <c r="E420" s="759">
        <f t="shared" si="131"/>
        <v>248.93530506987395</v>
      </c>
      <c r="F420" s="759">
        <f t="shared" si="131"/>
        <v>536.73465020223853</v>
      </c>
      <c r="G420" s="759">
        <f t="shared" si="131"/>
        <v>42.901106426691207</v>
      </c>
      <c r="H420" s="759">
        <f t="shared" si="131"/>
        <v>781.13296381107284</v>
      </c>
      <c r="I420" s="759">
        <f t="shared" si="131"/>
        <v>200.6170308387014</v>
      </c>
      <c r="J420" s="360">
        <f t="shared" si="131"/>
        <v>0</v>
      </c>
      <c r="K420" s="25">
        <f t="shared" si="125"/>
        <v>26284.016371690886</v>
      </c>
      <c r="L420" s="759">
        <v>2</v>
      </c>
      <c r="M420" s="759">
        <f t="shared" si="127"/>
        <v>13142.008185845443</v>
      </c>
      <c r="N420" s="671">
        <v>15669</v>
      </c>
      <c r="O420" s="671"/>
      <c r="P420" s="40" t="s">
        <v>488</v>
      </c>
      <c r="Q420" s="774">
        <v>40855</v>
      </c>
      <c r="R420" s="775"/>
      <c r="S420" s="301">
        <f>L420/2</f>
        <v>1</v>
      </c>
      <c r="T420" s="806">
        <v>23688</v>
      </c>
      <c r="U420" s="25">
        <f t="shared" si="128"/>
        <v>23688</v>
      </c>
      <c r="V420" s="451"/>
      <c r="W420" s="774"/>
      <c r="X420" s="808"/>
      <c r="Y420" s="806"/>
      <c r="Z420" s="25">
        <f t="shared" si="129"/>
        <v>0</v>
      </c>
    </row>
    <row r="421" spans="1:26" ht="16.5" customHeight="1">
      <c r="A421" s="758">
        <f t="shared" si="123"/>
        <v>65</v>
      </c>
      <c r="B421" s="293" t="s">
        <v>802</v>
      </c>
      <c r="C421" s="25">
        <f t="shared" si="124"/>
        <v>167030</v>
      </c>
      <c r="D421" s="759">
        <f t="shared" si="131"/>
        <v>7866.9531534230746</v>
      </c>
      <c r="E421" s="759">
        <f t="shared" si="131"/>
        <v>2489.3530506987395</v>
      </c>
      <c r="F421" s="759">
        <f t="shared" si="131"/>
        <v>5367.3465020223848</v>
      </c>
      <c r="G421" s="759">
        <f t="shared" si="131"/>
        <v>429.01106426691206</v>
      </c>
      <c r="H421" s="759">
        <f t="shared" si="131"/>
        <v>7811.3296381107284</v>
      </c>
      <c r="I421" s="759">
        <f t="shared" si="131"/>
        <v>2006.1703083870138</v>
      </c>
      <c r="J421" s="360">
        <f t="shared" si="131"/>
        <v>0</v>
      </c>
      <c r="K421" s="25">
        <f t="shared" si="125"/>
        <v>192999.16371690884</v>
      </c>
      <c r="L421" s="759">
        <v>20</v>
      </c>
      <c r="M421" s="759">
        <f t="shared" si="127"/>
        <v>9649.9581858454421</v>
      </c>
      <c r="N421" s="671">
        <v>14880</v>
      </c>
      <c r="O421" s="671"/>
      <c r="P421" s="40" t="s">
        <v>491</v>
      </c>
      <c r="Q421" s="774">
        <v>40857</v>
      </c>
      <c r="R421" s="775"/>
      <c r="S421" s="301">
        <v>10</v>
      </c>
      <c r="T421" s="806">
        <v>16703</v>
      </c>
      <c r="U421" s="25">
        <f t="shared" si="128"/>
        <v>167030</v>
      </c>
      <c r="V421" s="451"/>
      <c r="W421" s="774"/>
      <c r="X421" s="808"/>
      <c r="Y421" s="806"/>
      <c r="Z421" s="25">
        <f t="shared" si="129"/>
        <v>0</v>
      </c>
    </row>
    <row r="422" spans="1:26" ht="16.5" customHeight="1">
      <c r="A422" s="758">
        <f t="shared" ref="A422:A485" si="132">IF(B422&lt;&gt;"",A421+1,"")</f>
        <v>66</v>
      </c>
      <c r="B422" s="293" t="s">
        <v>803</v>
      </c>
      <c r="C422" s="25">
        <f t="shared" ref="C422:C485" si="133">U422</f>
        <v>1632592</v>
      </c>
      <c r="D422" s="759">
        <f t="shared" si="131"/>
        <v>36974.679821088452</v>
      </c>
      <c r="E422" s="759">
        <f t="shared" si="131"/>
        <v>11699.959338284076</v>
      </c>
      <c r="F422" s="759">
        <f t="shared" si="131"/>
        <v>25226.528559505212</v>
      </c>
      <c r="G422" s="759">
        <f t="shared" si="131"/>
        <v>2016.3520020544868</v>
      </c>
      <c r="H422" s="759">
        <f t="shared" si="131"/>
        <v>36713.24929912042</v>
      </c>
      <c r="I422" s="759">
        <f t="shared" si="131"/>
        <v>9429.0004494189652</v>
      </c>
      <c r="J422" s="360">
        <f t="shared" si="131"/>
        <v>0</v>
      </c>
      <c r="K422" s="25">
        <f t="shared" ref="K422:K485" si="134">SUM(C422:I422)-1</f>
        <v>1754650.7694694716</v>
      </c>
      <c r="L422" s="759">
        <v>94</v>
      </c>
      <c r="M422" s="759">
        <f t="shared" si="127"/>
        <v>18666.497547547569</v>
      </c>
      <c r="N422" s="671">
        <v>20820</v>
      </c>
      <c r="O422" s="671"/>
      <c r="P422" s="188" t="s">
        <v>436</v>
      </c>
      <c r="Q422" s="774">
        <v>40857</v>
      </c>
      <c r="R422" s="775"/>
      <c r="S422" s="301">
        <f>L422</f>
        <v>94</v>
      </c>
      <c r="T422" s="806">
        <v>17368</v>
      </c>
      <c r="U422" s="25">
        <f t="shared" si="128"/>
        <v>1632592</v>
      </c>
      <c r="V422" s="451"/>
      <c r="W422" s="774"/>
      <c r="X422" s="808"/>
      <c r="Y422" s="806"/>
      <c r="Z422" s="25">
        <f t="shared" si="129"/>
        <v>0</v>
      </c>
    </row>
    <row r="423" spans="1:26" ht="16.5" customHeight="1">
      <c r="A423" s="758">
        <f t="shared" si="132"/>
        <v>67</v>
      </c>
      <c r="B423" s="293" t="s">
        <v>804</v>
      </c>
      <c r="C423" s="25">
        <f t="shared" si="133"/>
        <v>1176124</v>
      </c>
      <c r="D423" s="759">
        <f t="shared" si="131"/>
        <v>22814.164144926915</v>
      </c>
      <c r="E423" s="759">
        <f t="shared" si="131"/>
        <v>7219.1238470263443</v>
      </c>
      <c r="F423" s="759">
        <f t="shared" si="131"/>
        <v>15565.304855864917</v>
      </c>
      <c r="G423" s="759">
        <f t="shared" si="131"/>
        <v>1244.132086374045</v>
      </c>
      <c r="H423" s="759">
        <f t="shared" si="131"/>
        <v>22652.855950521112</v>
      </c>
      <c r="I423" s="759">
        <f t="shared" si="131"/>
        <v>5817.8938943223402</v>
      </c>
      <c r="J423" s="360">
        <f t="shared" si="131"/>
        <v>0</v>
      </c>
      <c r="K423" s="25">
        <f t="shared" si="134"/>
        <v>1251436.4747790359</v>
      </c>
      <c r="L423" s="759">
        <v>58</v>
      </c>
      <c r="M423" s="759">
        <f t="shared" ref="M423:M486" si="135">IF(L423&lt;&gt;"",K423/L423,"")</f>
        <v>21576.490944466135</v>
      </c>
      <c r="N423" s="671">
        <v>26203</v>
      </c>
      <c r="O423" s="671"/>
      <c r="P423" s="40" t="s">
        <v>503</v>
      </c>
      <c r="Q423" s="774">
        <v>40857</v>
      </c>
      <c r="R423" s="775"/>
      <c r="S423" s="301">
        <f>L423</f>
        <v>58</v>
      </c>
      <c r="T423" s="806">
        <v>20278</v>
      </c>
      <c r="U423" s="25">
        <f t="shared" ref="U423:U486" si="136">ROUND(S423*T423,0)</f>
        <v>1176124</v>
      </c>
      <c r="V423" s="451"/>
      <c r="W423" s="774"/>
      <c r="X423" s="808"/>
      <c r="Y423" s="806"/>
      <c r="Z423" s="25">
        <f t="shared" ref="Z423:Z486" si="137">ROUND(X423*Y423,0)</f>
        <v>0</v>
      </c>
    </row>
    <row r="424" spans="1:26" ht="16.5" customHeight="1">
      <c r="A424" s="758">
        <f t="shared" si="132"/>
        <v>68</v>
      </c>
      <c r="B424" s="293" t="s">
        <v>805</v>
      </c>
      <c r="C424" s="25">
        <f t="shared" si="133"/>
        <v>34480</v>
      </c>
      <c r="D424" s="759">
        <f t="shared" si="131"/>
        <v>1573.390630684615</v>
      </c>
      <c r="E424" s="759">
        <f t="shared" si="131"/>
        <v>497.8706101397479</v>
      </c>
      <c r="F424" s="759">
        <f t="shared" si="131"/>
        <v>1073.4693004044771</v>
      </c>
      <c r="G424" s="759">
        <f t="shared" si="131"/>
        <v>85.802212853382414</v>
      </c>
      <c r="H424" s="759">
        <f t="shared" si="131"/>
        <v>1562.2659276221457</v>
      </c>
      <c r="I424" s="759">
        <f t="shared" si="131"/>
        <v>401.23406167740279</v>
      </c>
      <c r="J424" s="360">
        <f t="shared" si="131"/>
        <v>0</v>
      </c>
      <c r="K424" s="25">
        <f t="shared" si="134"/>
        <v>39673.032743381773</v>
      </c>
      <c r="L424" s="759">
        <v>4</v>
      </c>
      <c r="M424" s="759">
        <f t="shared" si="135"/>
        <v>9918.2581858454432</v>
      </c>
      <c r="N424" s="671">
        <v>11355</v>
      </c>
      <c r="O424" s="671"/>
      <c r="P424" s="188" t="s">
        <v>415</v>
      </c>
      <c r="Q424" s="774">
        <v>40857</v>
      </c>
      <c r="R424" s="775"/>
      <c r="S424" s="301">
        <f>L424</f>
        <v>4</v>
      </c>
      <c r="T424" s="806">
        <v>8620</v>
      </c>
      <c r="U424" s="25">
        <f t="shared" si="136"/>
        <v>34480</v>
      </c>
      <c r="V424" s="451"/>
      <c r="W424" s="774"/>
      <c r="X424" s="808"/>
      <c r="Y424" s="806"/>
      <c r="Z424" s="25">
        <f t="shared" si="137"/>
        <v>0</v>
      </c>
    </row>
    <row r="425" spans="1:26" ht="16.5" customHeight="1">
      <c r="A425" s="758">
        <f t="shared" si="132"/>
        <v>69</v>
      </c>
      <c r="B425" s="293" t="s">
        <v>806</v>
      </c>
      <c r="C425" s="25">
        <f t="shared" si="133"/>
        <v>8620</v>
      </c>
      <c r="D425" s="759">
        <f t="shared" si="131"/>
        <v>393.34765767115374</v>
      </c>
      <c r="E425" s="759">
        <f t="shared" si="131"/>
        <v>124.46765253493697</v>
      </c>
      <c r="F425" s="759">
        <f t="shared" si="131"/>
        <v>268.36732510111926</v>
      </c>
      <c r="G425" s="759">
        <f t="shared" si="131"/>
        <v>21.450553213345604</v>
      </c>
      <c r="H425" s="759">
        <f t="shared" si="131"/>
        <v>390.56648190553642</v>
      </c>
      <c r="I425" s="759">
        <f t="shared" si="131"/>
        <v>100.3085154193507</v>
      </c>
      <c r="J425" s="360">
        <f t="shared" si="131"/>
        <v>0</v>
      </c>
      <c r="K425" s="25">
        <f t="shared" si="134"/>
        <v>9917.5081858454432</v>
      </c>
      <c r="L425" s="759">
        <v>1</v>
      </c>
      <c r="M425" s="759">
        <f t="shared" si="135"/>
        <v>9917.5081858454432</v>
      </c>
      <c r="N425" s="671">
        <v>11420</v>
      </c>
      <c r="O425" s="671"/>
      <c r="P425" s="188" t="s">
        <v>415</v>
      </c>
      <c r="Q425" s="774">
        <v>40857</v>
      </c>
      <c r="R425" s="775"/>
      <c r="S425" s="301">
        <f>L425</f>
        <v>1</v>
      </c>
      <c r="T425" s="806">
        <v>8620</v>
      </c>
      <c r="U425" s="25">
        <f t="shared" si="136"/>
        <v>8620</v>
      </c>
      <c r="V425" s="451"/>
      <c r="W425" s="774"/>
      <c r="X425" s="808"/>
      <c r="Y425" s="806"/>
      <c r="Z425" s="25">
        <f t="shared" si="137"/>
        <v>0</v>
      </c>
    </row>
    <row r="426" spans="1:26" ht="16.5" customHeight="1">
      <c r="A426" s="758">
        <f t="shared" si="132"/>
        <v>70</v>
      </c>
      <c r="B426" s="293" t="s">
        <v>807</v>
      </c>
      <c r="C426" s="25">
        <f t="shared" si="133"/>
        <v>61488</v>
      </c>
      <c r="D426" s="759">
        <f t="shared" si="131"/>
        <v>1966.7382883557686</v>
      </c>
      <c r="E426" s="759">
        <f t="shared" si="131"/>
        <v>622.33826267468487</v>
      </c>
      <c r="F426" s="759">
        <f t="shared" si="131"/>
        <v>1341.8366255055962</v>
      </c>
      <c r="G426" s="759">
        <f t="shared" si="131"/>
        <v>107.25276606672801</v>
      </c>
      <c r="H426" s="759">
        <f t="shared" si="131"/>
        <v>1952.8324095276821</v>
      </c>
      <c r="I426" s="759">
        <f t="shared" si="131"/>
        <v>501.54257709675346</v>
      </c>
      <c r="J426" s="360">
        <f t="shared" si="131"/>
        <v>0</v>
      </c>
      <c r="K426" s="25">
        <f t="shared" si="134"/>
        <v>67979.540929227209</v>
      </c>
      <c r="L426" s="759">
        <v>5</v>
      </c>
      <c r="M426" s="759">
        <f t="shared" si="135"/>
        <v>13595.908185845441</v>
      </c>
      <c r="N426" s="671">
        <v>14450</v>
      </c>
      <c r="O426" s="671"/>
      <c r="P426" s="188" t="s">
        <v>499</v>
      </c>
      <c r="Q426" s="774">
        <v>40857</v>
      </c>
      <c r="R426" s="775"/>
      <c r="S426" s="301">
        <f>L426/2</f>
        <v>2.5</v>
      </c>
      <c r="T426" s="806">
        <v>24595</v>
      </c>
      <c r="U426" s="25">
        <f t="shared" si="136"/>
        <v>61488</v>
      </c>
      <c r="V426" s="451"/>
      <c r="W426" s="774"/>
      <c r="X426" s="808"/>
      <c r="Y426" s="806"/>
      <c r="Z426" s="25">
        <f t="shared" si="137"/>
        <v>0</v>
      </c>
    </row>
    <row r="427" spans="1:26" ht="16.5" customHeight="1">
      <c r="A427" s="758">
        <f t="shared" si="132"/>
        <v>71</v>
      </c>
      <c r="B427" s="293" t="s">
        <v>808</v>
      </c>
      <c r="C427" s="25">
        <f t="shared" si="133"/>
        <v>811120</v>
      </c>
      <c r="D427" s="759">
        <f t="shared" si="131"/>
        <v>31467.812613692298</v>
      </c>
      <c r="E427" s="759">
        <f t="shared" si="131"/>
        <v>9957.4122027949579</v>
      </c>
      <c r="F427" s="759">
        <f t="shared" si="131"/>
        <v>21469.386008089539</v>
      </c>
      <c r="G427" s="759">
        <f t="shared" si="131"/>
        <v>1716.0442570676482</v>
      </c>
      <c r="H427" s="759">
        <f t="shared" si="131"/>
        <v>31245.318552442914</v>
      </c>
      <c r="I427" s="759">
        <f t="shared" si="131"/>
        <v>8024.6812335480554</v>
      </c>
      <c r="J427" s="360">
        <f t="shared" si="131"/>
        <v>0</v>
      </c>
      <c r="K427" s="25">
        <f t="shared" si="134"/>
        <v>914999.65486763534</v>
      </c>
      <c r="L427" s="759">
        <v>80</v>
      </c>
      <c r="M427" s="759">
        <f t="shared" si="135"/>
        <v>11437.495685845442</v>
      </c>
      <c r="N427" s="671">
        <v>13881</v>
      </c>
      <c r="O427" s="671"/>
      <c r="P427" s="40" t="s">
        <v>503</v>
      </c>
      <c r="Q427" s="774">
        <v>40857</v>
      </c>
      <c r="R427" s="775"/>
      <c r="S427" s="301">
        <f>L427/2</f>
        <v>40</v>
      </c>
      <c r="T427" s="806">
        <v>20278</v>
      </c>
      <c r="U427" s="25">
        <f t="shared" si="136"/>
        <v>811120</v>
      </c>
      <c r="V427" s="451"/>
      <c r="W427" s="774"/>
      <c r="X427" s="808"/>
      <c r="Y427" s="806"/>
      <c r="Z427" s="25">
        <f t="shared" si="137"/>
        <v>0</v>
      </c>
    </row>
    <row r="428" spans="1:26" ht="16.5" customHeight="1">
      <c r="A428" s="758">
        <f t="shared" si="132"/>
        <v>72</v>
      </c>
      <c r="B428" s="293" t="s">
        <v>809</v>
      </c>
      <c r="C428" s="25">
        <f t="shared" si="133"/>
        <v>69472</v>
      </c>
      <c r="D428" s="759">
        <f t="shared" si="131"/>
        <v>1573.390630684615</v>
      </c>
      <c r="E428" s="759">
        <f t="shared" si="131"/>
        <v>497.8706101397479</v>
      </c>
      <c r="F428" s="759">
        <f t="shared" si="131"/>
        <v>1073.4693004044771</v>
      </c>
      <c r="G428" s="759">
        <f t="shared" si="131"/>
        <v>85.802212853382414</v>
      </c>
      <c r="H428" s="759">
        <f t="shared" si="131"/>
        <v>1562.2659276221457</v>
      </c>
      <c r="I428" s="759">
        <f t="shared" si="131"/>
        <v>401.23406167740279</v>
      </c>
      <c r="J428" s="360">
        <f t="shared" si="131"/>
        <v>0</v>
      </c>
      <c r="K428" s="25">
        <f t="shared" si="134"/>
        <v>74665.032743381787</v>
      </c>
      <c r="L428" s="759">
        <v>4</v>
      </c>
      <c r="M428" s="759">
        <f t="shared" si="135"/>
        <v>18666.258185845447</v>
      </c>
      <c r="N428" s="671">
        <v>20891</v>
      </c>
      <c r="O428" s="671"/>
      <c r="P428" s="188" t="s">
        <v>436</v>
      </c>
      <c r="Q428" s="774">
        <v>40857</v>
      </c>
      <c r="R428" s="775"/>
      <c r="S428" s="301">
        <f>L428</f>
        <v>4</v>
      </c>
      <c r="T428" s="806">
        <v>17368</v>
      </c>
      <c r="U428" s="25">
        <f t="shared" si="136"/>
        <v>69472</v>
      </c>
      <c r="V428" s="451"/>
      <c r="W428" s="774"/>
      <c r="X428" s="808"/>
      <c r="Y428" s="806"/>
      <c r="Z428" s="25">
        <f t="shared" si="137"/>
        <v>0</v>
      </c>
    </row>
    <row r="429" spans="1:26" ht="16.5" customHeight="1">
      <c r="A429" s="758">
        <f t="shared" si="132"/>
        <v>73</v>
      </c>
      <c r="B429" s="293" t="s">
        <v>810</v>
      </c>
      <c r="C429" s="25">
        <f t="shared" si="133"/>
        <v>29457</v>
      </c>
      <c r="D429" s="759">
        <f t="shared" si="131"/>
        <v>1180.0429730134613</v>
      </c>
      <c r="E429" s="759">
        <f t="shared" si="131"/>
        <v>373.40295760481092</v>
      </c>
      <c r="F429" s="759">
        <f t="shared" si="131"/>
        <v>805.10197530335779</v>
      </c>
      <c r="G429" s="759">
        <f t="shared" si="131"/>
        <v>64.351659640036814</v>
      </c>
      <c r="H429" s="759">
        <f t="shared" si="131"/>
        <v>1171.6994457166093</v>
      </c>
      <c r="I429" s="759">
        <f t="shared" si="131"/>
        <v>300.92554625805212</v>
      </c>
      <c r="J429" s="360">
        <f t="shared" si="131"/>
        <v>0</v>
      </c>
      <c r="K429" s="25">
        <f t="shared" si="134"/>
        <v>33351.52455753633</v>
      </c>
      <c r="L429" s="759">
        <v>3</v>
      </c>
      <c r="M429" s="759">
        <f t="shared" si="135"/>
        <v>11117.174852512109</v>
      </c>
      <c r="N429" s="671">
        <v>16534</v>
      </c>
      <c r="O429" s="671"/>
      <c r="P429" s="188" t="s">
        <v>428</v>
      </c>
      <c r="Q429" s="774">
        <v>40857</v>
      </c>
      <c r="R429" s="775"/>
      <c r="S429" s="301">
        <v>1.5</v>
      </c>
      <c r="T429" s="806">
        <v>19638</v>
      </c>
      <c r="U429" s="25">
        <f t="shared" si="136"/>
        <v>29457</v>
      </c>
      <c r="V429" s="451"/>
      <c r="W429" s="774"/>
      <c r="X429" s="808"/>
      <c r="Y429" s="806"/>
      <c r="Z429" s="25">
        <f t="shared" si="137"/>
        <v>0</v>
      </c>
    </row>
    <row r="430" spans="1:26" ht="16.5" customHeight="1">
      <c r="A430" s="758">
        <f t="shared" si="132"/>
        <v>74</v>
      </c>
      <c r="B430" s="293" t="s">
        <v>809</v>
      </c>
      <c r="C430" s="25">
        <f t="shared" si="133"/>
        <v>69472</v>
      </c>
      <c r="D430" s="759">
        <f t="shared" si="131"/>
        <v>1573.390630684615</v>
      </c>
      <c r="E430" s="759">
        <f t="shared" si="131"/>
        <v>497.8706101397479</v>
      </c>
      <c r="F430" s="759">
        <f t="shared" si="131"/>
        <v>1073.4693004044771</v>
      </c>
      <c r="G430" s="759">
        <f t="shared" si="131"/>
        <v>85.802212853382414</v>
      </c>
      <c r="H430" s="759">
        <f t="shared" si="131"/>
        <v>1562.2659276221457</v>
      </c>
      <c r="I430" s="759">
        <f t="shared" si="131"/>
        <v>401.23406167740279</v>
      </c>
      <c r="J430" s="360">
        <f t="shared" si="131"/>
        <v>0</v>
      </c>
      <c r="K430" s="25">
        <f t="shared" si="134"/>
        <v>74665.032743381787</v>
      </c>
      <c r="L430" s="759">
        <v>4</v>
      </c>
      <c r="M430" s="759">
        <f t="shared" si="135"/>
        <v>18666.258185845447</v>
      </c>
      <c r="N430" s="671">
        <v>20981</v>
      </c>
      <c r="O430" s="671"/>
      <c r="P430" s="188" t="s">
        <v>436</v>
      </c>
      <c r="Q430" s="774">
        <v>40857</v>
      </c>
      <c r="R430" s="775"/>
      <c r="S430" s="301">
        <f>L430</f>
        <v>4</v>
      </c>
      <c r="T430" s="806">
        <v>17368</v>
      </c>
      <c r="U430" s="25">
        <f t="shared" si="136"/>
        <v>69472</v>
      </c>
      <c r="V430" s="451"/>
      <c r="W430" s="774"/>
      <c r="X430" s="808"/>
      <c r="Y430" s="806"/>
      <c r="Z430" s="25">
        <f t="shared" si="137"/>
        <v>0</v>
      </c>
    </row>
    <row r="431" spans="1:26" ht="16.5" customHeight="1">
      <c r="A431" s="758">
        <f t="shared" si="132"/>
        <v>75</v>
      </c>
      <c r="B431" s="293" t="s">
        <v>821</v>
      </c>
      <c r="C431" s="25">
        <f t="shared" si="133"/>
        <v>27594</v>
      </c>
      <c r="D431" s="759">
        <f t="shared" si="131"/>
        <v>1180.0429730134613</v>
      </c>
      <c r="E431" s="759">
        <f t="shared" si="131"/>
        <v>373.40295760481092</v>
      </c>
      <c r="F431" s="759">
        <f t="shared" si="131"/>
        <v>805.10197530335779</v>
      </c>
      <c r="G431" s="759">
        <f t="shared" si="131"/>
        <v>64.351659640036814</v>
      </c>
      <c r="H431" s="759">
        <f t="shared" si="131"/>
        <v>1171.6994457166093</v>
      </c>
      <c r="I431" s="759">
        <f t="shared" si="131"/>
        <v>300.92554625805212</v>
      </c>
      <c r="J431" s="360">
        <f t="shared" si="131"/>
        <v>0</v>
      </c>
      <c r="K431" s="25">
        <f t="shared" si="134"/>
        <v>31488.524557536326</v>
      </c>
      <c r="L431" s="759">
        <v>3</v>
      </c>
      <c r="M431" s="759">
        <f t="shared" si="135"/>
        <v>10496.174852512109</v>
      </c>
      <c r="N431" s="671">
        <v>12847</v>
      </c>
      <c r="O431" s="671"/>
      <c r="P431" s="40" t="s">
        <v>477</v>
      </c>
      <c r="Q431" s="774">
        <v>40857</v>
      </c>
      <c r="R431" s="775"/>
      <c r="S431" s="301">
        <f>L431/2</f>
        <v>1.5</v>
      </c>
      <c r="T431" s="806">
        <v>18396</v>
      </c>
      <c r="U431" s="25">
        <f t="shared" si="136"/>
        <v>27594</v>
      </c>
      <c r="V431" s="451"/>
      <c r="W431" s="774"/>
      <c r="X431" s="808"/>
      <c r="Y431" s="806"/>
      <c r="Z431" s="25">
        <f t="shared" si="137"/>
        <v>0</v>
      </c>
    </row>
    <row r="432" spans="1:26" ht="16.5" customHeight="1">
      <c r="A432" s="758">
        <f t="shared" si="132"/>
        <v>76</v>
      </c>
      <c r="B432" s="293" t="s">
        <v>822</v>
      </c>
      <c r="C432" s="25">
        <f t="shared" si="133"/>
        <v>84630</v>
      </c>
      <c r="D432" s="759">
        <f t="shared" si="131"/>
        <v>2360.0859460269226</v>
      </c>
      <c r="E432" s="759">
        <f t="shared" si="131"/>
        <v>746.80591520962184</v>
      </c>
      <c r="F432" s="759">
        <f t="shared" si="131"/>
        <v>1610.2039506067156</v>
      </c>
      <c r="G432" s="759">
        <f t="shared" si="131"/>
        <v>128.70331928007363</v>
      </c>
      <c r="H432" s="759">
        <f t="shared" si="131"/>
        <v>2343.3988914332185</v>
      </c>
      <c r="I432" s="759">
        <f t="shared" si="131"/>
        <v>601.85109251610425</v>
      </c>
      <c r="J432" s="360">
        <f t="shared" si="131"/>
        <v>0</v>
      </c>
      <c r="K432" s="25">
        <f t="shared" si="134"/>
        <v>92420.049115072659</v>
      </c>
      <c r="L432" s="759">
        <v>6</v>
      </c>
      <c r="M432" s="759">
        <f t="shared" si="135"/>
        <v>15403.341519178777</v>
      </c>
      <c r="N432" s="671">
        <v>17321</v>
      </c>
      <c r="O432" s="671"/>
      <c r="P432" s="40" t="s">
        <v>510</v>
      </c>
      <c r="Q432" s="774">
        <v>40857</v>
      </c>
      <c r="R432" s="775"/>
      <c r="S432" s="301">
        <f>L432</f>
        <v>6</v>
      </c>
      <c r="T432" s="806">
        <v>14105</v>
      </c>
      <c r="U432" s="25">
        <f t="shared" si="136"/>
        <v>84630</v>
      </c>
      <c r="V432" s="451"/>
      <c r="W432" s="774"/>
      <c r="X432" s="808"/>
      <c r="Y432" s="806"/>
      <c r="Z432" s="25">
        <f t="shared" si="137"/>
        <v>0</v>
      </c>
    </row>
    <row r="433" spans="1:26" ht="16.5" customHeight="1">
      <c r="A433" s="758">
        <f t="shared" si="132"/>
        <v>77</v>
      </c>
      <c r="B433" s="293" t="s">
        <v>811</v>
      </c>
      <c r="C433" s="25">
        <f t="shared" si="133"/>
        <v>538251</v>
      </c>
      <c r="D433" s="759">
        <f t="shared" si="131"/>
        <v>16520.601622188457</v>
      </c>
      <c r="E433" s="759">
        <f t="shared" si="131"/>
        <v>5227.6414064673527</v>
      </c>
      <c r="F433" s="759">
        <f t="shared" si="131"/>
        <v>11271.427654247009</v>
      </c>
      <c r="G433" s="759">
        <f t="shared" si="131"/>
        <v>900.9232349605154</v>
      </c>
      <c r="H433" s="759">
        <f t="shared" si="131"/>
        <v>16403.79224003253</v>
      </c>
      <c r="I433" s="759">
        <f t="shared" si="131"/>
        <v>4212.9576476127295</v>
      </c>
      <c r="J433" s="360">
        <f t="shared" si="131"/>
        <v>0</v>
      </c>
      <c r="K433" s="25">
        <f t="shared" si="134"/>
        <v>592787.34380550869</v>
      </c>
      <c r="L433" s="759">
        <v>42</v>
      </c>
      <c r="M433" s="759">
        <f t="shared" si="135"/>
        <v>14113.984376321636</v>
      </c>
      <c r="N433" s="671">
        <v>15669</v>
      </c>
      <c r="O433" s="671"/>
      <c r="P433" s="451" t="s">
        <v>504</v>
      </c>
      <c r="Q433" s="774">
        <v>40857</v>
      </c>
      <c r="R433" s="775"/>
      <c r="S433" s="301">
        <f>L433/2</f>
        <v>21</v>
      </c>
      <c r="T433" s="806">
        <v>25631</v>
      </c>
      <c r="U433" s="25">
        <f t="shared" si="136"/>
        <v>538251</v>
      </c>
      <c r="V433" s="451"/>
      <c r="W433" s="774"/>
      <c r="X433" s="808"/>
      <c r="Y433" s="806"/>
      <c r="Z433" s="25">
        <f t="shared" si="137"/>
        <v>0</v>
      </c>
    </row>
    <row r="434" spans="1:26" ht="16.5" customHeight="1">
      <c r="A434" s="758">
        <f t="shared" si="132"/>
        <v>78</v>
      </c>
      <c r="B434" s="293" t="s">
        <v>812</v>
      </c>
      <c r="C434" s="25">
        <f t="shared" si="133"/>
        <v>620620</v>
      </c>
      <c r="D434" s="759">
        <f t="shared" si="131"/>
        <v>16913.949279859611</v>
      </c>
      <c r="E434" s="759">
        <f t="shared" si="131"/>
        <v>5352.1090590022895</v>
      </c>
      <c r="F434" s="759">
        <f t="shared" si="131"/>
        <v>11539.794979348128</v>
      </c>
      <c r="G434" s="759">
        <f t="shared" si="131"/>
        <v>922.37378817386093</v>
      </c>
      <c r="H434" s="759">
        <f t="shared" si="131"/>
        <v>16794.358721938064</v>
      </c>
      <c r="I434" s="759">
        <f t="shared" si="131"/>
        <v>4313.2661630320799</v>
      </c>
      <c r="J434" s="360">
        <f t="shared" si="131"/>
        <v>0</v>
      </c>
      <c r="K434" s="25">
        <f t="shared" si="134"/>
        <v>676454.85199135402</v>
      </c>
      <c r="L434" s="759">
        <v>43</v>
      </c>
      <c r="M434" s="759">
        <f t="shared" si="135"/>
        <v>15731.508185845443</v>
      </c>
      <c r="N434" s="671">
        <v>17372</v>
      </c>
      <c r="O434" s="671"/>
      <c r="P434" s="40" t="s">
        <v>510</v>
      </c>
      <c r="Q434" s="774">
        <v>40857</v>
      </c>
      <c r="R434" s="775"/>
      <c r="S434" s="301">
        <v>44</v>
      </c>
      <c r="T434" s="806">
        <v>14105</v>
      </c>
      <c r="U434" s="25">
        <f t="shared" si="136"/>
        <v>620620</v>
      </c>
      <c r="V434" s="451"/>
      <c r="W434" s="774"/>
      <c r="X434" s="808"/>
      <c r="Y434" s="806"/>
      <c r="Z434" s="25">
        <f t="shared" si="137"/>
        <v>0</v>
      </c>
    </row>
    <row r="435" spans="1:26" ht="16.5" customHeight="1">
      <c r="A435" s="758">
        <f t="shared" si="132"/>
        <v>79</v>
      </c>
      <c r="B435" s="293" t="s">
        <v>823</v>
      </c>
      <c r="C435" s="25">
        <f t="shared" si="133"/>
        <v>9278250</v>
      </c>
      <c r="D435" s="759">
        <f t="shared" si="131"/>
        <v>437402.59533032298</v>
      </c>
      <c r="E435" s="759">
        <f t="shared" si="131"/>
        <v>138408.02961884992</v>
      </c>
      <c r="F435" s="759">
        <f t="shared" si="131"/>
        <v>298424.46551244461</v>
      </c>
      <c r="G435" s="759">
        <f t="shared" si="131"/>
        <v>23853.01517324031</v>
      </c>
      <c r="H435" s="759">
        <f t="shared" si="131"/>
        <v>434309.92787895649</v>
      </c>
      <c r="I435" s="759">
        <f t="shared" si="131"/>
        <v>111543.06914631798</v>
      </c>
      <c r="J435" s="360">
        <f t="shared" si="131"/>
        <v>0</v>
      </c>
      <c r="K435" s="25">
        <f t="shared" si="134"/>
        <v>10722190.102660133</v>
      </c>
      <c r="L435" s="759">
        <v>1112</v>
      </c>
      <c r="M435" s="759">
        <f t="shared" si="135"/>
        <v>9642.2572865648672</v>
      </c>
      <c r="N435" s="671">
        <v>13869</v>
      </c>
      <c r="O435" s="671"/>
      <c r="P435" s="40" t="s">
        <v>512</v>
      </c>
      <c r="Q435" s="774">
        <v>40857</v>
      </c>
      <c r="R435" s="775"/>
      <c r="S435" s="301">
        <v>695</v>
      </c>
      <c r="T435" s="806">
        <v>13350</v>
      </c>
      <c r="U435" s="25">
        <f t="shared" si="136"/>
        <v>9278250</v>
      </c>
      <c r="V435" s="451"/>
      <c r="W435" s="774"/>
      <c r="X435" s="808"/>
      <c r="Y435" s="806"/>
      <c r="Z435" s="25">
        <f t="shared" si="137"/>
        <v>0</v>
      </c>
    </row>
    <row r="436" spans="1:26" ht="16.5" customHeight="1">
      <c r="A436" s="758">
        <f t="shared" si="132"/>
        <v>80</v>
      </c>
      <c r="B436" s="293" t="s">
        <v>824</v>
      </c>
      <c r="C436" s="25">
        <f t="shared" si="133"/>
        <v>8343750</v>
      </c>
      <c r="D436" s="759">
        <f t="shared" si="131"/>
        <v>393347.65767115372</v>
      </c>
      <c r="E436" s="759">
        <f t="shared" si="131"/>
        <v>124467.65253493698</v>
      </c>
      <c r="F436" s="759">
        <f t="shared" si="131"/>
        <v>268367.32510111929</v>
      </c>
      <c r="G436" s="759">
        <f t="shared" si="131"/>
        <v>21450.553213345604</v>
      </c>
      <c r="H436" s="759">
        <f t="shared" si="131"/>
        <v>390566.48190553644</v>
      </c>
      <c r="I436" s="759">
        <f t="shared" si="131"/>
        <v>100308.5154193507</v>
      </c>
      <c r="J436" s="360">
        <f t="shared" si="131"/>
        <v>0</v>
      </c>
      <c r="K436" s="25">
        <f t="shared" si="134"/>
        <v>9642257.1858454421</v>
      </c>
      <c r="L436" s="759">
        <v>1000</v>
      </c>
      <c r="M436" s="759">
        <f t="shared" si="135"/>
        <v>9642.257185845443</v>
      </c>
      <c r="N436" s="671">
        <v>14230</v>
      </c>
      <c r="O436" s="671"/>
      <c r="P436" s="40" t="s">
        <v>512</v>
      </c>
      <c r="Q436" s="774">
        <v>40857</v>
      </c>
      <c r="R436" s="775"/>
      <c r="S436" s="301">
        <v>625</v>
      </c>
      <c r="T436" s="806">
        <v>13350</v>
      </c>
      <c r="U436" s="25">
        <f t="shared" si="136"/>
        <v>8343750</v>
      </c>
      <c r="V436" s="451"/>
      <c r="W436" s="774"/>
      <c r="X436" s="808"/>
      <c r="Y436" s="806"/>
      <c r="Z436" s="25">
        <f t="shared" si="137"/>
        <v>0</v>
      </c>
    </row>
    <row r="437" spans="1:26" ht="16.5" customHeight="1">
      <c r="A437" s="758">
        <f t="shared" si="132"/>
        <v>81</v>
      </c>
      <c r="B437" s="293" t="s">
        <v>825</v>
      </c>
      <c r="C437" s="25">
        <f t="shared" si="133"/>
        <v>139505</v>
      </c>
      <c r="D437" s="759">
        <f t="shared" si="131"/>
        <v>9833.691441778843</v>
      </c>
      <c r="E437" s="759">
        <f t="shared" si="131"/>
        <v>3111.6913133734242</v>
      </c>
      <c r="F437" s="759">
        <f t="shared" si="131"/>
        <v>6709.1831275279819</v>
      </c>
      <c r="G437" s="759">
        <f t="shared" si="131"/>
        <v>536.26383033364004</v>
      </c>
      <c r="H437" s="759">
        <f t="shared" si="131"/>
        <v>9764.1620476384105</v>
      </c>
      <c r="I437" s="759">
        <f t="shared" si="131"/>
        <v>2507.7128854837674</v>
      </c>
      <c r="J437" s="360">
        <f t="shared" si="131"/>
        <v>0</v>
      </c>
      <c r="K437" s="25">
        <f t="shared" si="134"/>
        <v>171966.70464613606</v>
      </c>
      <c r="L437" s="759">
        <v>25</v>
      </c>
      <c r="M437" s="759">
        <f t="shared" si="135"/>
        <v>6878.6681858454422</v>
      </c>
      <c r="N437" s="671">
        <v>9024</v>
      </c>
      <c r="O437" s="671"/>
      <c r="P437" s="293" t="s">
        <v>379</v>
      </c>
      <c r="Q437" s="774">
        <v>40857</v>
      </c>
      <c r="R437" s="775"/>
      <c r="S437" s="301">
        <v>5</v>
      </c>
      <c r="T437" s="806">
        <v>27901</v>
      </c>
      <c r="U437" s="25">
        <f t="shared" si="136"/>
        <v>139505</v>
      </c>
      <c r="V437" s="451"/>
      <c r="W437" s="774"/>
      <c r="X437" s="808"/>
      <c r="Y437" s="806"/>
      <c r="Z437" s="25">
        <f t="shared" si="137"/>
        <v>0</v>
      </c>
    </row>
    <row r="438" spans="1:26" ht="16.5" customHeight="1">
      <c r="A438" s="758">
        <f t="shared" si="132"/>
        <v>82</v>
      </c>
      <c r="B438" s="293" t="s">
        <v>826</v>
      </c>
      <c r="C438" s="25">
        <f t="shared" si="133"/>
        <v>4449</v>
      </c>
      <c r="D438" s="759">
        <f t="shared" si="131"/>
        <v>786.69531534230748</v>
      </c>
      <c r="E438" s="759">
        <f t="shared" si="131"/>
        <v>248.93530506987395</v>
      </c>
      <c r="F438" s="759">
        <f t="shared" si="131"/>
        <v>536.73465020223853</v>
      </c>
      <c r="G438" s="759">
        <f t="shared" si="131"/>
        <v>42.901106426691207</v>
      </c>
      <c r="H438" s="759">
        <f t="shared" si="131"/>
        <v>781.13296381107284</v>
      </c>
      <c r="I438" s="759">
        <f t="shared" si="131"/>
        <v>200.6170308387014</v>
      </c>
      <c r="J438" s="360">
        <f t="shared" si="131"/>
        <v>0</v>
      </c>
      <c r="K438" s="25">
        <f t="shared" si="134"/>
        <v>7045.0163716908855</v>
      </c>
      <c r="L438" s="759">
        <v>2</v>
      </c>
      <c r="M438" s="759">
        <f t="shared" si="135"/>
        <v>3522.5081858454428</v>
      </c>
      <c r="N438" s="671">
        <v>4181</v>
      </c>
      <c r="O438" s="671"/>
      <c r="P438" s="188" t="s">
        <v>382</v>
      </c>
      <c r="Q438" s="774">
        <v>40857</v>
      </c>
      <c r="R438" s="775"/>
      <c r="S438" s="301">
        <v>1</v>
      </c>
      <c r="T438" s="806">
        <v>4449</v>
      </c>
      <c r="U438" s="25">
        <f t="shared" si="136"/>
        <v>4449</v>
      </c>
      <c r="V438" s="451"/>
      <c r="W438" s="774"/>
      <c r="X438" s="808"/>
      <c r="Y438" s="806"/>
      <c r="Z438" s="25">
        <f t="shared" si="137"/>
        <v>0</v>
      </c>
    </row>
    <row r="439" spans="1:26" ht="16.5" customHeight="1">
      <c r="A439" s="758">
        <f t="shared" si="132"/>
        <v>83</v>
      </c>
      <c r="B439" s="293" t="s">
        <v>533</v>
      </c>
      <c r="C439" s="25">
        <f t="shared" si="133"/>
        <v>1724459</v>
      </c>
      <c r="D439" s="759">
        <f t="shared" si="131"/>
        <v>82209.660453271135</v>
      </c>
      <c r="E439" s="759">
        <f t="shared" si="131"/>
        <v>26013.739379801827</v>
      </c>
      <c r="F439" s="759">
        <f t="shared" si="131"/>
        <v>56088.770946133925</v>
      </c>
      <c r="G439" s="759">
        <f t="shared" si="131"/>
        <v>4483.1656215892308</v>
      </c>
      <c r="H439" s="759">
        <f t="shared" si="131"/>
        <v>81628.394718257114</v>
      </c>
      <c r="I439" s="759">
        <f t="shared" si="131"/>
        <v>20964.479722644297</v>
      </c>
      <c r="J439" s="360">
        <f t="shared" si="131"/>
        <v>0</v>
      </c>
      <c r="K439" s="25">
        <f t="shared" si="134"/>
        <v>1995846.2108416972</v>
      </c>
      <c r="L439" s="759">
        <v>209</v>
      </c>
      <c r="M439" s="759">
        <f t="shared" si="135"/>
        <v>9549.5034011564458</v>
      </c>
      <c r="N439" s="671">
        <v>10595</v>
      </c>
      <c r="O439" s="671"/>
      <c r="P439" s="40" t="s">
        <v>508</v>
      </c>
      <c r="Q439" s="774">
        <v>40862</v>
      </c>
      <c r="R439" s="775"/>
      <c r="S439" s="301">
        <f>L439/2</f>
        <v>104.5</v>
      </c>
      <c r="T439" s="806">
        <v>16502</v>
      </c>
      <c r="U439" s="25">
        <f t="shared" si="136"/>
        <v>1724459</v>
      </c>
      <c r="V439" s="451"/>
      <c r="W439" s="774"/>
      <c r="X439" s="808"/>
      <c r="Y439" s="806"/>
      <c r="Z439" s="25">
        <f t="shared" si="137"/>
        <v>0</v>
      </c>
    </row>
    <row r="440" spans="1:26" ht="16.5" customHeight="1">
      <c r="A440" s="758">
        <f t="shared" si="132"/>
        <v>84</v>
      </c>
      <c r="B440" s="293" t="s">
        <v>817</v>
      </c>
      <c r="C440" s="25">
        <f t="shared" si="133"/>
        <v>1988805</v>
      </c>
      <c r="D440" s="759">
        <f t="shared" si="131"/>
        <v>55462.019731632674</v>
      </c>
      <c r="E440" s="759">
        <f t="shared" si="131"/>
        <v>17549.939007426114</v>
      </c>
      <c r="F440" s="759">
        <f t="shared" si="131"/>
        <v>37839.792839257818</v>
      </c>
      <c r="G440" s="759">
        <f t="shared" si="131"/>
        <v>3024.5280030817303</v>
      </c>
      <c r="H440" s="759">
        <f t="shared" si="131"/>
        <v>55069.873948680637</v>
      </c>
      <c r="I440" s="759">
        <f t="shared" si="131"/>
        <v>14143.500674128449</v>
      </c>
      <c r="J440" s="360">
        <f t="shared" si="131"/>
        <v>0</v>
      </c>
      <c r="K440" s="25">
        <f t="shared" si="134"/>
        <v>2171893.6542042075</v>
      </c>
      <c r="L440" s="759">
        <v>141</v>
      </c>
      <c r="M440" s="759">
        <f t="shared" si="135"/>
        <v>15403.501093646861</v>
      </c>
      <c r="N440" s="671">
        <v>17966</v>
      </c>
      <c r="O440" s="671"/>
      <c r="P440" s="40" t="s">
        <v>510</v>
      </c>
      <c r="Q440" s="774">
        <v>40862</v>
      </c>
      <c r="R440" s="775"/>
      <c r="S440" s="301">
        <f>L440</f>
        <v>141</v>
      </c>
      <c r="T440" s="806">
        <v>14105</v>
      </c>
      <c r="U440" s="25">
        <f t="shared" si="136"/>
        <v>1988805</v>
      </c>
      <c r="V440" s="451"/>
      <c r="W440" s="774"/>
      <c r="X440" s="808"/>
      <c r="Y440" s="806"/>
      <c r="Z440" s="25">
        <f t="shared" si="137"/>
        <v>0</v>
      </c>
    </row>
    <row r="441" spans="1:26" ht="16.5" customHeight="1">
      <c r="A441" s="758">
        <f t="shared" si="132"/>
        <v>85</v>
      </c>
      <c r="B441" s="293" t="s">
        <v>818</v>
      </c>
      <c r="C441" s="25">
        <f t="shared" si="133"/>
        <v>3528372</v>
      </c>
      <c r="D441" s="759">
        <f t="shared" si="131"/>
        <v>136884.98486956151</v>
      </c>
      <c r="E441" s="759">
        <f t="shared" si="131"/>
        <v>43314.743082158064</v>
      </c>
      <c r="F441" s="759">
        <f t="shared" si="131"/>
        <v>93391.829135189502</v>
      </c>
      <c r="G441" s="759">
        <f t="shared" si="131"/>
        <v>7464.7925182442705</v>
      </c>
      <c r="H441" s="759">
        <f t="shared" si="131"/>
        <v>135917.13570312667</v>
      </c>
      <c r="I441" s="759">
        <f t="shared" si="131"/>
        <v>34907.363365934041</v>
      </c>
      <c r="J441" s="360">
        <f t="shared" si="131"/>
        <v>0</v>
      </c>
      <c r="K441" s="25">
        <f t="shared" si="134"/>
        <v>3980251.8486742144</v>
      </c>
      <c r="L441" s="759">
        <v>348</v>
      </c>
      <c r="M441" s="759">
        <f t="shared" si="135"/>
        <v>11437.505312282225</v>
      </c>
      <c r="N441" s="671">
        <v>14535</v>
      </c>
      <c r="O441" s="671"/>
      <c r="P441" s="40" t="s">
        <v>503</v>
      </c>
      <c r="Q441" s="774">
        <v>40862</v>
      </c>
      <c r="R441" s="775"/>
      <c r="S441" s="301">
        <f>L441/2</f>
        <v>174</v>
      </c>
      <c r="T441" s="806">
        <v>20278</v>
      </c>
      <c r="U441" s="25">
        <f t="shared" si="136"/>
        <v>3528372</v>
      </c>
      <c r="V441" s="451"/>
      <c r="W441" s="774"/>
      <c r="X441" s="808"/>
      <c r="Y441" s="806"/>
      <c r="Z441" s="25">
        <f t="shared" si="137"/>
        <v>0</v>
      </c>
    </row>
    <row r="442" spans="1:26" ht="16.5" customHeight="1">
      <c r="A442" s="758">
        <f t="shared" si="132"/>
        <v>86</v>
      </c>
      <c r="B442" s="293" t="s">
        <v>534</v>
      </c>
      <c r="C442" s="25">
        <f t="shared" si="133"/>
        <v>327560</v>
      </c>
      <c r="D442" s="759">
        <f t="shared" si="131"/>
        <v>14947.210991503842</v>
      </c>
      <c r="E442" s="759">
        <f t="shared" si="131"/>
        <v>4729.7707963276052</v>
      </c>
      <c r="F442" s="759">
        <f t="shared" si="131"/>
        <v>10197.958353842532</v>
      </c>
      <c r="G442" s="759">
        <f t="shared" si="131"/>
        <v>815.12102210713294</v>
      </c>
      <c r="H442" s="759">
        <f t="shared" si="131"/>
        <v>14841.526312410384</v>
      </c>
      <c r="I442" s="759">
        <f t="shared" si="131"/>
        <v>3811.7235859353264</v>
      </c>
      <c r="J442" s="360">
        <f t="shared" si="131"/>
        <v>0</v>
      </c>
      <c r="K442" s="25">
        <f t="shared" si="134"/>
        <v>376902.31106212683</v>
      </c>
      <c r="L442" s="759">
        <v>38</v>
      </c>
      <c r="M442" s="759">
        <f t="shared" si="135"/>
        <v>9918.4818700559699</v>
      </c>
      <c r="N442" s="671">
        <v>11321</v>
      </c>
      <c r="O442" s="671"/>
      <c r="P442" s="188" t="s">
        <v>415</v>
      </c>
      <c r="Q442" s="774">
        <v>40862</v>
      </c>
      <c r="R442" s="775"/>
      <c r="S442" s="301">
        <f>L442</f>
        <v>38</v>
      </c>
      <c r="T442" s="806">
        <v>8620</v>
      </c>
      <c r="U442" s="25">
        <f t="shared" si="136"/>
        <v>327560</v>
      </c>
      <c r="V442" s="451"/>
      <c r="W442" s="774"/>
      <c r="X442" s="808"/>
      <c r="Y442" s="806"/>
      <c r="Z442" s="25">
        <f t="shared" si="137"/>
        <v>0</v>
      </c>
    </row>
    <row r="443" spans="1:26" ht="16.5" customHeight="1">
      <c r="A443" s="758">
        <f t="shared" si="132"/>
        <v>87</v>
      </c>
      <c r="B443" s="293" t="s">
        <v>819</v>
      </c>
      <c r="C443" s="25">
        <f t="shared" si="133"/>
        <v>169260</v>
      </c>
      <c r="D443" s="759">
        <f t="shared" si="131"/>
        <v>9440.3437841076902</v>
      </c>
      <c r="E443" s="759">
        <f t="shared" si="131"/>
        <v>2987.2236608384874</v>
      </c>
      <c r="F443" s="759">
        <f t="shared" si="131"/>
        <v>6440.8158024268623</v>
      </c>
      <c r="G443" s="759">
        <f t="shared" si="131"/>
        <v>514.81327712029452</v>
      </c>
      <c r="H443" s="759">
        <f t="shared" si="131"/>
        <v>9373.5955657328741</v>
      </c>
      <c r="I443" s="759">
        <f t="shared" si="131"/>
        <v>2407.404370064417</v>
      </c>
      <c r="J443" s="360">
        <f t="shared" si="131"/>
        <v>0</v>
      </c>
      <c r="K443" s="25">
        <f t="shared" si="134"/>
        <v>200423.19646029061</v>
      </c>
      <c r="L443" s="759">
        <v>24</v>
      </c>
      <c r="M443" s="759">
        <f t="shared" si="135"/>
        <v>8350.9665191787753</v>
      </c>
      <c r="N443" s="671">
        <v>10267</v>
      </c>
      <c r="O443" s="671"/>
      <c r="P443" s="40" t="s">
        <v>510</v>
      </c>
      <c r="Q443" s="774">
        <v>40862</v>
      </c>
      <c r="R443" s="775"/>
      <c r="S443" s="301">
        <v>12</v>
      </c>
      <c r="T443" s="806">
        <v>14105</v>
      </c>
      <c r="U443" s="25">
        <f t="shared" si="136"/>
        <v>169260</v>
      </c>
      <c r="V443" s="451"/>
      <c r="W443" s="774"/>
      <c r="X443" s="808"/>
      <c r="Y443" s="806"/>
      <c r="Z443" s="25">
        <f t="shared" si="137"/>
        <v>0</v>
      </c>
    </row>
    <row r="444" spans="1:26" ht="16.5" customHeight="1">
      <c r="A444" s="758">
        <f t="shared" si="132"/>
        <v>88</v>
      </c>
      <c r="B444" s="293" t="s">
        <v>718</v>
      </c>
      <c r="C444" s="25">
        <f t="shared" si="133"/>
        <v>10139</v>
      </c>
      <c r="D444" s="759">
        <f t="shared" si="131"/>
        <v>393.34765767115374</v>
      </c>
      <c r="E444" s="759">
        <f t="shared" si="131"/>
        <v>124.46765253493697</v>
      </c>
      <c r="F444" s="759">
        <f t="shared" si="131"/>
        <v>268.36732510111926</v>
      </c>
      <c r="G444" s="759">
        <f t="shared" si="131"/>
        <v>21.450553213345604</v>
      </c>
      <c r="H444" s="759">
        <f t="shared" si="131"/>
        <v>390.56648190553642</v>
      </c>
      <c r="I444" s="759">
        <f t="shared" si="131"/>
        <v>100.3085154193507</v>
      </c>
      <c r="J444" s="360">
        <f t="shared" si="131"/>
        <v>0</v>
      </c>
      <c r="K444" s="25">
        <f t="shared" si="134"/>
        <v>11436.508185845443</v>
      </c>
      <c r="L444" s="759">
        <v>1</v>
      </c>
      <c r="M444" s="759">
        <f t="shared" si="135"/>
        <v>11436.508185845443</v>
      </c>
      <c r="N444" s="671">
        <v>13099</v>
      </c>
      <c r="O444" s="671"/>
      <c r="P444" s="40" t="s">
        <v>503</v>
      </c>
      <c r="Q444" s="774">
        <v>40862</v>
      </c>
      <c r="R444" s="775"/>
      <c r="S444" s="301">
        <f>L444/2</f>
        <v>0.5</v>
      </c>
      <c r="T444" s="806">
        <v>20278</v>
      </c>
      <c r="U444" s="25">
        <f t="shared" si="136"/>
        <v>10139</v>
      </c>
      <c r="V444" s="451"/>
      <c r="W444" s="774"/>
      <c r="X444" s="808"/>
      <c r="Y444" s="806"/>
      <c r="Z444" s="25">
        <f t="shared" si="137"/>
        <v>0</v>
      </c>
    </row>
    <row r="445" spans="1:26" ht="16.5" customHeight="1">
      <c r="A445" s="758">
        <f t="shared" si="132"/>
        <v>89</v>
      </c>
      <c r="B445" s="293" t="s">
        <v>536</v>
      </c>
      <c r="C445" s="25">
        <f t="shared" si="133"/>
        <v>27594</v>
      </c>
      <c r="D445" s="759">
        <f t="shared" si="131"/>
        <v>1180.0429730134613</v>
      </c>
      <c r="E445" s="759">
        <f t="shared" si="131"/>
        <v>373.40295760481092</v>
      </c>
      <c r="F445" s="759">
        <f t="shared" si="131"/>
        <v>805.10197530335779</v>
      </c>
      <c r="G445" s="759">
        <f t="shared" si="131"/>
        <v>64.351659640036814</v>
      </c>
      <c r="H445" s="759">
        <f t="shared" si="131"/>
        <v>1171.6994457166093</v>
      </c>
      <c r="I445" s="759">
        <f t="shared" si="131"/>
        <v>300.92554625805212</v>
      </c>
      <c r="J445" s="360">
        <f t="shared" ref="D445:J482" si="138">IF($L$599&lt;&gt;0,J$599/$L$599*$L445,0)</f>
        <v>0</v>
      </c>
      <c r="K445" s="25">
        <f t="shared" si="134"/>
        <v>31488.524557536326</v>
      </c>
      <c r="L445" s="759">
        <v>3</v>
      </c>
      <c r="M445" s="759">
        <f t="shared" si="135"/>
        <v>10496.174852512109</v>
      </c>
      <c r="N445" s="671">
        <v>12564</v>
      </c>
      <c r="O445" s="671"/>
      <c r="P445" s="40" t="s">
        <v>477</v>
      </c>
      <c r="Q445" s="774">
        <v>40862</v>
      </c>
      <c r="R445" s="775"/>
      <c r="S445" s="301">
        <f>L445/2</f>
        <v>1.5</v>
      </c>
      <c r="T445" s="806">
        <v>18396</v>
      </c>
      <c r="U445" s="25">
        <f t="shared" si="136"/>
        <v>27594</v>
      </c>
      <c r="V445" s="451"/>
      <c r="W445" s="774"/>
      <c r="X445" s="808"/>
      <c r="Y445" s="806"/>
      <c r="Z445" s="25">
        <f t="shared" si="137"/>
        <v>0</v>
      </c>
    </row>
    <row r="446" spans="1:26" ht="16.5" customHeight="1">
      <c r="A446" s="758">
        <f t="shared" si="132"/>
        <v>90</v>
      </c>
      <c r="B446" s="293" t="s">
        <v>539</v>
      </c>
      <c r="C446" s="25">
        <f t="shared" si="133"/>
        <v>29457</v>
      </c>
      <c r="D446" s="759">
        <f t="shared" si="138"/>
        <v>1180.0429730134613</v>
      </c>
      <c r="E446" s="759">
        <f t="shared" si="138"/>
        <v>373.40295760481092</v>
      </c>
      <c r="F446" s="759">
        <f t="shared" si="138"/>
        <v>805.10197530335779</v>
      </c>
      <c r="G446" s="759">
        <f t="shared" si="138"/>
        <v>64.351659640036814</v>
      </c>
      <c r="H446" s="759">
        <f t="shared" si="138"/>
        <v>1171.6994457166093</v>
      </c>
      <c r="I446" s="759">
        <f t="shared" si="138"/>
        <v>300.92554625805212</v>
      </c>
      <c r="J446" s="360">
        <f t="shared" si="138"/>
        <v>0</v>
      </c>
      <c r="K446" s="25">
        <f t="shared" si="134"/>
        <v>33351.52455753633</v>
      </c>
      <c r="L446" s="759">
        <v>3</v>
      </c>
      <c r="M446" s="759">
        <f t="shared" si="135"/>
        <v>11117.174852512109</v>
      </c>
      <c r="N446" s="671">
        <v>16284</v>
      </c>
      <c r="O446" s="671"/>
      <c r="P446" s="188" t="s">
        <v>428</v>
      </c>
      <c r="Q446" s="774">
        <v>40862</v>
      </c>
      <c r="R446" s="775"/>
      <c r="S446" s="301">
        <v>1.5</v>
      </c>
      <c r="T446" s="806">
        <v>19638</v>
      </c>
      <c r="U446" s="25">
        <f t="shared" si="136"/>
        <v>29457</v>
      </c>
      <c r="V446" s="451"/>
      <c r="W446" s="774"/>
      <c r="X446" s="808"/>
      <c r="Y446" s="806"/>
      <c r="Z446" s="25">
        <f t="shared" si="137"/>
        <v>0</v>
      </c>
    </row>
    <row r="447" spans="1:26" ht="16.5" customHeight="1">
      <c r="A447" s="758">
        <f t="shared" si="132"/>
        <v>91</v>
      </c>
      <c r="B447" s="293" t="s">
        <v>535</v>
      </c>
      <c r="C447" s="25">
        <f t="shared" si="133"/>
        <v>33745</v>
      </c>
      <c r="D447" s="759">
        <f t="shared" si="138"/>
        <v>1966.7382883557686</v>
      </c>
      <c r="E447" s="759">
        <f t="shared" si="138"/>
        <v>622.33826267468487</v>
      </c>
      <c r="F447" s="759">
        <f t="shared" si="138"/>
        <v>1341.8366255055962</v>
      </c>
      <c r="G447" s="759">
        <f t="shared" si="138"/>
        <v>107.25276606672801</v>
      </c>
      <c r="H447" s="759">
        <f t="shared" si="138"/>
        <v>1952.8324095276821</v>
      </c>
      <c r="I447" s="759">
        <f t="shared" si="138"/>
        <v>501.54257709675346</v>
      </c>
      <c r="J447" s="360">
        <f t="shared" si="138"/>
        <v>0</v>
      </c>
      <c r="K447" s="25">
        <f t="shared" si="134"/>
        <v>40236.540929227209</v>
      </c>
      <c r="L447" s="759">
        <v>5</v>
      </c>
      <c r="M447" s="759">
        <f t="shared" si="135"/>
        <v>8047.3081858454416</v>
      </c>
      <c r="N447" s="671">
        <v>10253</v>
      </c>
      <c r="O447" s="671"/>
      <c r="P447" s="188" t="s">
        <v>412</v>
      </c>
      <c r="Q447" s="774">
        <v>40862</v>
      </c>
      <c r="R447" s="775"/>
      <c r="S447" s="301">
        <f>L447/2</f>
        <v>2.5</v>
      </c>
      <c r="T447" s="806">
        <v>13498</v>
      </c>
      <c r="U447" s="25">
        <f t="shared" si="136"/>
        <v>33745</v>
      </c>
      <c r="V447" s="451"/>
      <c r="W447" s="774"/>
      <c r="X447" s="808"/>
      <c r="Y447" s="806"/>
      <c r="Z447" s="25">
        <f t="shared" si="137"/>
        <v>0</v>
      </c>
    </row>
    <row r="448" spans="1:26" ht="16.5" customHeight="1">
      <c r="A448" s="758">
        <f t="shared" si="132"/>
        <v>92</v>
      </c>
      <c r="B448" s="293" t="s">
        <v>827</v>
      </c>
      <c r="C448" s="25">
        <f t="shared" si="133"/>
        <v>26996</v>
      </c>
      <c r="D448" s="759">
        <f t="shared" si="138"/>
        <v>1573.390630684615</v>
      </c>
      <c r="E448" s="759">
        <f t="shared" si="138"/>
        <v>497.8706101397479</v>
      </c>
      <c r="F448" s="759">
        <f t="shared" si="138"/>
        <v>1073.4693004044771</v>
      </c>
      <c r="G448" s="759">
        <f t="shared" si="138"/>
        <v>85.802212853382414</v>
      </c>
      <c r="H448" s="759">
        <f t="shared" si="138"/>
        <v>1562.2659276221457</v>
      </c>
      <c r="I448" s="759">
        <f t="shared" si="138"/>
        <v>401.23406167740279</v>
      </c>
      <c r="J448" s="360">
        <f t="shared" si="138"/>
        <v>0</v>
      </c>
      <c r="K448" s="25">
        <f t="shared" si="134"/>
        <v>32189.032743381769</v>
      </c>
      <c r="L448" s="759">
        <v>4</v>
      </c>
      <c r="M448" s="759">
        <f t="shared" si="135"/>
        <v>8047.2581858454423</v>
      </c>
      <c r="N448" s="671">
        <v>10026</v>
      </c>
      <c r="O448" s="671"/>
      <c r="P448" s="188" t="s">
        <v>412</v>
      </c>
      <c r="Q448" s="774">
        <v>40862</v>
      </c>
      <c r="R448" s="775"/>
      <c r="S448" s="301">
        <f>L448/2</f>
        <v>2</v>
      </c>
      <c r="T448" s="806">
        <v>13498</v>
      </c>
      <c r="U448" s="25">
        <f t="shared" si="136"/>
        <v>26996</v>
      </c>
      <c r="V448" s="451"/>
      <c r="W448" s="774"/>
      <c r="X448" s="808"/>
      <c r="Y448" s="806"/>
      <c r="Z448" s="25">
        <f t="shared" si="137"/>
        <v>0</v>
      </c>
    </row>
    <row r="449" spans="1:26" ht="16.5" customHeight="1">
      <c r="A449" s="758">
        <f t="shared" si="132"/>
        <v>93</v>
      </c>
      <c r="B449" s="293" t="s">
        <v>739</v>
      </c>
      <c r="C449" s="25">
        <f t="shared" si="133"/>
        <v>4449</v>
      </c>
      <c r="D449" s="759">
        <f t="shared" si="138"/>
        <v>393.34765767115374</v>
      </c>
      <c r="E449" s="759">
        <f t="shared" si="138"/>
        <v>124.46765253493697</v>
      </c>
      <c r="F449" s="759">
        <f t="shared" si="138"/>
        <v>268.36732510111926</v>
      </c>
      <c r="G449" s="759">
        <f t="shared" si="138"/>
        <v>21.450553213345604</v>
      </c>
      <c r="H449" s="759">
        <f t="shared" si="138"/>
        <v>390.56648190553642</v>
      </c>
      <c r="I449" s="759">
        <f t="shared" si="138"/>
        <v>100.3085154193507</v>
      </c>
      <c r="J449" s="360">
        <f t="shared" si="138"/>
        <v>0</v>
      </c>
      <c r="K449" s="25">
        <f t="shared" si="134"/>
        <v>5746.5081858454423</v>
      </c>
      <c r="L449" s="759">
        <v>1</v>
      </c>
      <c r="M449" s="759">
        <f t="shared" si="135"/>
        <v>5746.5081858454423</v>
      </c>
      <c r="N449" s="671">
        <v>7285</v>
      </c>
      <c r="O449" s="671"/>
      <c r="P449" s="188" t="s">
        <v>382</v>
      </c>
      <c r="Q449" s="774">
        <v>40862</v>
      </c>
      <c r="R449" s="775"/>
      <c r="S449" s="301">
        <f>L449</f>
        <v>1</v>
      </c>
      <c r="T449" s="806">
        <v>4449</v>
      </c>
      <c r="U449" s="25">
        <f t="shared" si="136"/>
        <v>4449</v>
      </c>
      <c r="V449" s="451"/>
      <c r="W449" s="774"/>
      <c r="X449" s="808"/>
      <c r="Y449" s="806"/>
      <c r="Z449" s="25">
        <f t="shared" si="137"/>
        <v>0</v>
      </c>
    </row>
    <row r="450" spans="1:26" ht="16.5" customHeight="1">
      <c r="A450" s="758">
        <f t="shared" si="132"/>
        <v>94</v>
      </c>
      <c r="B450" s="293" t="s">
        <v>544</v>
      </c>
      <c r="C450" s="25">
        <f t="shared" si="133"/>
        <v>15086</v>
      </c>
      <c r="D450" s="759">
        <f t="shared" si="138"/>
        <v>1573.390630684615</v>
      </c>
      <c r="E450" s="759">
        <f t="shared" si="138"/>
        <v>497.8706101397479</v>
      </c>
      <c r="F450" s="759">
        <f t="shared" si="138"/>
        <v>1073.4693004044771</v>
      </c>
      <c r="G450" s="759">
        <f t="shared" si="138"/>
        <v>85.802212853382414</v>
      </c>
      <c r="H450" s="759">
        <f t="shared" si="138"/>
        <v>1562.2659276221457</v>
      </c>
      <c r="I450" s="759">
        <f t="shared" si="138"/>
        <v>401.23406167740279</v>
      </c>
      <c r="J450" s="360">
        <f t="shared" si="138"/>
        <v>0</v>
      </c>
      <c r="K450" s="25">
        <f t="shared" si="134"/>
        <v>20279.032743381769</v>
      </c>
      <c r="L450" s="759">
        <v>4</v>
      </c>
      <c r="M450" s="759">
        <f t="shared" si="135"/>
        <v>5069.7581858454423</v>
      </c>
      <c r="N450" s="671">
        <v>5210</v>
      </c>
      <c r="O450" s="671"/>
      <c r="P450" s="188" t="s">
        <v>452</v>
      </c>
      <c r="Q450" s="774">
        <v>40862</v>
      </c>
      <c r="R450" s="775"/>
      <c r="S450" s="301">
        <v>2</v>
      </c>
      <c r="T450" s="806">
        <v>7543</v>
      </c>
      <c r="U450" s="25">
        <f t="shared" si="136"/>
        <v>15086</v>
      </c>
      <c r="V450" s="451"/>
      <c r="W450" s="774"/>
      <c r="X450" s="808"/>
      <c r="Y450" s="806"/>
      <c r="Z450" s="25">
        <f t="shared" si="137"/>
        <v>0</v>
      </c>
    </row>
    <row r="451" spans="1:26" ht="16.5" customHeight="1">
      <c r="A451" s="758">
        <f t="shared" si="132"/>
        <v>95</v>
      </c>
      <c r="B451" s="293" t="s">
        <v>670</v>
      </c>
      <c r="C451" s="25">
        <f t="shared" si="133"/>
        <v>17796</v>
      </c>
      <c r="D451" s="759">
        <f t="shared" si="138"/>
        <v>1573.390630684615</v>
      </c>
      <c r="E451" s="759">
        <f t="shared" si="138"/>
        <v>497.8706101397479</v>
      </c>
      <c r="F451" s="759">
        <f t="shared" si="138"/>
        <v>1073.4693004044771</v>
      </c>
      <c r="G451" s="759">
        <f t="shared" si="138"/>
        <v>85.802212853382414</v>
      </c>
      <c r="H451" s="759">
        <f t="shared" si="138"/>
        <v>1562.2659276221457</v>
      </c>
      <c r="I451" s="759">
        <f t="shared" si="138"/>
        <v>401.23406167740279</v>
      </c>
      <c r="J451" s="360">
        <f t="shared" si="138"/>
        <v>0</v>
      </c>
      <c r="K451" s="25">
        <f t="shared" si="134"/>
        <v>22989.032743381769</v>
      </c>
      <c r="L451" s="759">
        <v>4</v>
      </c>
      <c r="M451" s="759">
        <f t="shared" si="135"/>
        <v>5747.2581858454423</v>
      </c>
      <c r="N451" s="671">
        <v>7094</v>
      </c>
      <c r="O451" s="671"/>
      <c r="P451" s="188" t="s">
        <v>382</v>
      </c>
      <c r="Q451" s="774">
        <v>40862</v>
      </c>
      <c r="R451" s="775"/>
      <c r="S451" s="301">
        <f>L451</f>
        <v>4</v>
      </c>
      <c r="T451" s="806">
        <v>4449</v>
      </c>
      <c r="U451" s="25">
        <f t="shared" si="136"/>
        <v>17796</v>
      </c>
      <c r="V451" s="451"/>
      <c r="W451" s="774"/>
      <c r="X451" s="808"/>
      <c r="Y451" s="806"/>
      <c r="Z451" s="25">
        <f t="shared" si="137"/>
        <v>0</v>
      </c>
    </row>
    <row r="452" spans="1:26" ht="16.5" customHeight="1">
      <c r="A452" s="758">
        <f t="shared" si="132"/>
        <v>96</v>
      </c>
      <c r="B452" s="293" t="s">
        <v>545</v>
      </c>
      <c r="C452" s="25">
        <f t="shared" si="133"/>
        <v>8898</v>
      </c>
      <c r="D452" s="759">
        <f t="shared" si="138"/>
        <v>786.69531534230748</v>
      </c>
      <c r="E452" s="759">
        <f t="shared" si="138"/>
        <v>248.93530506987395</v>
      </c>
      <c r="F452" s="759">
        <f t="shared" si="138"/>
        <v>536.73465020223853</v>
      </c>
      <c r="G452" s="759">
        <f t="shared" si="138"/>
        <v>42.901106426691207</v>
      </c>
      <c r="H452" s="759">
        <f t="shared" si="138"/>
        <v>781.13296381107284</v>
      </c>
      <c r="I452" s="759">
        <f t="shared" si="138"/>
        <v>200.6170308387014</v>
      </c>
      <c r="J452" s="360">
        <f t="shared" si="138"/>
        <v>0</v>
      </c>
      <c r="K452" s="25">
        <f t="shared" si="134"/>
        <v>11494.016371690885</v>
      </c>
      <c r="L452" s="759">
        <v>2</v>
      </c>
      <c r="M452" s="759">
        <f t="shared" si="135"/>
        <v>5747.0081858454423</v>
      </c>
      <c r="N452" s="671">
        <v>7348</v>
      </c>
      <c r="O452" s="671"/>
      <c r="P452" s="188" t="s">
        <v>382</v>
      </c>
      <c r="Q452" s="774">
        <v>40862</v>
      </c>
      <c r="R452" s="775"/>
      <c r="S452" s="301">
        <f>L452</f>
        <v>2</v>
      </c>
      <c r="T452" s="806">
        <v>4449</v>
      </c>
      <c r="U452" s="25">
        <f t="shared" si="136"/>
        <v>8898</v>
      </c>
      <c r="V452" s="451"/>
      <c r="W452" s="774"/>
      <c r="X452" s="808"/>
      <c r="Y452" s="806"/>
      <c r="Z452" s="25">
        <f t="shared" si="137"/>
        <v>0</v>
      </c>
    </row>
    <row r="453" spans="1:26" ht="16.5" customHeight="1">
      <c r="A453" s="758">
        <f t="shared" si="132"/>
        <v>97</v>
      </c>
      <c r="B453" s="293" t="s">
        <v>672</v>
      </c>
      <c r="C453" s="25">
        <f t="shared" si="133"/>
        <v>1527848</v>
      </c>
      <c r="D453" s="759">
        <f t="shared" si="138"/>
        <v>86929.832345324976</v>
      </c>
      <c r="E453" s="759">
        <f t="shared" si="138"/>
        <v>27507.35121022107</v>
      </c>
      <c r="F453" s="759">
        <f t="shared" si="138"/>
        <v>59309.178847347357</v>
      </c>
      <c r="G453" s="759">
        <f t="shared" si="138"/>
        <v>4740.5722601493781</v>
      </c>
      <c r="H453" s="759">
        <f t="shared" si="138"/>
        <v>86315.192501123543</v>
      </c>
      <c r="I453" s="759">
        <f t="shared" si="138"/>
        <v>22168.181907676506</v>
      </c>
      <c r="J453" s="360">
        <f t="shared" si="138"/>
        <v>0</v>
      </c>
      <c r="K453" s="25">
        <f t="shared" si="134"/>
        <v>1814817.3090718428</v>
      </c>
      <c r="L453" s="759">
        <v>221</v>
      </c>
      <c r="M453" s="759">
        <f t="shared" si="135"/>
        <v>8211.8430274744023</v>
      </c>
      <c r="N453" s="671">
        <v>9594</v>
      </c>
      <c r="O453" s="671"/>
      <c r="P453" s="40" t="s">
        <v>500</v>
      </c>
      <c r="Q453" s="774">
        <v>40862</v>
      </c>
      <c r="R453" s="775"/>
      <c r="S453" s="301">
        <v>56</v>
      </c>
      <c r="T453" s="806">
        <v>27283</v>
      </c>
      <c r="U453" s="25">
        <f t="shared" si="136"/>
        <v>1527848</v>
      </c>
      <c r="V453" s="451"/>
      <c r="W453" s="774"/>
      <c r="X453" s="808"/>
      <c r="Y453" s="806"/>
      <c r="Z453" s="25">
        <f t="shared" si="137"/>
        <v>0</v>
      </c>
    </row>
    <row r="454" spans="1:26" ht="16.5" customHeight="1">
      <c r="A454" s="758">
        <f t="shared" si="132"/>
        <v>98</v>
      </c>
      <c r="B454" s="293" t="s">
        <v>546</v>
      </c>
      <c r="C454" s="25">
        <f t="shared" si="133"/>
        <v>794561</v>
      </c>
      <c r="D454" s="759">
        <f t="shared" si="138"/>
        <v>24387.55477561153</v>
      </c>
      <c r="E454" s="759">
        <f t="shared" si="138"/>
        <v>7716.9944571660926</v>
      </c>
      <c r="F454" s="759">
        <f t="shared" si="138"/>
        <v>16638.774156269395</v>
      </c>
      <c r="G454" s="759">
        <f t="shared" si="138"/>
        <v>1329.9342992274273</v>
      </c>
      <c r="H454" s="759">
        <f t="shared" si="138"/>
        <v>24215.121878143258</v>
      </c>
      <c r="I454" s="759">
        <f t="shared" si="138"/>
        <v>6219.1279559997429</v>
      </c>
      <c r="J454" s="360">
        <f t="shared" si="138"/>
        <v>0</v>
      </c>
      <c r="K454" s="25">
        <f t="shared" si="134"/>
        <v>875067.50752241735</v>
      </c>
      <c r="L454" s="759">
        <v>62</v>
      </c>
      <c r="M454" s="759">
        <f t="shared" si="135"/>
        <v>14113.992056813184</v>
      </c>
      <c r="N454" s="671">
        <v>15136</v>
      </c>
      <c r="O454" s="671"/>
      <c r="P454" s="451" t="s">
        <v>504</v>
      </c>
      <c r="Q454" s="774">
        <v>40862</v>
      </c>
      <c r="R454" s="775"/>
      <c r="S454" s="301">
        <f>L454/2</f>
        <v>31</v>
      </c>
      <c r="T454" s="806">
        <v>25631</v>
      </c>
      <c r="U454" s="25">
        <f t="shared" si="136"/>
        <v>794561</v>
      </c>
      <c r="V454" s="451"/>
      <c r="W454" s="774"/>
      <c r="X454" s="808"/>
      <c r="Y454" s="806"/>
      <c r="Z454" s="25">
        <f t="shared" si="137"/>
        <v>0</v>
      </c>
    </row>
    <row r="455" spans="1:26" ht="16.5" customHeight="1">
      <c r="A455" s="758">
        <f t="shared" si="132"/>
        <v>99</v>
      </c>
      <c r="B455" s="293" t="s">
        <v>668</v>
      </c>
      <c r="C455" s="25">
        <f t="shared" si="133"/>
        <v>851236</v>
      </c>
      <c r="D455" s="759">
        <f t="shared" si="138"/>
        <v>54675.324416290372</v>
      </c>
      <c r="E455" s="759">
        <f t="shared" si="138"/>
        <v>17301.00370235624</v>
      </c>
      <c r="F455" s="759">
        <f t="shared" si="138"/>
        <v>37303.058189055577</v>
      </c>
      <c r="G455" s="759">
        <f t="shared" si="138"/>
        <v>2981.6268966550388</v>
      </c>
      <c r="H455" s="759">
        <f t="shared" si="138"/>
        <v>54288.740984869561</v>
      </c>
      <c r="I455" s="759">
        <f t="shared" si="138"/>
        <v>13942.883643289748</v>
      </c>
      <c r="J455" s="360">
        <f t="shared" si="138"/>
        <v>0</v>
      </c>
      <c r="K455" s="25">
        <f t="shared" si="134"/>
        <v>1031727.6378325166</v>
      </c>
      <c r="L455" s="759">
        <v>139</v>
      </c>
      <c r="M455" s="759">
        <f t="shared" si="135"/>
        <v>7422.5009916008385</v>
      </c>
      <c r="N455" s="671">
        <v>8450</v>
      </c>
      <c r="O455" s="671"/>
      <c r="P455" s="188" t="s">
        <v>381</v>
      </c>
      <c r="Q455" s="774">
        <v>40862</v>
      </c>
      <c r="R455" s="775"/>
      <c r="S455" s="301">
        <v>139</v>
      </c>
      <c r="T455" s="806">
        <v>6124</v>
      </c>
      <c r="U455" s="25">
        <f t="shared" si="136"/>
        <v>851236</v>
      </c>
      <c r="V455" s="451"/>
      <c r="W455" s="774"/>
      <c r="X455" s="808"/>
      <c r="Y455" s="806"/>
      <c r="Z455" s="25">
        <f t="shared" si="137"/>
        <v>0</v>
      </c>
    </row>
    <row r="456" spans="1:26" ht="16.5" customHeight="1">
      <c r="A456" s="758">
        <f t="shared" si="132"/>
        <v>100</v>
      </c>
      <c r="B456" s="293" t="s">
        <v>533</v>
      </c>
      <c r="C456" s="25">
        <f t="shared" si="133"/>
        <v>2574312</v>
      </c>
      <c r="D456" s="759">
        <f t="shared" si="138"/>
        <v>122724.46919339997</v>
      </c>
      <c r="E456" s="759">
        <f t="shared" si="138"/>
        <v>38833.907590900337</v>
      </c>
      <c r="F456" s="759">
        <f t="shared" si="138"/>
        <v>83730.605431549207</v>
      </c>
      <c r="G456" s="759">
        <f t="shared" si="138"/>
        <v>6692.5726025638287</v>
      </c>
      <c r="H456" s="759">
        <f t="shared" si="138"/>
        <v>121856.74235452736</v>
      </c>
      <c r="I456" s="759">
        <f t="shared" si="138"/>
        <v>31296.256810837418</v>
      </c>
      <c r="J456" s="360">
        <f t="shared" si="138"/>
        <v>0</v>
      </c>
      <c r="K456" s="25">
        <f t="shared" si="134"/>
        <v>2979445.5539837787</v>
      </c>
      <c r="L456" s="759">
        <v>312</v>
      </c>
      <c r="M456" s="759">
        <f t="shared" si="135"/>
        <v>9549.50498071724</v>
      </c>
      <c r="N456" s="671">
        <v>10595</v>
      </c>
      <c r="O456" s="671"/>
      <c r="P456" s="40" t="s">
        <v>508</v>
      </c>
      <c r="Q456" s="774">
        <v>40862</v>
      </c>
      <c r="R456" s="775"/>
      <c r="S456" s="301">
        <f>L456/2</f>
        <v>156</v>
      </c>
      <c r="T456" s="806">
        <v>16502</v>
      </c>
      <c r="U456" s="25">
        <f t="shared" si="136"/>
        <v>2574312</v>
      </c>
      <c r="V456" s="451"/>
      <c r="W456" s="774"/>
      <c r="X456" s="808"/>
      <c r="Y456" s="806"/>
      <c r="Z456" s="25">
        <f t="shared" si="137"/>
        <v>0</v>
      </c>
    </row>
    <row r="457" spans="1:26" ht="16.5" customHeight="1">
      <c r="A457" s="758">
        <f t="shared" si="132"/>
        <v>101</v>
      </c>
      <c r="B457" s="293" t="s">
        <v>828</v>
      </c>
      <c r="C457" s="25">
        <f t="shared" si="133"/>
        <v>124128</v>
      </c>
      <c r="D457" s="759">
        <f t="shared" si="138"/>
        <v>4720.1718920538451</v>
      </c>
      <c r="E457" s="759">
        <f t="shared" si="138"/>
        <v>1493.6118304192437</v>
      </c>
      <c r="F457" s="759">
        <f t="shared" si="138"/>
        <v>3220.4079012134312</v>
      </c>
      <c r="G457" s="759">
        <f t="shared" si="138"/>
        <v>257.40663856014726</v>
      </c>
      <c r="H457" s="759">
        <f t="shared" si="138"/>
        <v>4686.797782866437</v>
      </c>
      <c r="I457" s="759">
        <f t="shared" si="138"/>
        <v>1203.7021850322085</v>
      </c>
      <c r="J457" s="360">
        <f t="shared" si="138"/>
        <v>0</v>
      </c>
      <c r="K457" s="25">
        <f t="shared" si="134"/>
        <v>139709.09823014532</v>
      </c>
      <c r="L457" s="759">
        <v>12</v>
      </c>
      <c r="M457" s="759">
        <f t="shared" si="135"/>
        <v>11642.424852512109</v>
      </c>
      <c r="N457" s="671">
        <v>14836</v>
      </c>
      <c r="O457" s="671"/>
      <c r="P457" s="188" t="s">
        <v>451</v>
      </c>
      <c r="Q457" s="774">
        <v>40862</v>
      </c>
      <c r="R457" s="775"/>
      <c r="S457" s="301">
        <f>L457</f>
        <v>12</v>
      </c>
      <c r="T457" s="806">
        <v>10344</v>
      </c>
      <c r="U457" s="25">
        <f t="shared" si="136"/>
        <v>124128</v>
      </c>
      <c r="V457" s="451"/>
      <c r="W457" s="774"/>
      <c r="X457" s="808"/>
      <c r="Y457" s="806"/>
      <c r="Z457" s="25">
        <f t="shared" si="137"/>
        <v>0</v>
      </c>
    </row>
    <row r="458" spans="1:26" ht="16.5" customHeight="1">
      <c r="A458" s="758">
        <f t="shared" si="132"/>
        <v>102</v>
      </c>
      <c r="B458" s="293" t="s">
        <v>537</v>
      </c>
      <c r="C458" s="25">
        <f t="shared" si="133"/>
        <v>2533285</v>
      </c>
      <c r="D458" s="759">
        <f t="shared" si="138"/>
        <v>81029.617480257672</v>
      </c>
      <c r="E458" s="759">
        <f t="shared" si="138"/>
        <v>25640.336422197015</v>
      </c>
      <c r="F458" s="759">
        <f t="shared" si="138"/>
        <v>55283.668970830571</v>
      </c>
      <c r="G458" s="759">
        <f t="shared" si="138"/>
        <v>4418.813961949194</v>
      </c>
      <c r="H458" s="759">
        <f t="shared" si="138"/>
        <v>80456.695272540499</v>
      </c>
      <c r="I458" s="759">
        <f t="shared" si="138"/>
        <v>20663.554176386242</v>
      </c>
      <c r="J458" s="360">
        <f t="shared" si="138"/>
        <v>0</v>
      </c>
      <c r="K458" s="25">
        <f t="shared" si="134"/>
        <v>2800776.6862841616</v>
      </c>
      <c r="L458" s="759">
        <v>206</v>
      </c>
      <c r="M458" s="759">
        <f t="shared" si="135"/>
        <v>13596.003331476513</v>
      </c>
      <c r="N458" s="671">
        <v>15618</v>
      </c>
      <c r="O458" s="671"/>
      <c r="P458" s="188" t="s">
        <v>499</v>
      </c>
      <c r="Q458" s="774">
        <v>40862</v>
      </c>
      <c r="R458" s="775"/>
      <c r="S458" s="301">
        <f>L458/2</f>
        <v>103</v>
      </c>
      <c r="T458" s="806">
        <v>24595</v>
      </c>
      <c r="U458" s="25">
        <f t="shared" si="136"/>
        <v>2533285</v>
      </c>
      <c r="V458" s="451"/>
      <c r="W458" s="774"/>
      <c r="X458" s="808"/>
      <c r="Y458" s="806"/>
      <c r="Z458" s="25">
        <f t="shared" si="137"/>
        <v>0</v>
      </c>
    </row>
    <row r="459" spans="1:26" ht="16.5" customHeight="1">
      <c r="A459" s="758">
        <f t="shared" si="132"/>
        <v>103</v>
      </c>
      <c r="B459" s="293" t="s">
        <v>829</v>
      </c>
      <c r="C459" s="25">
        <f t="shared" si="133"/>
        <v>627930</v>
      </c>
      <c r="D459" s="759">
        <f t="shared" si="138"/>
        <v>17700.644595201917</v>
      </c>
      <c r="E459" s="759">
        <f t="shared" si="138"/>
        <v>5601.0443640721642</v>
      </c>
      <c r="F459" s="759">
        <f t="shared" si="138"/>
        <v>12076.529629550367</v>
      </c>
      <c r="G459" s="759">
        <f t="shared" si="138"/>
        <v>965.27489460055222</v>
      </c>
      <c r="H459" s="759">
        <f t="shared" si="138"/>
        <v>17575.491685749141</v>
      </c>
      <c r="I459" s="759">
        <f t="shared" si="138"/>
        <v>4513.8831938707817</v>
      </c>
      <c r="J459" s="360">
        <f t="shared" si="138"/>
        <v>0</v>
      </c>
      <c r="K459" s="25">
        <f t="shared" si="134"/>
        <v>686361.86836304492</v>
      </c>
      <c r="L459" s="759">
        <v>45</v>
      </c>
      <c r="M459" s="759">
        <f t="shared" si="135"/>
        <v>15252.485963623221</v>
      </c>
      <c r="N459" s="671">
        <v>16215</v>
      </c>
      <c r="O459" s="671"/>
      <c r="P459" s="188" t="s">
        <v>432</v>
      </c>
      <c r="Q459" s="774">
        <v>40862</v>
      </c>
      <c r="R459" s="775"/>
      <c r="S459" s="301">
        <f>L459</f>
        <v>45</v>
      </c>
      <c r="T459" s="806">
        <v>13954</v>
      </c>
      <c r="U459" s="25">
        <f t="shared" si="136"/>
        <v>627930</v>
      </c>
      <c r="V459" s="451"/>
      <c r="W459" s="774"/>
      <c r="X459" s="808"/>
      <c r="Y459" s="806"/>
      <c r="Z459" s="25">
        <f t="shared" si="137"/>
        <v>0</v>
      </c>
    </row>
    <row r="460" spans="1:26" ht="16.5" customHeight="1">
      <c r="A460" s="758">
        <f t="shared" si="132"/>
        <v>104</v>
      </c>
      <c r="B460" s="293" t="s">
        <v>830</v>
      </c>
      <c r="C460" s="25">
        <f t="shared" si="133"/>
        <v>597870</v>
      </c>
      <c r="D460" s="759">
        <f t="shared" si="138"/>
        <v>24780.902433282685</v>
      </c>
      <c r="E460" s="759">
        <f t="shared" si="138"/>
        <v>7841.4621097010295</v>
      </c>
      <c r="F460" s="759">
        <f t="shared" si="138"/>
        <v>16907.141481370512</v>
      </c>
      <c r="G460" s="759">
        <f t="shared" si="138"/>
        <v>1351.3848524407731</v>
      </c>
      <c r="H460" s="759">
        <f t="shared" si="138"/>
        <v>24605.688360048793</v>
      </c>
      <c r="I460" s="759">
        <f t="shared" si="138"/>
        <v>6319.4364714190942</v>
      </c>
      <c r="J460" s="360">
        <f t="shared" si="138"/>
        <v>0</v>
      </c>
      <c r="K460" s="25">
        <f t="shared" si="134"/>
        <v>679675.01570826292</v>
      </c>
      <c r="L460" s="759">
        <v>63</v>
      </c>
      <c r="M460" s="759">
        <f t="shared" si="135"/>
        <v>10788.49231282957</v>
      </c>
      <c r="N460" s="671">
        <v>12346</v>
      </c>
      <c r="O460" s="671"/>
      <c r="P460" s="40" t="s">
        <v>477</v>
      </c>
      <c r="Q460" s="774">
        <v>40862</v>
      </c>
      <c r="R460" s="775"/>
      <c r="S460" s="301">
        <v>32.5</v>
      </c>
      <c r="T460" s="806">
        <v>18396</v>
      </c>
      <c r="U460" s="25">
        <f t="shared" si="136"/>
        <v>597870</v>
      </c>
      <c r="V460" s="451"/>
      <c r="W460" s="774"/>
      <c r="X460" s="808"/>
      <c r="Y460" s="806"/>
      <c r="Z460" s="25">
        <f t="shared" si="137"/>
        <v>0</v>
      </c>
    </row>
    <row r="461" spans="1:26" ht="16.5" customHeight="1">
      <c r="A461" s="758">
        <f t="shared" si="132"/>
        <v>105</v>
      </c>
      <c r="B461" s="293" t="s">
        <v>831</v>
      </c>
      <c r="C461" s="25">
        <f t="shared" si="133"/>
        <v>608340</v>
      </c>
      <c r="D461" s="759">
        <f t="shared" si="138"/>
        <v>23600.859460269225</v>
      </c>
      <c r="E461" s="759">
        <f t="shared" si="138"/>
        <v>7468.0591520962189</v>
      </c>
      <c r="F461" s="759">
        <f t="shared" si="138"/>
        <v>16102.039506067156</v>
      </c>
      <c r="G461" s="759">
        <f t="shared" si="138"/>
        <v>1287.0331928007363</v>
      </c>
      <c r="H461" s="759">
        <f t="shared" si="138"/>
        <v>23433.988914332185</v>
      </c>
      <c r="I461" s="759">
        <f t="shared" si="138"/>
        <v>6018.510925161042</v>
      </c>
      <c r="J461" s="360">
        <f t="shared" si="138"/>
        <v>0</v>
      </c>
      <c r="K461" s="25">
        <f t="shared" si="134"/>
        <v>686249.49115072656</v>
      </c>
      <c r="L461" s="759">
        <v>60</v>
      </c>
      <c r="M461" s="759">
        <f t="shared" si="135"/>
        <v>11437.491519178777</v>
      </c>
      <c r="N461" s="671">
        <v>13110</v>
      </c>
      <c r="O461" s="671"/>
      <c r="P461" s="40" t="s">
        <v>503</v>
      </c>
      <c r="Q461" s="774">
        <v>40862</v>
      </c>
      <c r="R461" s="775"/>
      <c r="S461" s="301">
        <f>L461/2</f>
        <v>30</v>
      </c>
      <c r="T461" s="806">
        <v>20278</v>
      </c>
      <c r="U461" s="25">
        <f t="shared" si="136"/>
        <v>608340</v>
      </c>
      <c r="V461" s="451"/>
      <c r="W461" s="774"/>
      <c r="X461" s="808"/>
      <c r="Y461" s="806"/>
      <c r="Z461" s="25">
        <f t="shared" si="137"/>
        <v>0</v>
      </c>
    </row>
    <row r="462" spans="1:26" ht="16.5" customHeight="1">
      <c r="A462" s="758">
        <f t="shared" si="132"/>
        <v>106</v>
      </c>
      <c r="B462" s="293" t="s">
        <v>832</v>
      </c>
      <c r="C462" s="25">
        <f t="shared" si="133"/>
        <v>503311</v>
      </c>
      <c r="D462" s="759">
        <f t="shared" si="138"/>
        <v>23994.207117940379</v>
      </c>
      <c r="E462" s="759">
        <f t="shared" si="138"/>
        <v>7592.5268046311558</v>
      </c>
      <c r="F462" s="759">
        <f t="shared" si="138"/>
        <v>16370.406831168275</v>
      </c>
      <c r="G462" s="759">
        <f t="shared" si="138"/>
        <v>1308.4837460140818</v>
      </c>
      <c r="H462" s="759">
        <f t="shared" si="138"/>
        <v>23824.555396237723</v>
      </c>
      <c r="I462" s="759">
        <f t="shared" si="138"/>
        <v>6118.8194405803924</v>
      </c>
      <c r="J462" s="360">
        <f t="shared" si="138"/>
        <v>0</v>
      </c>
      <c r="K462" s="25">
        <f t="shared" si="134"/>
        <v>582518.99933657201</v>
      </c>
      <c r="L462" s="759">
        <v>61</v>
      </c>
      <c r="M462" s="759">
        <f t="shared" si="135"/>
        <v>9549.4917924028196</v>
      </c>
      <c r="N462" s="671">
        <v>10884</v>
      </c>
      <c r="O462" s="671"/>
      <c r="P462" s="40" t="s">
        <v>508</v>
      </c>
      <c r="Q462" s="774">
        <v>40862</v>
      </c>
      <c r="R462" s="775"/>
      <c r="S462" s="301">
        <f>L462/2</f>
        <v>30.5</v>
      </c>
      <c r="T462" s="806">
        <v>16502</v>
      </c>
      <c r="U462" s="25">
        <f t="shared" si="136"/>
        <v>503311</v>
      </c>
      <c r="V462" s="451"/>
      <c r="W462" s="774"/>
      <c r="X462" s="808"/>
      <c r="Y462" s="806"/>
      <c r="Z462" s="25">
        <f t="shared" si="137"/>
        <v>0</v>
      </c>
    </row>
    <row r="463" spans="1:26" ht="16.5" customHeight="1">
      <c r="A463" s="758">
        <f t="shared" si="132"/>
        <v>107</v>
      </c>
      <c r="B463" s="293" t="s">
        <v>833</v>
      </c>
      <c r="C463" s="25">
        <f t="shared" si="133"/>
        <v>1767303</v>
      </c>
      <c r="D463" s="759">
        <f t="shared" si="138"/>
        <v>40908.15639779999</v>
      </c>
      <c r="E463" s="759">
        <f t="shared" si="138"/>
        <v>12944.635863633444</v>
      </c>
      <c r="F463" s="759">
        <f t="shared" si="138"/>
        <v>27910.201810516402</v>
      </c>
      <c r="G463" s="759">
        <f t="shared" si="138"/>
        <v>2230.8575341879427</v>
      </c>
      <c r="H463" s="759">
        <f t="shared" si="138"/>
        <v>40618.914118175788</v>
      </c>
      <c r="I463" s="759">
        <f t="shared" si="138"/>
        <v>10432.085603612473</v>
      </c>
      <c r="J463" s="360">
        <f t="shared" si="138"/>
        <v>0</v>
      </c>
      <c r="K463" s="25">
        <f t="shared" si="134"/>
        <v>1902346.8513279259</v>
      </c>
      <c r="L463" s="759">
        <v>104</v>
      </c>
      <c r="M463" s="759">
        <f t="shared" si="135"/>
        <v>18291.796647383904</v>
      </c>
      <c r="N463" s="671">
        <v>22061</v>
      </c>
      <c r="O463" s="671"/>
      <c r="P463" s="40" t="s">
        <v>502</v>
      </c>
      <c r="Q463" s="774">
        <v>40862</v>
      </c>
      <c r="R463" s="775"/>
      <c r="S463" s="301">
        <v>51</v>
      </c>
      <c r="T463" s="806">
        <v>34653</v>
      </c>
      <c r="U463" s="25">
        <f t="shared" si="136"/>
        <v>1767303</v>
      </c>
      <c r="V463" s="451"/>
      <c r="W463" s="774"/>
      <c r="X463" s="808"/>
      <c r="Y463" s="806"/>
      <c r="Z463" s="25">
        <f t="shared" si="137"/>
        <v>0</v>
      </c>
    </row>
    <row r="464" spans="1:26" ht="16.5" customHeight="1">
      <c r="A464" s="758">
        <f t="shared" si="132"/>
        <v>108</v>
      </c>
      <c r="B464" s="293" t="s">
        <v>834</v>
      </c>
      <c r="C464" s="25">
        <f t="shared" si="133"/>
        <v>1036754</v>
      </c>
      <c r="D464" s="759">
        <f t="shared" si="138"/>
        <v>59788.843966015367</v>
      </c>
      <c r="E464" s="759">
        <f t="shared" si="138"/>
        <v>18919.083185310421</v>
      </c>
      <c r="F464" s="759">
        <f t="shared" si="138"/>
        <v>40791.833415370129</v>
      </c>
      <c r="G464" s="759">
        <f t="shared" si="138"/>
        <v>3260.4840884285318</v>
      </c>
      <c r="H464" s="759">
        <f t="shared" si="138"/>
        <v>59366.105249641536</v>
      </c>
      <c r="I464" s="759">
        <f t="shared" si="138"/>
        <v>15246.894343741305</v>
      </c>
      <c r="J464" s="360">
        <f t="shared" si="138"/>
        <v>0</v>
      </c>
      <c r="K464" s="25">
        <f t="shared" si="134"/>
        <v>1234126.2442485073</v>
      </c>
      <c r="L464" s="759">
        <v>152</v>
      </c>
      <c r="M464" s="759">
        <f t="shared" si="135"/>
        <v>8119.251606898074</v>
      </c>
      <c r="N464" s="671">
        <v>9449</v>
      </c>
      <c r="O464" s="671"/>
      <c r="P464" s="40" t="s">
        <v>500</v>
      </c>
      <c r="Q464" s="774">
        <v>40862</v>
      </c>
      <c r="R464" s="775"/>
      <c r="S464" s="301">
        <f>L464/4</f>
        <v>38</v>
      </c>
      <c r="T464" s="806">
        <v>27283</v>
      </c>
      <c r="U464" s="25">
        <f t="shared" si="136"/>
        <v>1036754</v>
      </c>
      <c r="V464" s="451"/>
      <c r="W464" s="774"/>
      <c r="X464" s="808"/>
      <c r="Y464" s="806"/>
      <c r="Z464" s="25">
        <f t="shared" si="137"/>
        <v>0</v>
      </c>
    </row>
    <row r="465" spans="1:26" ht="16.5" customHeight="1">
      <c r="A465" s="758">
        <f t="shared" si="132"/>
        <v>109</v>
      </c>
      <c r="B465" s="293" t="s">
        <v>835</v>
      </c>
      <c r="C465" s="25">
        <f t="shared" si="133"/>
        <v>1947236</v>
      </c>
      <c r="D465" s="759">
        <f t="shared" si="138"/>
        <v>92436.699552721126</v>
      </c>
      <c r="E465" s="759">
        <f t="shared" si="138"/>
        <v>29249.898345710189</v>
      </c>
      <c r="F465" s="759">
        <f t="shared" si="138"/>
        <v>63066.32139876303</v>
      </c>
      <c r="G465" s="759">
        <f t="shared" si="138"/>
        <v>5040.8800051362168</v>
      </c>
      <c r="H465" s="759">
        <f t="shared" si="138"/>
        <v>91783.123247801064</v>
      </c>
      <c r="I465" s="759">
        <f t="shared" si="138"/>
        <v>23572.501123547416</v>
      </c>
      <c r="J465" s="360">
        <f t="shared" si="138"/>
        <v>0</v>
      </c>
      <c r="K465" s="25">
        <f t="shared" si="134"/>
        <v>2252384.4236736791</v>
      </c>
      <c r="L465" s="759">
        <v>235</v>
      </c>
      <c r="M465" s="759">
        <f t="shared" si="135"/>
        <v>9584.6145688241668</v>
      </c>
      <c r="N465" s="671">
        <v>10362</v>
      </c>
      <c r="O465" s="671"/>
      <c r="P465" s="40" t="s">
        <v>508</v>
      </c>
      <c r="Q465" s="774">
        <v>40862</v>
      </c>
      <c r="R465" s="775"/>
      <c r="S465" s="301">
        <v>118</v>
      </c>
      <c r="T465" s="806">
        <v>16502</v>
      </c>
      <c r="U465" s="25">
        <f t="shared" si="136"/>
        <v>1947236</v>
      </c>
      <c r="V465" s="451"/>
      <c r="W465" s="774"/>
      <c r="X465" s="808"/>
      <c r="Y465" s="806"/>
      <c r="Z465" s="25">
        <f t="shared" si="137"/>
        <v>0</v>
      </c>
    </row>
    <row r="466" spans="1:26" ht="16.5" customHeight="1">
      <c r="A466" s="758">
        <f t="shared" si="132"/>
        <v>110</v>
      </c>
      <c r="B466" s="293" t="s">
        <v>836</v>
      </c>
      <c r="C466" s="25">
        <f t="shared" si="133"/>
        <v>658407</v>
      </c>
      <c r="D466" s="759">
        <f t="shared" si="138"/>
        <v>14947.210991503842</v>
      </c>
      <c r="E466" s="759">
        <f t="shared" si="138"/>
        <v>4729.7707963276052</v>
      </c>
      <c r="F466" s="759">
        <f t="shared" si="138"/>
        <v>10197.958353842532</v>
      </c>
      <c r="G466" s="759">
        <f t="shared" si="138"/>
        <v>815.12102210713294</v>
      </c>
      <c r="H466" s="759">
        <f t="shared" si="138"/>
        <v>14841.526312410384</v>
      </c>
      <c r="I466" s="759">
        <f t="shared" si="138"/>
        <v>3811.7235859353264</v>
      </c>
      <c r="J466" s="360">
        <f t="shared" si="138"/>
        <v>0</v>
      </c>
      <c r="K466" s="25">
        <f t="shared" si="134"/>
        <v>707749.31106212665</v>
      </c>
      <c r="L466" s="759">
        <v>38</v>
      </c>
      <c r="M466" s="759">
        <f t="shared" si="135"/>
        <v>18624.981870055966</v>
      </c>
      <c r="N466" s="671">
        <v>25864</v>
      </c>
      <c r="O466" s="671"/>
      <c r="P466" s="40" t="s">
        <v>502</v>
      </c>
      <c r="Q466" s="774">
        <v>40866</v>
      </c>
      <c r="R466" s="775"/>
      <c r="S466" s="301">
        <f>L466/2</f>
        <v>19</v>
      </c>
      <c r="T466" s="806">
        <v>34653</v>
      </c>
      <c r="U466" s="25">
        <f t="shared" si="136"/>
        <v>658407</v>
      </c>
      <c r="V466" s="451"/>
      <c r="W466" s="774"/>
      <c r="X466" s="808"/>
      <c r="Y466" s="806"/>
      <c r="Z466" s="25">
        <f t="shared" si="137"/>
        <v>0</v>
      </c>
    </row>
    <row r="467" spans="1:26" ht="16.5" customHeight="1">
      <c r="A467" s="758">
        <f t="shared" si="132"/>
        <v>111</v>
      </c>
      <c r="B467" s="293" t="s">
        <v>837</v>
      </c>
      <c r="C467" s="25">
        <f t="shared" si="133"/>
        <v>112840</v>
      </c>
      <c r="D467" s="759">
        <f t="shared" si="138"/>
        <v>3146.7812613692299</v>
      </c>
      <c r="E467" s="759">
        <f t="shared" si="138"/>
        <v>995.74122027949579</v>
      </c>
      <c r="F467" s="759">
        <f t="shared" si="138"/>
        <v>2146.9386008089541</v>
      </c>
      <c r="G467" s="759">
        <f t="shared" si="138"/>
        <v>171.60442570676483</v>
      </c>
      <c r="H467" s="759">
        <f t="shared" si="138"/>
        <v>3124.5318552442914</v>
      </c>
      <c r="I467" s="759">
        <f t="shared" si="138"/>
        <v>802.46812335480558</v>
      </c>
      <c r="J467" s="360">
        <f t="shared" si="138"/>
        <v>0</v>
      </c>
      <c r="K467" s="25">
        <f t="shared" si="134"/>
        <v>123227.06548676355</v>
      </c>
      <c r="L467" s="759">
        <v>8</v>
      </c>
      <c r="M467" s="759">
        <f t="shared" si="135"/>
        <v>15403.383185845443</v>
      </c>
      <c r="N467" s="671">
        <v>17968</v>
      </c>
      <c r="O467" s="671"/>
      <c r="P467" s="40" t="s">
        <v>510</v>
      </c>
      <c r="Q467" s="774">
        <v>40866</v>
      </c>
      <c r="R467" s="775"/>
      <c r="S467" s="301">
        <f>L467</f>
        <v>8</v>
      </c>
      <c r="T467" s="806">
        <v>14105</v>
      </c>
      <c r="U467" s="25">
        <f t="shared" si="136"/>
        <v>112840</v>
      </c>
      <c r="V467" s="451"/>
      <c r="W467" s="774"/>
      <c r="X467" s="808"/>
      <c r="Y467" s="806"/>
      <c r="Z467" s="25">
        <f t="shared" si="137"/>
        <v>0</v>
      </c>
    </row>
    <row r="468" spans="1:26" ht="16.5" customHeight="1">
      <c r="A468" s="758">
        <f t="shared" si="132"/>
        <v>112</v>
      </c>
      <c r="B468" s="293" t="s">
        <v>838</v>
      </c>
      <c r="C468" s="25">
        <f t="shared" si="133"/>
        <v>206880</v>
      </c>
      <c r="D468" s="759">
        <f t="shared" si="138"/>
        <v>9440.3437841076902</v>
      </c>
      <c r="E468" s="759">
        <f t="shared" si="138"/>
        <v>2987.2236608384874</v>
      </c>
      <c r="F468" s="759">
        <f t="shared" si="138"/>
        <v>6440.8158024268623</v>
      </c>
      <c r="G468" s="759">
        <f t="shared" si="138"/>
        <v>514.81327712029452</v>
      </c>
      <c r="H468" s="759">
        <f t="shared" si="138"/>
        <v>9373.5955657328741</v>
      </c>
      <c r="I468" s="759">
        <f t="shared" si="138"/>
        <v>2407.404370064417</v>
      </c>
      <c r="J468" s="360">
        <f t="shared" si="138"/>
        <v>0</v>
      </c>
      <c r="K468" s="25">
        <f t="shared" si="134"/>
        <v>238043.19646029061</v>
      </c>
      <c r="L468" s="759">
        <v>24</v>
      </c>
      <c r="M468" s="759">
        <f t="shared" si="135"/>
        <v>9918.4665191787753</v>
      </c>
      <c r="N468" s="671">
        <v>11987</v>
      </c>
      <c r="O468" s="671"/>
      <c r="P468" s="188" t="s">
        <v>415</v>
      </c>
      <c r="Q468" s="774">
        <v>40866</v>
      </c>
      <c r="R468" s="775"/>
      <c r="S468" s="301">
        <f>L468</f>
        <v>24</v>
      </c>
      <c r="T468" s="806">
        <v>8620</v>
      </c>
      <c r="U468" s="25">
        <f t="shared" si="136"/>
        <v>206880</v>
      </c>
      <c r="V468" s="451"/>
      <c r="W468" s="774"/>
      <c r="X468" s="808"/>
      <c r="Y468" s="806"/>
      <c r="Z468" s="25">
        <f t="shared" si="137"/>
        <v>0</v>
      </c>
    </row>
    <row r="469" spans="1:26" ht="16.5" customHeight="1">
      <c r="A469" s="758">
        <f t="shared" si="132"/>
        <v>113</v>
      </c>
      <c r="B469" s="293" t="s">
        <v>839</v>
      </c>
      <c r="C469" s="25">
        <f t="shared" si="133"/>
        <v>169260</v>
      </c>
      <c r="D469" s="759">
        <f t="shared" si="138"/>
        <v>9440.3437841076902</v>
      </c>
      <c r="E469" s="759">
        <f t="shared" si="138"/>
        <v>2987.2236608384874</v>
      </c>
      <c r="F469" s="759">
        <f t="shared" si="138"/>
        <v>6440.8158024268623</v>
      </c>
      <c r="G469" s="759">
        <f t="shared" si="138"/>
        <v>514.81327712029452</v>
      </c>
      <c r="H469" s="759">
        <f t="shared" si="138"/>
        <v>9373.5955657328741</v>
      </c>
      <c r="I469" s="759">
        <f t="shared" si="138"/>
        <v>2407.404370064417</v>
      </c>
      <c r="J469" s="360">
        <f t="shared" si="138"/>
        <v>0</v>
      </c>
      <c r="K469" s="25">
        <f t="shared" si="134"/>
        <v>200423.19646029061</v>
      </c>
      <c r="L469" s="759">
        <v>24</v>
      </c>
      <c r="M469" s="759">
        <f t="shared" si="135"/>
        <v>8350.9665191787753</v>
      </c>
      <c r="N469" s="671">
        <v>16916</v>
      </c>
      <c r="O469" s="671"/>
      <c r="P469" s="40" t="s">
        <v>510</v>
      </c>
      <c r="Q469" s="774">
        <v>40866</v>
      </c>
      <c r="R469" s="775"/>
      <c r="S469" s="301">
        <f>L469/2</f>
        <v>12</v>
      </c>
      <c r="T469" s="806">
        <v>14105</v>
      </c>
      <c r="U469" s="25">
        <f t="shared" si="136"/>
        <v>169260</v>
      </c>
      <c r="V469" s="451"/>
      <c r="W469" s="774"/>
      <c r="X469" s="808"/>
      <c r="Y469" s="806"/>
      <c r="Z469" s="25">
        <f t="shared" si="137"/>
        <v>0</v>
      </c>
    </row>
    <row r="470" spans="1:26" ht="16.5" customHeight="1">
      <c r="A470" s="758">
        <f t="shared" si="132"/>
        <v>114</v>
      </c>
      <c r="B470" s="293" t="s">
        <v>840</v>
      </c>
      <c r="C470" s="25">
        <f t="shared" si="133"/>
        <v>13954</v>
      </c>
      <c r="D470" s="759">
        <f t="shared" si="138"/>
        <v>786.69531534230748</v>
      </c>
      <c r="E470" s="759">
        <f t="shared" si="138"/>
        <v>248.93530506987395</v>
      </c>
      <c r="F470" s="759">
        <f t="shared" si="138"/>
        <v>536.73465020223853</v>
      </c>
      <c r="G470" s="759">
        <f t="shared" si="138"/>
        <v>42.901106426691207</v>
      </c>
      <c r="H470" s="759">
        <f t="shared" si="138"/>
        <v>781.13296381107284</v>
      </c>
      <c r="I470" s="759">
        <f t="shared" si="138"/>
        <v>200.6170308387014</v>
      </c>
      <c r="J470" s="360">
        <f t="shared" si="138"/>
        <v>0</v>
      </c>
      <c r="K470" s="25">
        <f t="shared" si="134"/>
        <v>16550.016371690886</v>
      </c>
      <c r="L470" s="759">
        <v>2</v>
      </c>
      <c r="M470" s="759">
        <f t="shared" si="135"/>
        <v>8275.0081858454432</v>
      </c>
      <c r="N470" s="671">
        <v>8709</v>
      </c>
      <c r="O470" s="671"/>
      <c r="P470" s="188" t="s">
        <v>432</v>
      </c>
      <c r="Q470" s="774">
        <v>40866</v>
      </c>
      <c r="R470" s="775"/>
      <c r="S470" s="301">
        <v>1</v>
      </c>
      <c r="T470" s="806">
        <v>13954</v>
      </c>
      <c r="U470" s="25">
        <f t="shared" si="136"/>
        <v>13954</v>
      </c>
      <c r="V470" s="451"/>
      <c r="W470" s="774"/>
      <c r="X470" s="808"/>
      <c r="Y470" s="806"/>
      <c r="Z470" s="25">
        <f t="shared" si="137"/>
        <v>0</v>
      </c>
    </row>
    <row r="471" spans="1:26" ht="16.5" customHeight="1">
      <c r="A471" s="758">
        <f t="shared" si="132"/>
        <v>115</v>
      </c>
      <c r="B471" s="293" t="s">
        <v>841</v>
      </c>
      <c r="C471" s="25">
        <f t="shared" si="133"/>
        <v>307438</v>
      </c>
      <c r="D471" s="759">
        <f t="shared" si="138"/>
        <v>9833.691441778843</v>
      </c>
      <c r="E471" s="759">
        <f t="shared" si="138"/>
        <v>3111.6913133734242</v>
      </c>
      <c r="F471" s="759">
        <f t="shared" si="138"/>
        <v>6709.1831275279819</v>
      </c>
      <c r="G471" s="759">
        <f t="shared" si="138"/>
        <v>536.26383033364004</v>
      </c>
      <c r="H471" s="759">
        <f t="shared" si="138"/>
        <v>9764.1620476384105</v>
      </c>
      <c r="I471" s="759">
        <f t="shared" si="138"/>
        <v>2507.7128854837674</v>
      </c>
      <c r="J471" s="360">
        <f t="shared" si="138"/>
        <v>0</v>
      </c>
      <c r="K471" s="25">
        <f t="shared" si="134"/>
        <v>339899.70464613609</v>
      </c>
      <c r="L471" s="759">
        <v>25</v>
      </c>
      <c r="M471" s="759">
        <f t="shared" si="135"/>
        <v>13595.988185845443</v>
      </c>
      <c r="N471" s="671">
        <v>14798</v>
      </c>
      <c r="O471" s="671"/>
      <c r="P471" s="188" t="s">
        <v>499</v>
      </c>
      <c r="Q471" s="774">
        <v>40866</v>
      </c>
      <c r="R471" s="775"/>
      <c r="S471" s="301">
        <f>L471/2</f>
        <v>12.5</v>
      </c>
      <c r="T471" s="806">
        <v>24595</v>
      </c>
      <c r="U471" s="25">
        <f t="shared" si="136"/>
        <v>307438</v>
      </c>
      <c r="V471" s="451"/>
      <c r="W471" s="774"/>
      <c r="X471" s="808"/>
      <c r="Y471" s="806"/>
      <c r="Z471" s="25">
        <f t="shared" si="137"/>
        <v>0</v>
      </c>
    </row>
    <row r="472" spans="1:26" ht="16.5" customHeight="1">
      <c r="A472" s="758">
        <f t="shared" si="132"/>
        <v>116</v>
      </c>
      <c r="B472" s="293" t="s">
        <v>842</v>
      </c>
      <c r="C472" s="25">
        <f t="shared" si="133"/>
        <v>2361880</v>
      </c>
      <c r="D472" s="759">
        <f t="shared" si="138"/>
        <v>107777.25820189613</v>
      </c>
      <c r="E472" s="759">
        <f t="shared" si="138"/>
        <v>34104.136794572732</v>
      </c>
      <c r="F472" s="759">
        <f t="shared" si="138"/>
        <v>73532.647077706672</v>
      </c>
      <c r="G472" s="759">
        <f t="shared" si="138"/>
        <v>5877.4515804566954</v>
      </c>
      <c r="H472" s="759">
        <f t="shared" si="138"/>
        <v>107015.21604211698</v>
      </c>
      <c r="I472" s="759">
        <f t="shared" si="138"/>
        <v>27484.53322490209</v>
      </c>
      <c r="J472" s="360">
        <f t="shared" si="138"/>
        <v>0</v>
      </c>
      <c r="K472" s="25">
        <f t="shared" si="134"/>
        <v>2717670.2429216513</v>
      </c>
      <c r="L472" s="759">
        <v>274</v>
      </c>
      <c r="M472" s="759">
        <f t="shared" si="135"/>
        <v>9918.5045362104065</v>
      </c>
      <c r="N472" s="671">
        <v>11849</v>
      </c>
      <c r="O472" s="671"/>
      <c r="P472" s="188" t="s">
        <v>415</v>
      </c>
      <c r="Q472" s="774">
        <v>40866</v>
      </c>
      <c r="R472" s="775"/>
      <c r="S472" s="301">
        <f>L472</f>
        <v>274</v>
      </c>
      <c r="T472" s="806">
        <v>8620</v>
      </c>
      <c r="U472" s="25">
        <f t="shared" si="136"/>
        <v>2361880</v>
      </c>
      <c r="V472" s="451"/>
      <c r="W472" s="774"/>
      <c r="X472" s="808"/>
      <c r="Y472" s="806"/>
      <c r="Z472" s="25">
        <f t="shared" si="137"/>
        <v>0</v>
      </c>
    </row>
    <row r="473" spans="1:26" ht="16.5" customHeight="1">
      <c r="A473" s="758">
        <f t="shared" si="132"/>
        <v>117</v>
      </c>
      <c r="B473" s="293" t="s">
        <v>843</v>
      </c>
      <c r="C473" s="25">
        <f t="shared" si="133"/>
        <v>1060260</v>
      </c>
      <c r="D473" s="759">
        <f t="shared" si="138"/>
        <v>48381.761893551913</v>
      </c>
      <c r="E473" s="759">
        <f t="shared" si="138"/>
        <v>15309.521261797248</v>
      </c>
      <c r="F473" s="759">
        <f t="shared" si="138"/>
        <v>33009.18098743767</v>
      </c>
      <c r="G473" s="759">
        <f t="shared" si="138"/>
        <v>2638.4180452415094</v>
      </c>
      <c r="H473" s="759">
        <f t="shared" si="138"/>
        <v>48039.677274380978</v>
      </c>
      <c r="I473" s="759">
        <f t="shared" si="138"/>
        <v>12337.947396580135</v>
      </c>
      <c r="J473" s="360">
        <f t="shared" si="138"/>
        <v>0</v>
      </c>
      <c r="K473" s="25">
        <f t="shared" si="134"/>
        <v>1219975.5068589896</v>
      </c>
      <c r="L473" s="759">
        <v>123</v>
      </c>
      <c r="M473" s="759">
        <f t="shared" si="135"/>
        <v>9918.5000557641433</v>
      </c>
      <c r="N473" s="671">
        <v>11205</v>
      </c>
      <c r="O473" s="671"/>
      <c r="P473" s="188" t="s">
        <v>415</v>
      </c>
      <c r="Q473" s="774">
        <v>40866</v>
      </c>
      <c r="R473" s="775"/>
      <c r="S473" s="301">
        <f>L473</f>
        <v>123</v>
      </c>
      <c r="T473" s="806">
        <v>8620</v>
      </c>
      <c r="U473" s="25">
        <f t="shared" si="136"/>
        <v>1060260</v>
      </c>
      <c r="V473" s="451"/>
      <c r="W473" s="774"/>
      <c r="X473" s="808"/>
      <c r="Y473" s="806"/>
      <c r="Z473" s="25">
        <f t="shared" si="137"/>
        <v>0</v>
      </c>
    </row>
    <row r="474" spans="1:26" ht="16.5" customHeight="1">
      <c r="A474" s="758">
        <f t="shared" si="132"/>
        <v>118</v>
      </c>
      <c r="B474" s="293" t="s">
        <v>844</v>
      </c>
      <c r="C474" s="25">
        <f t="shared" si="133"/>
        <v>17796</v>
      </c>
      <c r="D474" s="759">
        <f t="shared" si="138"/>
        <v>46415.02360519614</v>
      </c>
      <c r="E474" s="759">
        <f t="shared" si="138"/>
        <v>14687.182999122562</v>
      </c>
      <c r="F474" s="759">
        <f t="shared" si="138"/>
        <v>31667.344361932071</v>
      </c>
      <c r="G474" s="759">
        <f t="shared" si="138"/>
        <v>2531.1652791747811</v>
      </c>
      <c r="H474" s="759">
        <f t="shared" si="138"/>
        <v>46086.844864853294</v>
      </c>
      <c r="I474" s="759">
        <f t="shared" si="138"/>
        <v>11836.404819483383</v>
      </c>
      <c r="J474" s="360">
        <f t="shared" si="138"/>
        <v>0</v>
      </c>
      <c r="K474" s="25">
        <f t="shared" si="134"/>
        <v>171018.96592976223</v>
      </c>
      <c r="L474" s="759">
        <v>118</v>
      </c>
      <c r="M474" s="759">
        <f t="shared" si="135"/>
        <v>1449.3132705912053</v>
      </c>
      <c r="N474" s="671">
        <v>1087</v>
      </c>
      <c r="O474" s="671"/>
      <c r="P474" s="188" t="s">
        <v>382</v>
      </c>
      <c r="Q474" s="774">
        <v>40866</v>
      </c>
      <c r="R474" s="775"/>
      <c r="S474" s="301">
        <v>4</v>
      </c>
      <c r="T474" s="806">
        <v>4449</v>
      </c>
      <c r="U474" s="25">
        <f t="shared" si="136"/>
        <v>17796</v>
      </c>
      <c r="V474" s="451"/>
      <c r="W474" s="774"/>
      <c r="X474" s="808"/>
      <c r="Y474" s="806"/>
      <c r="Z474" s="25">
        <f t="shared" si="137"/>
        <v>0</v>
      </c>
    </row>
    <row r="475" spans="1:26" ht="16.5" customHeight="1">
      <c r="A475" s="758">
        <f t="shared" si="132"/>
        <v>119</v>
      </c>
      <c r="B475" s="293" t="s">
        <v>845</v>
      </c>
      <c r="C475" s="25">
        <f t="shared" si="133"/>
        <v>35592</v>
      </c>
      <c r="D475" s="759">
        <f t="shared" si="138"/>
        <v>92830.04721039228</v>
      </c>
      <c r="E475" s="759">
        <f t="shared" si="138"/>
        <v>29374.365998245125</v>
      </c>
      <c r="F475" s="759">
        <f t="shared" si="138"/>
        <v>63334.688723864143</v>
      </c>
      <c r="G475" s="759">
        <f t="shared" si="138"/>
        <v>5062.3305583495621</v>
      </c>
      <c r="H475" s="759">
        <f t="shared" si="138"/>
        <v>92173.689729706588</v>
      </c>
      <c r="I475" s="759">
        <f t="shared" si="138"/>
        <v>23672.809638966766</v>
      </c>
      <c r="J475" s="360">
        <f t="shared" si="138"/>
        <v>0</v>
      </c>
      <c r="K475" s="25">
        <f t="shared" si="134"/>
        <v>342038.93185952445</v>
      </c>
      <c r="L475" s="759">
        <v>236</v>
      </c>
      <c r="M475" s="759">
        <f t="shared" si="135"/>
        <v>1449.3175078793408</v>
      </c>
      <c r="N475" s="671">
        <v>1025</v>
      </c>
      <c r="O475" s="671"/>
      <c r="P475" s="188" t="s">
        <v>382</v>
      </c>
      <c r="Q475" s="774">
        <v>40866</v>
      </c>
      <c r="R475" s="775"/>
      <c r="S475" s="301">
        <v>8</v>
      </c>
      <c r="T475" s="806">
        <v>4449</v>
      </c>
      <c r="U475" s="25">
        <f t="shared" si="136"/>
        <v>35592</v>
      </c>
      <c r="V475" s="451"/>
      <c r="W475" s="774"/>
      <c r="X475" s="808"/>
      <c r="Y475" s="806"/>
      <c r="Z475" s="25">
        <f t="shared" si="137"/>
        <v>0</v>
      </c>
    </row>
    <row r="476" spans="1:26" ht="16.5" customHeight="1">
      <c r="A476" s="758">
        <f t="shared" si="132"/>
        <v>120</v>
      </c>
      <c r="B476" s="293" t="s">
        <v>846</v>
      </c>
      <c r="C476" s="25">
        <f t="shared" si="133"/>
        <v>13347</v>
      </c>
      <c r="D476" s="759">
        <f t="shared" si="138"/>
        <v>23600.859460269225</v>
      </c>
      <c r="E476" s="759">
        <f t="shared" si="138"/>
        <v>7468.0591520962189</v>
      </c>
      <c r="F476" s="759">
        <f t="shared" si="138"/>
        <v>16102.039506067156</v>
      </c>
      <c r="G476" s="759">
        <f t="shared" si="138"/>
        <v>1287.0331928007363</v>
      </c>
      <c r="H476" s="759">
        <f t="shared" si="138"/>
        <v>23433.988914332185</v>
      </c>
      <c r="I476" s="759">
        <f t="shared" si="138"/>
        <v>6018.510925161042</v>
      </c>
      <c r="J476" s="360">
        <f t="shared" si="138"/>
        <v>0</v>
      </c>
      <c r="K476" s="25">
        <f t="shared" si="134"/>
        <v>91256.491150726564</v>
      </c>
      <c r="L476" s="759">
        <v>60</v>
      </c>
      <c r="M476" s="759">
        <f t="shared" si="135"/>
        <v>1520.9415191787762</v>
      </c>
      <c r="N476" s="671">
        <v>1220</v>
      </c>
      <c r="O476" s="671"/>
      <c r="P476" s="188" t="s">
        <v>382</v>
      </c>
      <c r="Q476" s="774">
        <v>40866</v>
      </c>
      <c r="R476" s="775"/>
      <c r="S476" s="301">
        <f>L476/20</f>
        <v>3</v>
      </c>
      <c r="T476" s="806">
        <v>4449</v>
      </c>
      <c r="U476" s="25">
        <f t="shared" si="136"/>
        <v>13347</v>
      </c>
      <c r="V476" s="451"/>
      <c r="W476" s="774"/>
      <c r="X476" s="808"/>
      <c r="Y476" s="806"/>
      <c r="Z476" s="25">
        <f t="shared" si="137"/>
        <v>0</v>
      </c>
    </row>
    <row r="477" spans="1:26" ht="16.5" customHeight="1">
      <c r="A477" s="758">
        <f t="shared" si="132"/>
        <v>121</v>
      </c>
      <c r="B477" s="293" t="s">
        <v>847</v>
      </c>
      <c r="C477" s="25">
        <f t="shared" si="133"/>
        <v>26694</v>
      </c>
      <c r="D477" s="759">
        <f t="shared" si="138"/>
        <v>47201.718920538449</v>
      </c>
      <c r="E477" s="759">
        <f t="shared" si="138"/>
        <v>14936.118304192438</v>
      </c>
      <c r="F477" s="759">
        <f t="shared" si="138"/>
        <v>32204.079012134313</v>
      </c>
      <c r="G477" s="759">
        <f t="shared" si="138"/>
        <v>2574.0663856014726</v>
      </c>
      <c r="H477" s="759">
        <f t="shared" si="138"/>
        <v>46867.97782866437</v>
      </c>
      <c r="I477" s="759">
        <f t="shared" si="138"/>
        <v>12037.021850322084</v>
      </c>
      <c r="J477" s="360">
        <f t="shared" si="138"/>
        <v>0</v>
      </c>
      <c r="K477" s="25">
        <f t="shared" si="134"/>
        <v>182513.98230145313</v>
      </c>
      <c r="L477" s="759">
        <v>120</v>
      </c>
      <c r="M477" s="759">
        <f t="shared" si="135"/>
        <v>1520.9498525121094</v>
      </c>
      <c r="N477" s="671">
        <v>1152</v>
      </c>
      <c r="O477" s="671"/>
      <c r="P477" s="188" t="s">
        <v>382</v>
      </c>
      <c r="Q477" s="774">
        <v>40866</v>
      </c>
      <c r="R477" s="775"/>
      <c r="S477" s="301">
        <f>L477/20</f>
        <v>6</v>
      </c>
      <c r="T477" s="806">
        <v>4449</v>
      </c>
      <c r="U477" s="25">
        <f t="shared" si="136"/>
        <v>26694</v>
      </c>
      <c r="V477" s="451"/>
      <c r="W477" s="774"/>
      <c r="X477" s="808"/>
      <c r="Y477" s="806"/>
      <c r="Z477" s="25">
        <f t="shared" si="137"/>
        <v>0</v>
      </c>
    </row>
    <row r="478" spans="1:26" ht="16.5" customHeight="1">
      <c r="A478" s="758">
        <f t="shared" si="132"/>
        <v>122</v>
      </c>
      <c r="B478" s="293" t="s">
        <v>848</v>
      </c>
      <c r="C478" s="25">
        <f t="shared" si="133"/>
        <v>31143</v>
      </c>
      <c r="D478" s="759">
        <f t="shared" si="138"/>
        <v>29107.726667665378</v>
      </c>
      <c r="E478" s="759">
        <f t="shared" si="138"/>
        <v>9210.6062875853368</v>
      </c>
      <c r="F478" s="759">
        <f t="shared" si="138"/>
        <v>19859.182057482827</v>
      </c>
      <c r="G478" s="759">
        <f t="shared" si="138"/>
        <v>1587.3409377875746</v>
      </c>
      <c r="H478" s="759">
        <f t="shared" si="138"/>
        <v>28901.919661009695</v>
      </c>
      <c r="I478" s="759">
        <f t="shared" si="138"/>
        <v>7422.8301410319518</v>
      </c>
      <c r="J478" s="360">
        <f t="shared" si="138"/>
        <v>0</v>
      </c>
      <c r="K478" s="25">
        <f t="shared" si="134"/>
        <v>127231.60575256278</v>
      </c>
      <c r="L478" s="759">
        <v>74</v>
      </c>
      <c r="M478" s="759">
        <f t="shared" si="135"/>
        <v>1719.3460236832809</v>
      </c>
      <c r="N478" s="671">
        <v>1660</v>
      </c>
      <c r="O478" s="671"/>
      <c r="P478" s="188" t="s">
        <v>382</v>
      </c>
      <c r="Q478" s="774">
        <v>40866</v>
      </c>
      <c r="R478" s="775"/>
      <c r="S478" s="301">
        <v>7</v>
      </c>
      <c r="T478" s="806">
        <v>4449</v>
      </c>
      <c r="U478" s="25">
        <f t="shared" si="136"/>
        <v>31143</v>
      </c>
      <c r="V478" s="451"/>
      <c r="W478" s="774"/>
      <c r="X478" s="808"/>
      <c r="Y478" s="806"/>
      <c r="Z478" s="25">
        <f t="shared" si="137"/>
        <v>0</v>
      </c>
    </row>
    <row r="479" spans="1:26" ht="16.5" customHeight="1">
      <c r="A479" s="758">
        <f t="shared" si="132"/>
        <v>123</v>
      </c>
      <c r="B479" s="293" t="s">
        <v>849</v>
      </c>
      <c r="C479" s="25">
        <f t="shared" si="133"/>
        <v>66735</v>
      </c>
      <c r="D479" s="759">
        <f t="shared" si="138"/>
        <v>58215.453335330756</v>
      </c>
      <c r="E479" s="759">
        <f t="shared" si="138"/>
        <v>18421.212575170674</v>
      </c>
      <c r="F479" s="759">
        <f t="shared" si="138"/>
        <v>39718.364114965654</v>
      </c>
      <c r="G479" s="759">
        <f t="shared" si="138"/>
        <v>3174.6818755751492</v>
      </c>
      <c r="H479" s="759">
        <f t="shared" si="138"/>
        <v>57803.83932201939</v>
      </c>
      <c r="I479" s="759">
        <f t="shared" si="138"/>
        <v>14845.660282063904</v>
      </c>
      <c r="J479" s="360">
        <f t="shared" si="138"/>
        <v>0</v>
      </c>
      <c r="K479" s="25">
        <f t="shared" si="134"/>
        <v>258913.21150512557</v>
      </c>
      <c r="L479" s="759">
        <v>148</v>
      </c>
      <c r="M479" s="759">
        <f t="shared" si="135"/>
        <v>1749.4135912508484</v>
      </c>
      <c r="N479" s="671">
        <v>1463</v>
      </c>
      <c r="O479" s="671"/>
      <c r="P479" s="188" t="s">
        <v>382</v>
      </c>
      <c r="Q479" s="774">
        <v>40866</v>
      </c>
      <c r="R479" s="775"/>
      <c r="S479" s="301">
        <v>15</v>
      </c>
      <c r="T479" s="806">
        <v>4449</v>
      </c>
      <c r="U479" s="25">
        <f t="shared" si="136"/>
        <v>66735</v>
      </c>
      <c r="V479" s="451"/>
      <c r="W479" s="774"/>
      <c r="X479" s="808"/>
      <c r="Y479" s="806"/>
      <c r="Z479" s="25">
        <f t="shared" si="137"/>
        <v>0</v>
      </c>
    </row>
    <row r="480" spans="1:26" ht="16.5" customHeight="1">
      <c r="A480" s="758">
        <f t="shared" si="132"/>
        <v>124</v>
      </c>
      <c r="B480" s="293" t="s">
        <v>850</v>
      </c>
      <c r="C480" s="25">
        <f t="shared" si="133"/>
        <v>105602</v>
      </c>
      <c r="D480" s="759">
        <f t="shared" si="138"/>
        <v>53495.281443276908</v>
      </c>
      <c r="E480" s="759">
        <f t="shared" si="138"/>
        <v>16927.600744751428</v>
      </c>
      <c r="F480" s="759">
        <f t="shared" si="138"/>
        <v>36497.956213752223</v>
      </c>
      <c r="G480" s="759">
        <f t="shared" si="138"/>
        <v>2917.2752370150019</v>
      </c>
      <c r="H480" s="759">
        <f t="shared" si="138"/>
        <v>53117.041539152953</v>
      </c>
      <c r="I480" s="759">
        <f t="shared" si="138"/>
        <v>13641.958097031695</v>
      </c>
      <c r="J480" s="360">
        <f t="shared" si="138"/>
        <v>0</v>
      </c>
      <c r="K480" s="25">
        <f t="shared" si="134"/>
        <v>282198.11327498022</v>
      </c>
      <c r="L480" s="759">
        <v>136</v>
      </c>
      <c r="M480" s="759">
        <f t="shared" si="135"/>
        <v>2074.9861270219135</v>
      </c>
      <c r="N480" s="671">
        <v>1288</v>
      </c>
      <c r="O480" s="671"/>
      <c r="P480" s="188" t="s">
        <v>452</v>
      </c>
      <c r="Q480" s="774">
        <v>40866</v>
      </c>
      <c r="R480" s="775"/>
      <c r="S480" s="301">
        <v>14</v>
      </c>
      <c r="T480" s="806">
        <v>7543</v>
      </c>
      <c r="U480" s="25">
        <f t="shared" si="136"/>
        <v>105602</v>
      </c>
      <c r="V480" s="451"/>
      <c r="W480" s="774"/>
      <c r="X480" s="808"/>
      <c r="Y480" s="806"/>
      <c r="Z480" s="25">
        <f t="shared" si="137"/>
        <v>0</v>
      </c>
    </row>
    <row r="481" spans="1:26" ht="16.5" customHeight="1">
      <c r="A481" s="758">
        <f t="shared" si="132"/>
        <v>125</v>
      </c>
      <c r="B481" s="293" t="s">
        <v>851</v>
      </c>
      <c r="C481" s="25">
        <f t="shared" si="133"/>
        <v>62286</v>
      </c>
      <c r="D481" s="759">
        <f t="shared" si="138"/>
        <v>106990.56288655382</v>
      </c>
      <c r="E481" s="759">
        <f t="shared" si="138"/>
        <v>33855.201489502855</v>
      </c>
      <c r="F481" s="759">
        <f t="shared" si="138"/>
        <v>72995.912427504445</v>
      </c>
      <c r="G481" s="759">
        <f t="shared" si="138"/>
        <v>5834.5504740300039</v>
      </c>
      <c r="H481" s="759">
        <f t="shared" si="138"/>
        <v>106234.08307830591</v>
      </c>
      <c r="I481" s="759">
        <f t="shared" si="138"/>
        <v>27283.916194063389</v>
      </c>
      <c r="J481" s="360">
        <f t="shared" si="138"/>
        <v>0</v>
      </c>
      <c r="K481" s="25">
        <f t="shared" si="134"/>
        <v>415479.22654996044</v>
      </c>
      <c r="L481" s="759">
        <v>272</v>
      </c>
      <c r="M481" s="759">
        <f t="shared" si="135"/>
        <v>1527.4971564336781</v>
      </c>
      <c r="N481" s="671">
        <v>1254</v>
      </c>
      <c r="O481" s="671"/>
      <c r="P481" s="188" t="s">
        <v>382</v>
      </c>
      <c r="Q481" s="774">
        <v>40866</v>
      </c>
      <c r="R481" s="775"/>
      <c r="S481" s="301">
        <v>14</v>
      </c>
      <c r="T481" s="806">
        <v>4449</v>
      </c>
      <c r="U481" s="25">
        <f t="shared" si="136"/>
        <v>62286</v>
      </c>
      <c r="V481" s="451"/>
      <c r="W481" s="774"/>
      <c r="X481" s="808"/>
      <c r="Y481" s="806"/>
      <c r="Z481" s="25">
        <f t="shared" si="137"/>
        <v>0</v>
      </c>
    </row>
    <row r="482" spans="1:26" ht="16.5" customHeight="1">
      <c r="A482" s="758">
        <f t="shared" si="132"/>
        <v>126</v>
      </c>
      <c r="B482" s="293" t="s">
        <v>852</v>
      </c>
      <c r="C482" s="25">
        <f t="shared" si="133"/>
        <v>8898</v>
      </c>
      <c r="D482" s="759">
        <f t="shared" si="138"/>
        <v>7080.2578380807672</v>
      </c>
      <c r="E482" s="759">
        <f t="shared" si="138"/>
        <v>2240.4177456288653</v>
      </c>
      <c r="F482" s="759">
        <f t="shared" ref="D482:J518" si="139">IF($L$599&lt;&gt;0,F$599/$L$599*$L482,0)</f>
        <v>4830.6118518201465</v>
      </c>
      <c r="G482" s="759">
        <f t="shared" si="139"/>
        <v>386.10995784022089</v>
      </c>
      <c r="H482" s="759">
        <f t="shared" si="139"/>
        <v>7030.1966742996556</v>
      </c>
      <c r="I482" s="759">
        <f t="shared" si="139"/>
        <v>1805.5532775483125</v>
      </c>
      <c r="J482" s="360">
        <f t="shared" si="139"/>
        <v>0</v>
      </c>
      <c r="K482" s="25">
        <f t="shared" si="134"/>
        <v>32270.147345217971</v>
      </c>
      <c r="L482" s="759">
        <v>18</v>
      </c>
      <c r="M482" s="759">
        <f t="shared" si="135"/>
        <v>1792.7859636232206</v>
      </c>
      <c r="N482" s="671">
        <v>1581</v>
      </c>
      <c r="O482" s="671"/>
      <c r="P482" s="188" t="s">
        <v>382</v>
      </c>
      <c r="Q482" s="774">
        <v>40866</v>
      </c>
      <c r="R482" s="775"/>
      <c r="S482" s="301">
        <v>2</v>
      </c>
      <c r="T482" s="806">
        <v>4449</v>
      </c>
      <c r="U482" s="25">
        <f t="shared" si="136"/>
        <v>8898</v>
      </c>
      <c r="V482" s="451"/>
      <c r="W482" s="774"/>
      <c r="X482" s="808"/>
      <c r="Y482" s="806"/>
      <c r="Z482" s="25">
        <f t="shared" si="137"/>
        <v>0</v>
      </c>
    </row>
    <row r="483" spans="1:26" ht="16.5" customHeight="1">
      <c r="A483" s="758">
        <f t="shared" si="132"/>
        <v>127</v>
      </c>
      <c r="B483" s="293" t="s">
        <v>853</v>
      </c>
      <c r="C483" s="25">
        <f t="shared" si="133"/>
        <v>8898</v>
      </c>
      <c r="D483" s="759">
        <f t="shared" si="139"/>
        <v>14160.515676161534</v>
      </c>
      <c r="E483" s="759">
        <f t="shared" si="139"/>
        <v>4480.8354912577306</v>
      </c>
      <c r="F483" s="759">
        <f t="shared" si="139"/>
        <v>9661.223703640293</v>
      </c>
      <c r="G483" s="759">
        <f t="shared" si="139"/>
        <v>772.21991568044177</v>
      </c>
      <c r="H483" s="759">
        <f t="shared" si="139"/>
        <v>14060.393348599311</v>
      </c>
      <c r="I483" s="759">
        <f t="shared" si="139"/>
        <v>3611.106555096625</v>
      </c>
      <c r="J483" s="360">
        <f t="shared" si="139"/>
        <v>0</v>
      </c>
      <c r="K483" s="25">
        <f t="shared" si="134"/>
        <v>55643.294690435934</v>
      </c>
      <c r="L483" s="759">
        <v>36</v>
      </c>
      <c r="M483" s="759">
        <f t="shared" si="135"/>
        <v>1545.6470747343315</v>
      </c>
      <c r="N483" s="671">
        <v>1384</v>
      </c>
      <c r="O483" s="671"/>
      <c r="P483" s="188" t="s">
        <v>382</v>
      </c>
      <c r="Q483" s="774">
        <v>40866</v>
      </c>
      <c r="R483" s="775"/>
      <c r="S483" s="301">
        <v>2</v>
      </c>
      <c r="T483" s="806">
        <v>4449</v>
      </c>
      <c r="U483" s="25">
        <f t="shared" si="136"/>
        <v>8898</v>
      </c>
      <c r="V483" s="451"/>
      <c r="W483" s="774"/>
      <c r="X483" s="808"/>
      <c r="Y483" s="806"/>
      <c r="Z483" s="25">
        <f t="shared" si="137"/>
        <v>0</v>
      </c>
    </row>
    <row r="484" spans="1:26" ht="16.5" customHeight="1">
      <c r="A484" s="758">
        <f t="shared" si="132"/>
        <v>128</v>
      </c>
      <c r="B484" s="293" t="s">
        <v>845</v>
      </c>
      <c r="C484" s="25">
        <f t="shared" si="133"/>
        <v>13347</v>
      </c>
      <c r="D484" s="759">
        <f t="shared" si="139"/>
        <v>31074.464956021144</v>
      </c>
      <c r="E484" s="759">
        <f t="shared" si="139"/>
        <v>9832.9445502600211</v>
      </c>
      <c r="F484" s="759">
        <f t="shared" si="139"/>
        <v>21201.018682988422</v>
      </c>
      <c r="G484" s="759">
        <f t="shared" si="139"/>
        <v>1694.5937038543027</v>
      </c>
      <c r="H484" s="759">
        <f t="shared" si="139"/>
        <v>30854.752070537375</v>
      </c>
      <c r="I484" s="759">
        <f t="shared" si="139"/>
        <v>7924.3727181287049</v>
      </c>
      <c r="J484" s="360">
        <f t="shared" si="139"/>
        <v>0</v>
      </c>
      <c r="K484" s="25">
        <f t="shared" si="134"/>
        <v>115928.14668178998</v>
      </c>
      <c r="L484" s="759">
        <v>79</v>
      </c>
      <c r="M484" s="759">
        <f t="shared" si="135"/>
        <v>1467.4448947062021</v>
      </c>
      <c r="N484" s="671">
        <v>1025</v>
      </c>
      <c r="O484" s="671"/>
      <c r="P484" s="188" t="s">
        <v>382</v>
      </c>
      <c r="Q484" s="774">
        <v>40866</v>
      </c>
      <c r="R484" s="775"/>
      <c r="S484" s="301">
        <v>3</v>
      </c>
      <c r="T484" s="806">
        <v>4449</v>
      </c>
      <c r="U484" s="25">
        <f t="shared" si="136"/>
        <v>13347</v>
      </c>
      <c r="V484" s="451"/>
      <c r="W484" s="774"/>
      <c r="X484" s="808"/>
      <c r="Y484" s="806"/>
      <c r="Z484" s="25">
        <f t="shared" si="137"/>
        <v>0</v>
      </c>
    </row>
    <row r="485" spans="1:26" ht="16.5" customHeight="1">
      <c r="A485" s="758">
        <f t="shared" si="132"/>
        <v>129</v>
      </c>
      <c r="B485" s="293" t="s">
        <v>854</v>
      </c>
      <c r="C485" s="25">
        <f t="shared" si="133"/>
        <v>35592</v>
      </c>
      <c r="D485" s="759">
        <f t="shared" si="139"/>
        <v>62148.929912042287</v>
      </c>
      <c r="E485" s="759">
        <f t="shared" si="139"/>
        <v>19665.889100520042</v>
      </c>
      <c r="F485" s="759">
        <f t="shared" si="139"/>
        <v>42402.037365976845</v>
      </c>
      <c r="G485" s="759">
        <f t="shared" si="139"/>
        <v>3389.1874077086054</v>
      </c>
      <c r="H485" s="759">
        <f t="shared" si="139"/>
        <v>61709.504141074751</v>
      </c>
      <c r="I485" s="759">
        <f t="shared" si="139"/>
        <v>15848.74543625741</v>
      </c>
      <c r="J485" s="360">
        <f t="shared" si="139"/>
        <v>0</v>
      </c>
      <c r="K485" s="25">
        <f t="shared" si="134"/>
        <v>240755.29336357996</v>
      </c>
      <c r="L485" s="759">
        <v>158</v>
      </c>
      <c r="M485" s="759">
        <f t="shared" si="135"/>
        <v>1523.7676795163288</v>
      </c>
      <c r="N485" s="671">
        <v>963</v>
      </c>
      <c r="O485" s="671"/>
      <c r="P485" s="188" t="s">
        <v>382</v>
      </c>
      <c r="Q485" s="774">
        <v>40866</v>
      </c>
      <c r="R485" s="775"/>
      <c r="S485" s="301">
        <v>8</v>
      </c>
      <c r="T485" s="806">
        <v>4449</v>
      </c>
      <c r="U485" s="25">
        <f t="shared" si="136"/>
        <v>35592</v>
      </c>
      <c r="V485" s="451"/>
      <c r="W485" s="774"/>
      <c r="X485" s="808"/>
      <c r="Y485" s="806"/>
      <c r="Z485" s="25">
        <f t="shared" si="137"/>
        <v>0</v>
      </c>
    </row>
    <row r="486" spans="1:26" ht="16.5" customHeight="1">
      <c r="A486" s="758">
        <f t="shared" ref="A486:A549" si="140">IF(B486&lt;&gt;"",A485+1,"")</f>
        <v>130</v>
      </c>
      <c r="B486" s="293" t="s">
        <v>855</v>
      </c>
      <c r="C486" s="25">
        <f t="shared" ref="C486:C549" si="141">U486</f>
        <v>22245</v>
      </c>
      <c r="D486" s="759">
        <f t="shared" si="139"/>
        <v>32254.507929034608</v>
      </c>
      <c r="E486" s="759">
        <f t="shared" si="139"/>
        <v>10206.347507864832</v>
      </c>
      <c r="F486" s="759">
        <f t="shared" si="139"/>
        <v>22006.12065829178</v>
      </c>
      <c r="G486" s="759">
        <f t="shared" si="139"/>
        <v>1758.9453634943395</v>
      </c>
      <c r="H486" s="759">
        <f t="shared" si="139"/>
        <v>32026.451516253986</v>
      </c>
      <c r="I486" s="759">
        <f t="shared" si="139"/>
        <v>8225.2982643867581</v>
      </c>
      <c r="J486" s="360">
        <f t="shared" si="139"/>
        <v>0</v>
      </c>
      <c r="K486" s="25">
        <f t="shared" ref="K486:K549" si="142">SUM(C486:I486)-1</f>
        <v>128721.6712393263</v>
      </c>
      <c r="L486" s="759">
        <v>82</v>
      </c>
      <c r="M486" s="759">
        <f t="shared" si="135"/>
        <v>1569.7764785283696</v>
      </c>
      <c r="N486" s="671">
        <v>1228</v>
      </c>
      <c r="O486" s="671"/>
      <c r="P486" s="188" t="s">
        <v>382</v>
      </c>
      <c r="Q486" s="774">
        <v>40866</v>
      </c>
      <c r="R486" s="775"/>
      <c r="S486" s="301">
        <v>5</v>
      </c>
      <c r="T486" s="806">
        <v>4449</v>
      </c>
      <c r="U486" s="25">
        <f t="shared" si="136"/>
        <v>22245</v>
      </c>
      <c r="V486" s="451"/>
      <c r="W486" s="774"/>
      <c r="X486" s="808"/>
      <c r="Y486" s="806"/>
      <c r="Z486" s="25">
        <f t="shared" si="137"/>
        <v>0</v>
      </c>
    </row>
    <row r="487" spans="1:26" ht="16.5" customHeight="1">
      <c r="A487" s="758">
        <f t="shared" si="140"/>
        <v>131</v>
      </c>
      <c r="B487" s="293" t="s">
        <v>856</v>
      </c>
      <c r="C487" s="25">
        <f t="shared" si="141"/>
        <v>48939</v>
      </c>
      <c r="D487" s="759">
        <f t="shared" si="139"/>
        <v>16127.253964517304</v>
      </c>
      <c r="E487" s="759">
        <f t="shared" si="139"/>
        <v>5103.1737539324158</v>
      </c>
      <c r="F487" s="759">
        <f t="shared" si="139"/>
        <v>11003.06032914589</v>
      </c>
      <c r="G487" s="759">
        <f t="shared" si="139"/>
        <v>879.47268174716976</v>
      </c>
      <c r="H487" s="759">
        <f t="shared" si="139"/>
        <v>16013.225758126993</v>
      </c>
      <c r="I487" s="759">
        <f t="shared" si="139"/>
        <v>4112.649132193379</v>
      </c>
      <c r="J487" s="360">
        <f t="shared" si="139"/>
        <v>0</v>
      </c>
      <c r="K487" s="25">
        <f t="shared" si="142"/>
        <v>102176.83561966315</v>
      </c>
      <c r="L487" s="759">
        <v>41</v>
      </c>
      <c r="M487" s="759">
        <f t="shared" ref="M487:M550" si="143">IF(L487&lt;&gt;"",K487/L487,"")</f>
        <v>2492.1179419430036</v>
      </c>
      <c r="N487" s="671">
        <v>2499</v>
      </c>
      <c r="O487" s="671"/>
      <c r="P487" s="188" t="s">
        <v>382</v>
      </c>
      <c r="Q487" s="774">
        <v>40866</v>
      </c>
      <c r="R487" s="775"/>
      <c r="S487" s="301">
        <v>11</v>
      </c>
      <c r="T487" s="806">
        <v>4449</v>
      </c>
      <c r="U487" s="25">
        <f t="shared" ref="U487:U550" si="144">ROUND(S487*T487,0)</f>
        <v>48939</v>
      </c>
      <c r="V487" s="451"/>
      <c r="W487" s="774"/>
      <c r="X487" s="808"/>
      <c r="Y487" s="806"/>
      <c r="Z487" s="25">
        <f t="shared" ref="Z487:Z550" si="145">ROUND(X487*Y487,0)</f>
        <v>0</v>
      </c>
    </row>
    <row r="488" spans="1:26" ht="16.5" customHeight="1">
      <c r="A488" s="758">
        <f t="shared" si="140"/>
        <v>132</v>
      </c>
      <c r="B488" s="293" t="s">
        <v>546</v>
      </c>
      <c r="C488" s="25">
        <f t="shared" si="141"/>
        <v>11844</v>
      </c>
      <c r="D488" s="759">
        <f t="shared" si="139"/>
        <v>393.34765767115374</v>
      </c>
      <c r="E488" s="759">
        <f t="shared" si="139"/>
        <v>124.46765253493697</v>
      </c>
      <c r="F488" s="759">
        <f t="shared" si="139"/>
        <v>268.36732510111926</v>
      </c>
      <c r="G488" s="759">
        <f t="shared" si="139"/>
        <v>21.450553213345604</v>
      </c>
      <c r="H488" s="759">
        <f t="shared" si="139"/>
        <v>390.56648190553642</v>
      </c>
      <c r="I488" s="759">
        <f t="shared" si="139"/>
        <v>100.3085154193507</v>
      </c>
      <c r="J488" s="360">
        <f t="shared" si="139"/>
        <v>0</v>
      </c>
      <c r="K488" s="25">
        <f t="shared" si="142"/>
        <v>13141.508185845443</v>
      </c>
      <c r="L488" s="759">
        <v>1</v>
      </c>
      <c r="M488" s="759">
        <f t="shared" si="143"/>
        <v>13141.508185845443</v>
      </c>
      <c r="N488" s="671">
        <v>15136</v>
      </c>
      <c r="O488" s="671"/>
      <c r="P488" s="40" t="s">
        <v>488</v>
      </c>
      <c r="Q488" s="774">
        <v>40866</v>
      </c>
      <c r="R488" s="775"/>
      <c r="S488" s="301">
        <f>L488/2</f>
        <v>0.5</v>
      </c>
      <c r="T488" s="806">
        <v>23688</v>
      </c>
      <c r="U488" s="25">
        <f t="shared" si="144"/>
        <v>11844</v>
      </c>
      <c r="V488" s="451"/>
      <c r="W488" s="774"/>
      <c r="X488" s="808"/>
      <c r="Y488" s="806"/>
      <c r="Z488" s="25">
        <f t="shared" si="145"/>
        <v>0</v>
      </c>
    </row>
    <row r="489" spans="1:26" ht="16.5" customHeight="1">
      <c r="A489" s="758">
        <f t="shared" si="140"/>
        <v>133</v>
      </c>
      <c r="B489" s="293" t="s">
        <v>539</v>
      </c>
      <c r="C489" s="25">
        <f t="shared" si="141"/>
        <v>19638</v>
      </c>
      <c r="D489" s="759">
        <f t="shared" si="139"/>
        <v>786.69531534230748</v>
      </c>
      <c r="E489" s="759">
        <f t="shared" si="139"/>
        <v>248.93530506987395</v>
      </c>
      <c r="F489" s="759">
        <f t="shared" si="139"/>
        <v>536.73465020223853</v>
      </c>
      <c r="G489" s="759">
        <f t="shared" si="139"/>
        <v>42.901106426691207</v>
      </c>
      <c r="H489" s="759">
        <f t="shared" si="139"/>
        <v>781.13296381107284</v>
      </c>
      <c r="I489" s="759">
        <f t="shared" si="139"/>
        <v>200.6170308387014</v>
      </c>
      <c r="J489" s="360">
        <f t="shared" si="139"/>
        <v>0</v>
      </c>
      <c r="K489" s="25">
        <f t="shared" si="142"/>
        <v>22234.016371690886</v>
      </c>
      <c r="L489" s="759">
        <v>2</v>
      </c>
      <c r="M489" s="759">
        <f t="shared" si="143"/>
        <v>11117.008185845443</v>
      </c>
      <c r="N489" s="671">
        <v>16284</v>
      </c>
      <c r="O489" s="671"/>
      <c r="P489" s="188" t="s">
        <v>428</v>
      </c>
      <c r="Q489" s="774">
        <v>40866</v>
      </c>
      <c r="R489" s="775"/>
      <c r="S489" s="301">
        <v>1</v>
      </c>
      <c r="T489" s="806">
        <v>19638</v>
      </c>
      <c r="U489" s="25">
        <f t="shared" si="144"/>
        <v>19638</v>
      </c>
      <c r="V489" s="451"/>
      <c r="W489" s="774"/>
      <c r="X489" s="808"/>
      <c r="Y489" s="806"/>
      <c r="Z489" s="25">
        <f t="shared" si="145"/>
        <v>0</v>
      </c>
    </row>
    <row r="490" spans="1:26" ht="16.5" customHeight="1">
      <c r="A490" s="758">
        <f t="shared" si="140"/>
        <v>134</v>
      </c>
      <c r="B490" s="293" t="s">
        <v>815</v>
      </c>
      <c r="C490" s="25">
        <f t="shared" si="141"/>
        <v>293034</v>
      </c>
      <c r="D490" s="759">
        <f t="shared" si="139"/>
        <v>8260.3008110942283</v>
      </c>
      <c r="E490" s="759">
        <f t="shared" si="139"/>
        <v>2613.8207032336763</v>
      </c>
      <c r="F490" s="759">
        <f t="shared" si="139"/>
        <v>5635.7138271235044</v>
      </c>
      <c r="G490" s="759">
        <f t="shared" si="139"/>
        <v>450.4616174802577</v>
      </c>
      <c r="H490" s="759">
        <f t="shared" si="139"/>
        <v>8201.8961200162648</v>
      </c>
      <c r="I490" s="759">
        <f t="shared" si="139"/>
        <v>2106.4788238063647</v>
      </c>
      <c r="J490" s="360">
        <f t="shared" si="139"/>
        <v>0</v>
      </c>
      <c r="K490" s="25">
        <f t="shared" si="142"/>
        <v>320301.67190275434</v>
      </c>
      <c r="L490" s="759">
        <v>21</v>
      </c>
      <c r="M490" s="759">
        <f t="shared" si="143"/>
        <v>15252.460566797827</v>
      </c>
      <c r="N490" s="671">
        <v>16832</v>
      </c>
      <c r="O490" s="671"/>
      <c r="P490" s="188" t="s">
        <v>432</v>
      </c>
      <c r="Q490" s="774">
        <v>40866</v>
      </c>
      <c r="R490" s="775"/>
      <c r="S490" s="301">
        <f>L490</f>
        <v>21</v>
      </c>
      <c r="T490" s="806">
        <v>13954</v>
      </c>
      <c r="U490" s="25">
        <f t="shared" si="144"/>
        <v>293034</v>
      </c>
      <c r="V490" s="451"/>
      <c r="W490" s="774"/>
      <c r="X490" s="808"/>
      <c r="Y490" s="806"/>
      <c r="Z490" s="25">
        <f t="shared" si="145"/>
        <v>0</v>
      </c>
    </row>
    <row r="491" spans="1:26" ht="16.5" customHeight="1">
      <c r="A491" s="758">
        <f t="shared" si="140"/>
        <v>135</v>
      </c>
      <c r="B491" s="293" t="s">
        <v>533</v>
      </c>
      <c r="C491" s="25">
        <f t="shared" si="141"/>
        <v>445554</v>
      </c>
      <c r="D491" s="759">
        <f t="shared" si="139"/>
        <v>20847.42585657115</v>
      </c>
      <c r="E491" s="759">
        <f t="shared" si="139"/>
        <v>6596.78558435166</v>
      </c>
      <c r="F491" s="759">
        <f t="shared" si="139"/>
        <v>14223.468230359322</v>
      </c>
      <c r="G491" s="759">
        <f t="shared" si="139"/>
        <v>1136.8793203073169</v>
      </c>
      <c r="H491" s="759">
        <f t="shared" si="139"/>
        <v>20700.023540993432</v>
      </c>
      <c r="I491" s="759">
        <f t="shared" si="139"/>
        <v>5316.3513172255871</v>
      </c>
      <c r="J491" s="360">
        <f t="shared" si="139"/>
        <v>0</v>
      </c>
      <c r="K491" s="25">
        <f t="shared" si="142"/>
        <v>514373.93384980859</v>
      </c>
      <c r="L491" s="759">
        <v>53</v>
      </c>
      <c r="M491" s="759">
        <f t="shared" si="143"/>
        <v>9705.1685632039353</v>
      </c>
      <c r="N491" s="671">
        <v>10595</v>
      </c>
      <c r="O491" s="671"/>
      <c r="P491" s="40" t="s">
        <v>508</v>
      </c>
      <c r="Q491" s="774">
        <v>40866</v>
      </c>
      <c r="R491" s="775"/>
      <c r="S491" s="301">
        <v>27</v>
      </c>
      <c r="T491" s="806">
        <v>16502</v>
      </c>
      <c r="U491" s="25">
        <f t="shared" si="144"/>
        <v>445554</v>
      </c>
      <c r="V491" s="451"/>
      <c r="W491" s="774"/>
      <c r="X491" s="808"/>
      <c r="Y491" s="806"/>
      <c r="Z491" s="25">
        <f t="shared" si="145"/>
        <v>0</v>
      </c>
    </row>
    <row r="492" spans="1:26" ht="16.5" customHeight="1">
      <c r="A492" s="758">
        <f t="shared" si="140"/>
        <v>136</v>
      </c>
      <c r="B492" s="293" t="s">
        <v>823</v>
      </c>
      <c r="C492" s="25">
        <f t="shared" si="141"/>
        <v>60834</v>
      </c>
      <c r="D492" s="759">
        <f t="shared" si="139"/>
        <v>2360.0859460269226</v>
      </c>
      <c r="E492" s="759">
        <f t="shared" si="139"/>
        <v>746.80591520962184</v>
      </c>
      <c r="F492" s="759">
        <f t="shared" si="139"/>
        <v>1610.2039506067156</v>
      </c>
      <c r="G492" s="759">
        <f t="shared" si="139"/>
        <v>128.70331928007363</v>
      </c>
      <c r="H492" s="759">
        <f t="shared" si="139"/>
        <v>2343.3988914332185</v>
      </c>
      <c r="I492" s="759">
        <f t="shared" si="139"/>
        <v>601.85109251610425</v>
      </c>
      <c r="J492" s="360">
        <f t="shared" si="139"/>
        <v>0</v>
      </c>
      <c r="K492" s="25">
        <f t="shared" si="142"/>
        <v>68624.049115072659</v>
      </c>
      <c r="L492" s="759">
        <v>6</v>
      </c>
      <c r="M492" s="759">
        <f t="shared" si="143"/>
        <v>11437.341519178777</v>
      </c>
      <c r="N492" s="671">
        <v>13869</v>
      </c>
      <c r="O492" s="671"/>
      <c r="P492" s="40" t="s">
        <v>503</v>
      </c>
      <c r="Q492" s="774">
        <v>40866</v>
      </c>
      <c r="R492" s="775"/>
      <c r="S492" s="301">
        <f>L492/2</f>
        <v>3</v>
      </c>
      <c r="T492" s="806">
        <v>20278</v>
      </c>
      <c r="U492" s="25">
        <f t="shared" si="144"/>
        <v>60834</v>
      </c>
      <c r="V492" s="451"/>
      <c r="W492" s="774"/>
      <c r="X492" s="808"/>
      <c r="Y492" s="806"/>
      <c r="Z492" s="25">
        <f t="shared" si="145"/>
        <v>0</v>
      </c>
    </row>
    <row r="493" spans="1:26" ht="16.5" customHeight="1">
      <c r="A493" s="758">
        <f t="shared" si="140"/>
        <v>137</v>
      </c>
      <c r="B493" s="293" t="s">
        <v>537</v>
      </c>
      <c r="C493" s="25">
        <f t="shared" si="141"/>
        <v>11844</v>
      </c>
      <c r="D493" s="759">
        <f t="shared" si="139"/>
        <v>393.34765767115374</v>
      </c>
      <c r="E493" s="759">
        <f t="shared" si="139"/>
        <v>124.46765253493697</v>
      </c>
      <c r="F493" s="759">
        <f t="shared" si="139"/>
        <v>268.36732510111926</v>
      </c>
      <c r="G493" s="759">
        <f t="shared" si="139"/>
        <v>21.450553213345604</v>
      </c>
      <c r="H493" s="759">
        <f t="shared" si="139"/>
        <v>390.56648190553642</v>
      </c>
      <c r="I493" s="759">
        <f t="shared" si="139"/>
        <v>100.3085154193507</v>
      </c>
      <c r="J493" s="360">
        <f t="shared" si="139"/>
        <v>0</v>
      </c>
      <c r="K493" s="25">
        <f t="shared" si="142"/>
        <v>13141.508185845443</v>
      </c>
      <c r="L493" s="759">
        <v>1</v>
      </c>
      <c r="M493" s="759">
        <f t="shared" si="143"/>
        <v>13141.508185845443</v>
      </c>
      <c r="N493" s="671">
        <v>15618</v>
      </c>
      <c r="O493" s="671"/>
      <c r="P493" s="40" t="s">
        <v>488</v>
      </c>
      <c r="Q493" s="774">
        <v>40866</v>
      </c>
      <c r="R493" s="775"/>
      <c r="S493" s="301">
        <f>L493/2</f>
        <v>0.5</v>
      </c>
      <c r="T493" s="806">
        <v>23688</v>
      </c>
      <c r="U493" s="25">
        <f t="shared" si="144"/>
        <v>11844</v>
      </c>
      <c r="V493" s="451"/>
      <c r="W493" s="774"/>
      <c r="X493" s="808"/>
      <c r="Y493" s="806"/>
      <c r="Z493" s="25">
        <f t="shared" si="145"/>
        <v>0</v>
      </c>
    </row>
    <row r="494" spans="1:26" ht="16.5" customHeight="1">
      <c r="A494" s="758">
        <f t="shared" si="140"/>
        <v>138</v>
      </c>
      <c r="B494" s="293" t="s">
        <v>546</v>
      </c>
      <c r="C494" s="25">
        <f t="shared" si="141"/>
        <v>13954</v>
      </c>
      <c r="D494" s="759">
        <f t="shared" si="139"/>
        <v>393.34765767115374</v>
      </c>
      <c r="E494" s="759">
        <f t="shared" si="139"/>
        <v>124.46765253493697</v>
      </c>
      <c r="F494" s="759">
        <f t="shared" si="139"/>
        <v>268.36732510111926</v>
      </c>
      <c r="G494" s="759">
        <f t="shared" si="139"/>
        <v>21.450553213345604</v>
      </c>
      <c r="H494" s="759">
        <f t="shared" si="139"/>
        <v>390.56648190553642</v>
      </c>
      <c r="I494" s="759">
        <f t="shared" si="139"/>
        <v>100.3085154193507</v>
      </c>
      <c r="J494" s="360">
        <f t="shared" si="139"/>
        <v>0</v>
      </c>
      <c r="K494" s="25">
        <f t="shared" si="142"/>
        <v>15251.508185845443</v>
      </c>
      <c r="L494" s="759">
        <v>1</v>
      </c>
      <c r="M494" s="759">
        <f t="shared" si="143"/>
        <v>15251.508185845443</v>
      </c>
      <c r="N494" s="671">
        <v>15136</v>
      </c>
      <c r="O494" s="671"/>
      <c r="P494" s="188" t="s">
        <v>432</v>
      </c>
      <c r="Q494" s="774">
        <v>40866</v>
      </c>
      <c r="R494" s="775"/>
      <c r="S494" s="301">
        <f>L494</f>
        <v>1</v>
      </c>
      <c r="T494" s="806">
        <v>13954</v>
      </c>
      <c r="U494" s="25">
        <f t="shared" si="144"/>
        <v>13954</v>
      </c>
      <c r="V494" s="451"/>
      <c r="W494" s="774"/>
      <c r="X494" s="808"/>
      <c r="Y494" s="806"/>
      <c r="Z494" s="25">
        <f t="shared" si="145"/>
        <v>0</v>
      </c>
    </row>
    <row r="495" spans="1:26" ht="16.5" customHeight="1">
      <c r="A495" s="758">
        <f t="shared" si="140"/>
        <v>139</v>
      </c>
      <c r="B495" s="293" t="s">
        <v>824</v>
      </c>
      <c r="C495" s="25">
        <f t="shared" si="141"/>
        <v>153786</v>
      </c>
      <c r="D495" s="759">
        <f t="shared" si="139"/>
        <v>4720.1718920538451</v>
      </c>
      <c r="E495" s="759">
        <f t="shared" si="139"/>
        <v>1493.6118304192437</v>
      </c>
      <c r="F495" s="759">
        <f t="shared" si="139"/>
        <v>3220.4079012134312</v>
      </c>
      <c r="G495" s="759">
        <f t="shared" si="139"/>
        <v>257.40663856014726</v>
      </c>
      <c r="H495" s="759">
        <f t="shared" si="139"/>
        <v>4686.797782866437</v>
      </c>
      <c r="I495" s="759">
        <f t="shared" si="139"/>
        <v>1203.7021850322085</v>
      </c>
      <c r="J495" s="360">
        <f t="shared" si="139"/>
        <v>0</v>
      </c>
      <c r="K495" s="25">
        <f t="shared" si="142"/>
        <v>169367.09823014532</v>
      </c>
      <c r="L495" s="759">
        <v>12</v>
      </c>
      <c r="M495" s="759">
        <f t="shared" si="143"/>
        <v>14113.924852512109</v>
      </c>
      <c r="N495" s="671">
        <v>14230</v>
      </c>
      <c r="O495" s="671"/>
      <c r="P495" s="40" t="s">
        <v>504</v>
      </c>
      <c r="Q495" s="774">
        <v>40866</v>
      </c>
      <c r="R495" s="775"/>
      <c r="S495" s="301">
        <f>L495/2</f>
        <v>6</v>
      </c>
      <c r="T495" s="806">
        <v>25631</v>
      </c>
      <c r="U495" s="25">
        <f t="shared" si="144"/>
        <v>153786</v>
      </c>
      <c r="V495" s="451"/>
      <c r="W495" s="774"/>
      <c r="X495" s="808"/>
      <c r="Y495" s="806"/>
      <c r="Z495" s="25">
        <f t="shared" si="145"/>
        <v>0</v>
      </c>
    </row>
    <row r="496" spans="1:26" ht="16.5" customHeight="1">
      <c r="A496" s="758">
        <f t="shared" si="140"/>
        <v>140</v>
      </c>
      <c r="B496" s="293" t="s">
        <v>788</v>
      </c>
      <c r="C496" s="25">
        <f t="shared" si="141"/>
        <v>603440</v>
      </c>
      <c r="D496" s="759">
        <f t="shared" si="139"/>
        <v>157339.06306846149</v>
      </c>
      <c r="E496" s="759">
        <f t="shared" si="139"/>
        <v>49787.061013974788</v>
      </c>
      <c r="F496" s="759">
        <f t="shared" si="139"/>
        <v>107346.93004044771</v>
      </c>
      <c r="G496" s="759">
        <f t="shared" si="139"/>
        <v>8580.2212853382407</v>
      </c>
      <c r="H496" s="759">
        <f t="shared" si="139"/>
        <v>156226.59276221457</v>
      </c>
      <c r="I496" s="759">
        <f t="shared" si="139"/>
        <v>40123.406167740279</v>
      </c>
      <c r="J496" s="360">
        <f t="shared" si="139"/>
        <v>0</v>
      </c>
      <c r="K496" s="25">
        <f t="shared" si="142"/>
        <v>1122842.2743381772</v>
      </c>
      <c r="L496" s="759">
        <v>400</v>
      </c>
      <c r="M496" s="759">
        <f t="shared" si="143"/>
        <v>2807.1056858454431</v>
      </c>
      <c r="N496" s="671">
        <v>3100</v>
      </c>
      <c r="O496" s="671"/>
      <c r="P496" s="188" t="s">
        <v>452</v>
      </c>
      <c r="Q496" s="774">
        <v>40848</v>
      </c>
      <c r="R496" s="775"/>
      <c r="S496" s="301">
        <f>L496/5</f>
        <v>80</v>
      </c>
      <c r="T496" s="806">
        <v>7543</v>
      </c>
      <c r="U496" s="25">
        <f t="shared" si="144"/>
        <v>603440</v>
      </c>
      <c r="V496" s="451"/>
      <c r="W496" s="774"/>
      <c r="X496" s="808"/>
      <c r="Y496" s="806"/>
      <c r="Z496" s="25">
        <f t="shared" si="145"/>
        <v>0</v>
      </c>
    </row>
    <row r="497" spans="1:26" ht="16.5" customHeight="1">
      <c r="A497" s="758">
        <f t="shared" si="140"/>
        <v>141</v>
      </c>
      <c r="B497" s="293" t="s">
        <v>857</v>
      </c>
      <c r="C497" s="25">
        <f t="shared" si="141"/>
        <v>1839638</v>
      </c>
      <c r="D497" s="759">
        <f t="shared" si="139"/>
        <v>47595.066578209604</v>
      </c>
      <c r="E497" s="759">
        <f t="shared" si="139"/>
        <v>15060.585956727375</v>
      </c>
      <c r="F497" s="759">
        <f t="shared" si="139"/>
        <v>32472.446337235429</v>
      </c>
      <c r="G497" s="759">
        <f t="shared" si="139"/>
        <v>2595.5169388148179</v>
      </c>
      <c r="H497" s="759">
        <f t="shared" si="139"/>
        <v>47258.544310569909</v>
      </c>
      <c r="I497" s="759">
        <f t="shared" si="139"/>
        <v>12137.330365741434</v>
      </c>
      <c r="J497" s="360">
        <f t="shared" si="139"/>
        <v>0</v>
      </c>
      <c r="K497" s="25">
        <f t="shared" si="142"/>
        <v>1996756.4904872987</v>
      </c>
      <c r="L497" s="759">
        <v>121</v>
      </c>
      <c r="M497" s="759">
        <f t="shared" si="143"/>
        <v>16502.119756093376</v>
      </c>
      <c r="N497" s="671">
        <v>18100</v>
      </c>
      <c r="O497" s="671"/>
      <c r="P497" s="40" t="s">
        <v>505</v>
      </c>
      <c r="Q497" s="774">
        <v>40870</v>
      </c>
      <c r="R497" s="775"/>
      <c r="S497" s="301">
        <v>61</v>
      </c>
      <c r="T497" s="806">
        <v>30158</v>
      </c>
      <c r="U497" s="25">
        <f t="shared" si="144"/>
        <v>1839638</v>
      </c>
      <c r="V497" s="451"/>
      <c r="W497" s="774"/>
      <c r="X497" s="808"/>
      <c r="Y497" s="806"/>
      <c r="Z497" s="25">
        <f t="shared" si="145"/>
        <v>0</v>
      </c>
    </row>
    <row r="498" spans="1:26" ht="16.5" customHeight="1">
      <c r="A498" s="758">
        <f t="shared" si="140"/>
        <v>142</v>
      </c>
      <c r="B498" s="293" t="s">
        <v>858</v>
      </c>
      <c r="C498" s="25">
        <f t="shared" si="141"/>
        <v>1732650</v>
      </c>
      <c r="D498" s="759">
        <f t="shared" si="139"/>
        <v>39728.113424786527</v>
      </c>
      <c r="E498" s="759">
        <f t="shared" si="139"/>
        <v>12571.232906028634</v>
      </c>
      <c r="F498" s="759">
        <f t="shared" si="139"/>
        <v>27105.099835213045</v>
      </c>
      <c r="G498" s="759">
        <f t="shared" si="139"/>
        <v>2166.5058745479059</v>
      </c>
      <c r="H498" s="759">
        <f t="shared" si="139"/>
        <v>39447.21467245918</v>
      </c>
      <c r="I498" s="759">
        <f t="shared" si="139"/>
        <v>10131.16005735442</v>
      </c>
      <c r="J498" s="360">
        <f t="shared" si="139"/>
        <v>0</v>
      </c>
      <c r="K498" s="25">
        <f t="shared" si="142"/>
        <v>1863798.3267703899</v>
      </c>
      <c r="L498" s="759">
        <v>101</v>
      </c>
      <c r="M498" s="759">
        <f t="shared" si="143"/>
        <v>18453.448779904851</v>
      </c>
      <c r="N498" s="671">
        <v>23260</v>
      </c>
      <c r="O498" s="671"/>
      <c r="P498" s="40" t="s">
        <v>502</v>
      </c>
      <c r="Q498" s="774">
        <v>40870</v>
      </c>
      <c r="R498" s="775"/>
      <c r="S498" s="301">
        <v>50</v>
      </c>
      <c r="T498" s="806">
        <v>34653</v>
      </c>
      <c r="U498" s="25">
        <f t="shared" si="144"/>
        <v>1732650</v>
      </c>
      <c r="V498" s="451"/>
      <c r="W498" s="774"/>
      <c r="X498" s="808"/>
      <c r="Y498" s="806"/>
      <c r="Z498" s="25">
        <f t="shared" si="145"/>
        <v>0</v>
      </c>
    </row>
    <row r="499" spans="1:26" ht="16.5" customHeight="1">
      <c r="A499" s="758">
        <f t="shared" si="140"/>
        <v>143</v>
      </c>
      <c r="B499" s="293" t="s">
        <v>859</v>
      </c>
      <c r="C499" s="25">
        <f t="shared" si="141"/>
        <v>2101528</v>
      </c>
      <c r="D499" s="759">
        <f t="shared" si="139"/>
        <v>47595.066578209604</v>
      </c>
      <c r="E499" s="759">
        <f t="shared" si="139"/>
        <v>15060.585956727375</v>
      </c>
      <c r="F499" s="759">
        <f t="shared" si="139"/>
        <v>32472.446337235429</v>
      </c>
      <c r="G499" s="759">
        <f t="shared" si="139"/>
        <v>2595.5169388148179</v>
      </c>
      <c r="H499" s="759">
        <f t="shared" si="139"/>
        <v>47258.544310569909</v>
      </c>
      <c r="I499" s="759">
        <f t="shared" si="139"/>
        <v>12137.330365741434</v>
      </c>
      <c r="J499" s="360">
        <f t="shared" si="139"/>
        <v>0</v>
      </c>
      <c r="K499" s="25">
        <f t="shared" si="142"/>
        <v>2258646.4904872985</v>
      </c>
      <c r="L499" s="759">
        <v>121</v>
      </c>
      <c r="M499" s="759">
        <f t="shared" si="143"/>
        <v>18666.49992138263</v>
      </c>
      <c r="N499" s="671">
        <v>20090</v>
      </c>
      <c r="O499" s="671"/>
      <c r="P499" s="188" t="s">
        <v>436</v>
      </c>
      <c r="Q499" s="774">
        <v>40870</v>
      </c>
      <c r="R499" s="775"/>
      <c r="S499" s="301">
        <f>L499</f>
        <v>121</v>
      </c>
      <c r="T499" s="806">
        <v>17368</v>
      </c>
      <c r="U499" s="25">
        <f t="shared" si="144"/>
        <v>2101528</v>
      </c>
      <c r="V499" s="451"/>
      <c r="W499" s="774"/>
      <c r="X499" s="808"/>
      <c r="Y499" s="806"/>
      <c r="Z499" s="25">
        <f t="shared" si="145"/>
        <v>0</v>
      </c>
    </row>
    <row r="500" spans="1:26" ht="16.5" customHeight="1">
      <c r="A500" s="758">
        <f t="shared" si="140"/>
        <v>144</v>
      </c>
      <c r="B500" s="293" t="s">
        <v>860</v>
      </c>
      <c r="C500" s="25">
        <f t="shared" si="141"/>
        <v>3347538</v>
      </c>
      <c r="D500" s="759">
        <f t="shared" si="139"/>
        <v>87323.18000299613</v>
      </c>
      <c r="E500" s="759">
        <f t="shared" si="139"/>
        <v>27631.818862756008</v>
      </c>
      <c r="F500" s="759">
        <f t="shared" si="139"/>
        <v>59577.546172448478</v>
      </c>
      <c r="G500" s="759">
        <f t="shared" si="139"/>
        <v>4762.0228133627243</v>
      </c>
      <c r="H500" s="759">
        <f t="shared" si="139"/>
        <v>86705.758983029082</v>
      </c>
      <c r="I500" s="759">
        <f t="shared" si="139"/>
        <v>22268.490423095856</v>
      </c>
      <c r="J500" s="360">
        <f t="shared" si="139"/>
        <v>0</v>
      </c>
      <c r="K500" s="25">
        <f t="shared" si="142"/>
        <v>3635805.8172576879</v>
      </c>
      <c r="L500" s="759">
        <v>222</v>
      </c>
      <c r="M500" s="759">
        <f t="shared" si="143"/>
        <v>16377.503681340937</v>
      </c>
      <c r="N500" s="671">
        <v>18170</v>
      </c>
      <c r="O500" s="671"/>
      <c r="P500" s="40" t="s">
        <v>505</v>
      </c>
      <c r="Q500" s="774">
        <v>40870</v>
      </c>
      <c r="R500" s="775"/>
      <c r="S500" s="301">
        <f>L500/2</f>
        <v>111</v>
      </c>
      <c r="T500" s="806">
        <v>30158</v>
      </c>
      <c r="U500" s="25">
        <f t="shared" si="144"/>
        <v>3347538</v>
      </c>
      <c r="V500" s="451"/>
      <c r="W500" s="774"/>
      <c r="X500" s="808"/>
      <c r="Y500" s="806"/>
      <c r="Z500" s="25">
        <f t="shared" si="145"/>
        <v>0</v>
      </c>
    </row>
    <row r="501" spans="1:26" ht="16.5" customHeight="1">
      <c r="A501" s="758">
        <f t="shared" si="140"/>
        <v>145</v>
      </c>
      <c r="B501" s="293" t="s">
        <v>861</v>
      </c>
      <c r="C501" s="25">
        <f t="shared" si="141"/>
        <v>1920996</v>
      </c>
      <c r="D501" s="759">
        <f t="shared" si="139"/>
        <v>47595.066578209604</v>
      </c>
      <c r="E501" s="759">
        <f t="shared" si="139"/>
        <v>15060.585956727375</v>
      </c>
      <c r="F501" s="759">
        <f t="shared" si="139"/>
        <v>32472.446337235429</v>
      </c>
      <c r="G501" s="759">
        <f t="shared" si="139"/>
        <v>2595.5169388148179</v>
      </c>
      <c r="H501" s="759">
        <f t="shared" si="139"/>
        <v>47258.544310569909</v>
      </c>
      <c r="I501" s="759">
        <f t="shared" si="139"/>
        <v>12137.330365741434</v>
      </c>
      <c r="J501" s="360">
        <f t="shared" si="139"/>
        <v>0</v>
      </c>
      <c r="K501" s="25">
        <f t="shared" si="142"/>
        <v>2078114.4904872987</v>
      </c>
      <c r="L501" s="759">
        <v>121</v>
      </c>
      <c r="M501" s="759">
        <f t="shared" si="143"/>
        <v>17174.499921382634</v>
      </c>
      <c r="N501" s="671">
        <v>19420</v>
      </c>
      <c r="O501" s="671"/>
      <c r="P501" s="40" t="s">
        <v>501</v>
      </c>
      <c r="Q501" s="774">
        <v>40870</v>
      </c>
      <c r="R501" s="775"/>
      <c r="S501" s="301">
        <f>L501/2</f>
        <v>60.5</v>
      </c>
      <c r="T501" s="806">
        <v>31752</v>
      </c>
      <c r="U501" s="25">
        <f t="shared" si="144"/>
        <v>1920996</v>
      </c>
      <c r="V501" s="451"/>
      <c r="W501" s="774"/>
      <c r="X501" s="808"/>
      <c r="Y501" s="806"/>
      <c r="Z501" s="25">
        <f t="shared" si="145"/>
        <v>0</v>
      </c>
    </row>
    <row r="502" spans="1:26" ht="16.5" customHeight="1">
      <c r="A502" s="758">
        <f t="shared" si="140"/>
        <v>146</v>
      </c>
      <c r="B502" s="293" t="s">
        <v>862</v>
      </c>
      <c r="C502" s="25">
        <f t="shared" si="141"/>
        <v>1603476</v>
      </c>
      <c r="D502" s="759">
        <f t="shared" si="139"/>
        <v>39728.113424786527</v>
      </c>
      <c r="E502" s="759">
        <f t="shared" si="139"/>
        <v>12571.232906028634</v>
      </c>
      <c r="F502" s="759">
        <f t="shared" si="139"/>
        <v>27105.099835213045</v>
      </c>
      <c r="G502" s="759">
        <f t="shared" si="139"/>
        <v>2166.5058745479059</v>
      </c>
      <c r="H502" s="759">
        <f t="shared" si="139"/>
        <v>39447.21467245918</v>
      </c>
      <c r="I502" s="759">
        <f t="shared" si="139"/>
        <v>10131.16005735442</v>
      </c>
      <c r="J502" s="360">
        <f t="shared" si="139"/>
        <v>0</v>
      </c>
      <c r="K502" s="25">
        <f t="shared" si="142"/>
        <v>1734624.3267703899</v>
      </c>
      <c r="L502" s="759">
        <v>101</v>
      </c>
      <c r="M502" s="759">
        <f t="shared" si="143"/>
        <v>17174.498284855345</v>
      </c>
      <c r="N502" s="671">
        <v>19450</v>
      </c>
      <c r="O502" s="671"/>
      <c r="P502" s="40" t="s">
        <v>501</v>
      </c>
      <c r="Q502" s="774">
        <v>40870</v>
      </c>
      <c r="R502" s="775"/>
      <c r="S502" s="301">
        <f>L502/2</f>
        <v>50.5</v>
      </c>
      <c r="T502" s="806">
        <v>31752</v>
      </c>
      <c r="U502" s="25">
        <f t="shared" si="144"/>
        <v>1603476</v>
      </c>
      <c r="V502" s="451"/>
      <c r="W502" s="774"/>
      <c r="X502" s="808"/>
      <c r="Y502" s="806"/>
      <c r="Z502" s="25">
        <f t="shared" si="145"/>
        <v>0</v>
      </c>
    </row>
    <row r="503" spans="1:26" ht="16.5" customHeight="1">
      <c r="A503" s="758">
        <f t="shared" si="140"/>
        <v>147</v>
      </c>
      <c r="B503" s="293" t="s">
        <v>863</v>
      </c>
      <c r="C503" s="25">
        <f t="shared" si="141"/>
        <v>102327</v>
      </c>
      <c r="D503" s="759">
        <f t="shared" si="139"/>
        <v>173859.66469064995</v>
      </c>
      <c r="E503" s="759">
        <f t="shared" si="139"/>
        <v>55014.70242044214</v>
      </c>
      <c r="F503" s="759">
        <f t="shared" si="139"/>
        <v>118618.35769469471</v>
      </c>
      <c r="G503" s="759">
        <f t="shared" si="139"/>
        <v>9481.1445202987561</v>
      </c>
      <c r="H503" s="759">
        <f t="shared" si="139"/>
        <v>172630.38500224709</v>
      </c>
      <c r="I503" s="759">
        <f t="shared" si="139"/>
        <v>44336.363815353012</v>
      </c>
      <c r="J503" s="360">
        <f t="shared" si="139"/>
        <v>0</v>
      </c>
      <c r="K503" s="25">
        <f t="shared" si="142"/>
        <v>676266.61814368563</v>
      </c>
      <c r="L503" s="759">
        <v>442</v>
      </c>
      <c r="M503" s="759">
        <f t="shared" si="143"/>
        <v>1530.0149731757595</v>
      </c>
      <c r="N503" s="671">
        <v>1150</v>
      </c>
      <c r="O503" s="671"/>
      <c r="P503" s="188" t="s">
        <v>382</v>
      </c>
      <c r="Q503" s="774">
        <v>40870</v>
      </c>
      <c r="R503" s="775"/>
      <c r="S503" s="301">
        <v>23</v>
      </c>
      <c r="T503" s="806">
        <v>4449</v>
      </c>
      <c r="U503" s="25">
        <f t="shared" si="144"/>
        <v>102327</v>
      </c>
      <c r="V503" s="451"/>
      <c r="W503" s="774"/>
      <c r="X503" s="808"/>
      <c r="Y503" s="806"/>
      <c r="Z503" s="25">
        <f t="shared" si="145"/>
        <v>0</v>
      </c>
    </row>
    <row r="504" spans="1:26" ht="16.5" customHeight="1">
      <c r="A504" s="758">
        <f t="shared" si="140"/>
        <v>148</v>
      </c>
      <c r="B504" s="293" t="s">
        <v>864</v>
      </c>
      <c r="C504" s="25">
        <f t="shared" si="141"/>
        <v>57837</v>
      </c>
      <c r="D504" s="759">
        <f t="shared" si="139"/>
        <v>95190.133156419208</v>
      </c>
      <c r="E504" s="759">
        <f t="shared" si="139"/>
        <v>30121.171913454749</v>
      </c>
      <c r="F504" s="759">
        <f t="shared" si="139"/>
        <v>64944.892674470859</v>
      </c>
      <c r="G504" s="759">
        <f t="shared" si="139"/>
        <v>5191.0338776296358</v>
      </c>
      <c r="H504" s="759">
        <f t="shared" si="139"/>
        <v>94517.088621139817</v>
      </c>
      <c r="I504" s="759">
        <f t="shared" si="139"/>
        <v>24274.660731482869</v>
      </c>
      <c r="J504" s="360">
        <f t="shared" si="139"/>
        <v>0</v>
      </c>
      <c r="K504" s="25">
        <f t="shared" si="142"/>
        <v>372074.9809745971</v>
      </c>
      <c r="L504" s="759">
        <v>242</v>
      </c>
      <c r="M504" s="759">
        <f t="shared" si="143"/>
        <v>1537.4999213826327</v>
      </c>
      <c r="N504" s="671">
        <v>1360</v>
      </c>
      <c r="O504" s="671"/>
      <c r="P504" s="188" t="s">
        <v>382</v>
      </c>
      <c r="Q504" s="774">
        <v>40877</v>
      </c>
      <c r="R504" s="775"/>
      <c r="S504" s="301">
        <v>13</v>
      </c>
      <c r="T504" s="806">
        <v>4449</v>
      </c>
      <c r="U504" s="25">
        <f t="shared" si="144"/>
        <v>57837</v>
      </c>
      <c r="V504" s="451"/>
      <c r="W504" s="774"/>
      <c r="X504" s="808"/>
      <c r="Y504" s="806"/>
      <c r="Z504" s="25">
        <f t="shared" si="145"/>
        <v>0</v>
      </c>
    </row>
    <row r="505" spans="1:26" ht="16.5" customHeight="1">
      <c r="A505" s="758">
        <f t="shared" si="140"/>
        <v>149</v>
      </c>
      <c r="B505" s="293" t="s">
        <v>865</v>
      </c>
      <c r="C505" s="25">
        <f t="shared" si="141"/>
        <v>66735</v>
      </c>
      <c r="D505" s="759">
        <f t="shared" si="139"/>
        <v>173859.66469064995</v>
      </c>
      <c r="E505" s="759">
        <f t="shared" si="139"/>
        <v>55014.70242044214</v>
      </c>
      <c r="F505" s="759">
        <f t="shared" si="139"/>
        <v>118618.35769469471</v>
      </c>
      <c r="G505" s="759">
        <f t="shared" si="139"/>
        <v>9481.1445202987561</v>
      </c>
      <c r="H505" s="759">
        <f t="shared" si="139"/>
        <v>172630.38500224709</v>
      </c>
      <c r="I505" s="759">
        <f t="shared" si="139"/>
        <v>44336.363815353012</v>
      </c>
      <c r="J505" s="360">
        <f t="shared" si="139"/>
        <v>0</v>
      </c>
      <c r="K505" s="25">
        <f t="shared" si="142"/>
        <v>640674.61814368563</v>
      </c>
      <c r="L505" s="759">
        <v>442</v>
      </c>
      <c r="M505" s="759">
        <f t="shared" si="143"/>
        <v>1449.4900862979314</v>
      </c>
      <c r="N505" s="671">
        <v>1090</v>
      </c>
      <c r="O505" s="671"/>
      <c r="P505" s="188" t="s">
        <v>382</v>
      </c>
      <c r="Q505" s="774">
        <v>40877</v>
      </c>
      <c r="R505" s="775"/>
      <c r="S505" s="301">
        <v>15</v>
      </c>
      <c r="T505" s="806">
        <v>4449</v>
      </c>
      <c r="U505" s="25">
        <f t="shared" si="144"/>
        <v>66735</v>
      </c>
      <c r="V505" s="451"/>
      <c r="W505" s="774"/>
      <c r="X505" s="808"/>
      <c r="Y505" s="806"/>
      <c r="Z505" s="25">
        <f t="shared" si="145"/>
        <v>0</v>
      </c>
    </row>
    <row r="506" spans="1:26" ht="16.5" customHeight="1">
      <c r="A506" s="758">
        <f t="shared" si="140"/>
        <v>150</v>
      </c>
      <c r="B506" s="293" t="s">
        <v>866</v>
      </c>
      <c r="C506" s="25">
        <f t="shared" si="141"/>
        <v>49189</v>
      </c>
      <c r="D506" s="759">
        <f t="shared" si="139"/>
        <v>1966738.2883557687</v>
      </c>
      <c r="E506" s="759">
        <f t="shared" si="139"/>
        <v>622338.26267468487</v>
      </c>
      <c r="F506" s="759">
        <f t="shared" si="139"/>
        <v>1341836.6255055964</v>
      </c>
      <c r="G506" s="759">
        <f t="shared" si="139"/>
        <v>107252.76606672801</v>
      </c>
      <c r="H506" s="759">
        <f t="shared" si="139"/>
        <v>1952832.409527682</v>
      </c>
      <c r="I506" s="759">
        <f t="shared" si="139"/>
        <v>501542.57709675346</v>
      </c>
      <c r="J506" s="360">
        <f t="shared" si="139"/>
        <v>0</v>
      </c>
      <c r="K506" s="25">
        <f t="shared" si="142"/>
        <v>6541728.9292272134</v>
      </c>
      <c r="L506" s="759">
        <v>5000</v>
      </c>
      <c r="M506" s="759">
        <f t="shared" si="143"/>
        <v>1308.3457858454426</v>
      </c>
      <c r="N506" s="671">
        <v>123</v>
      </c>
      <c r="O506" s="671"/>
      <c r="P506" s="188" t="s">
        <v>499</v>
      </c>
      <c r="Q506" s="774">
        <v>40877</v>
      </c>
      <c r="R506" s="775"/>
      <c r="S506" s="301">
        <v>2</v>
      </c>
      <c r="T506" s="806">
        <v>24594.5</v>
      </c>
      <c r="U506" s="25">
        <f t="shared" si="144"/>
        <v>49189</v>
      </c>
      <c r="V506" s="451"/>
      <c r="W506" s="774"/>
      <c r="X506" s="808"/>
      <c r="Y506" s="806"/>
      <c r="Z506" s="25">
        <f t="shared" si="145"/>
        <v>0</v>
      </c>
    </row>
    <row r="507" spans="1:26" ht="16.5" customHeight="1">
      <c r="A507" s="758">
        <f t="shared" si="140"/>
        <v>151</v>
      </c>
      <c r="B507" s="293" t="s">
        <v>867</v>
      </c>
      <c r="C507" s="25">
        <f t="shared" si="141"/>
        <v>14777420</v>
      </c>
      <c r="D507" s="759">
        <f t="shared" si="139"/>
        <v>385480.70451773069</v>
      </c>
      <c r="E507" s="759">
        <f t="shared" si="139"/>
        <v>121978.29948423823</v>
      </c>
      <c r="F507" s="759">
        <f t="shared" si="139"/>
        <v>262999.97859909688</v>
      </c>
      <c r="G507" s="759">
        <f t="shared" si="139"/>
        <v>21021.54214907869</v>
      </c>
      <c r="H507" s="759">
        <f t="shared" si="139"/>
        <v>382755.15226742567</v>
      </c>
      <c r="I507" s="759">
        <f t="shared" si="139"/>
        <v>98302.345110963681</v>
      </c>
      <c r="J507" s="360">
        <f t="shared" si="139"/>
        <v>0</v>
      </c>
      <c r="K507" s="25">
        <f t="shared" si="142"/>
        <v>16049957.022128535</v>
      </c>
      <c r="L507" s="759">
        <v>980</v>
      </c>
      <c r="M507" s="759">
        <f t="shared" si="143"/>
        <v>16377.50716543728</v>
      </c>
      <c r="N507" s="671">
        <v>17900</v>
      </c>
      <c r="O507" s="671"/>
      <c r="P507" s="40" t="s">
        <v>505</v>
      </c>
      <c r="Q507" s="774">
        <v>40877</v>
      </c>
      <c r="R507" s="775"/>
      <c r="S507" s="301">
        <f>L507/2</f>
        <v>490</v>
      </c>
      <c r="T507" s="806">
        <v>30158</v>
      </c>
      <c r="U507" s="25">
        <f t="shared" si="144"/>
        <v>14777420</v>
      </c>
      <c r="V507" s="451"/>
      <c r="W507" s="774"/>
      <c r="X507" s="808"/>
      <c r="Y507" s="806"/>
      <c r="Z507" s="25">
        <f t="shared" si="145"/>
        <v>0</v>
      </c>
    </row>
    <row r="508" spans="1:26" ht="16.5" customHeight="1">
      <c r="A508" s="758">
        <f t="shared" si="140"/>
        <v>152</v>
      </c>
      <c r="B508" s="293" t="s">
        <v>868</v>
      </c>
      <c r="C508" s="25">
        <f t="shared" si="141"/>
        <v>13641600</v>
      </c>
      <c r="D508" s="759">
        <f t="shared" si="139"/>
        <v>782761.83876559592</v>
      </c>
      <c r="E508" s="759">
        <f t="shared" si="139"/>
        <v>247690.62854452457</v>
      </c>
      <c r="F508" s="759">
        <f t="shared" si="139"/>
        <v>534050.97695122729</v>
      </c>
      <c r="G508" s="759">
        <f t="shared" si="139"/>
        <v>42686.600894557749</v>
      </c>
      <c r="H508" s="759">
        <f t="shared" si="139"/>
        <v>777227.29899201752</v>
      </c>
      <c r="I508" s="759">
        <f t="shared" si="139"/>
        <v>199613.9456845079</v>
      </c>
      <c r="J508" s="360">
        <f t="shared" si="139"/>
        <v>0</v>
      </c>
      <c r="K508" s="25">
        <f t="shared" si="142"/>
        <v>16225630.289832428</v>
      </c>
      <c r="L508" s="759">
        <v>1990</v>
      </c>
      <c r="M508" s="759">
        <f t="shared" si="143"/>
        <v>8153.583060217301</v>
      </c>
      <c r="N508" s="671">
        <v>10900</v>
      </c>
      <c r="O508" s="671"/>
      <c r="P508" s="40" t="s">
        <v>513</v>
      </c>
      <c r="Q508" s="774">
        <v>40877</v>
      </c>
      <c r="R508" s="775"/>
      <c r="S508" s="301">
        <v>1050</v>
      </c>
      <c r="T508" s="806">
        <v>12992</v>
      </c>
      <c r="U508" s="25">
        <f t="shared" si="144"/>
        <v>13641600</v>
      </c>
      <c r="V508" s="451"/>
      <c r="W508" s="774"/>
      <c r="X508" s="808"/>
      <c r="Y508" s="806"/>
      <c r="Z508" s="25">
        <f t="shared" si="145"/>
        <v>0</v>
      </c>
    </row>
    <row r="509" spans="1:26" ht="16.5" customHeight="1">
      <c r="A509" s="758">
        <f t="shared" si="140"/>
        <v>153</v>
      </c>
      <c r="B509" s="191" t="s">
        <v>869</v>
      </c>
      <c r="C509" s="25">
        <f t="shared" si="141"/>
        <v>7726330</v>
      </c>
      <c r="D509" s="759">
        <f t="shared" si="139"/>
        <v>184873.39910544225</v>
      </c>
      <c r="E509" s="759">
        <f t="shared" si="139"/>
        <v>58499.796691420379</v>
      </c>
      <c r="F509" s="759">
        <f t="shared" si="139"/>
        <v>126132.64279752606</v>
      </c>
      <c r="G509" s="759">
        <f t="shared" si="139"/>
        <v>10081.760010272434</v>
      </c>
      <c r="H509" s="759">
        <f t="shared" si="139"/>
        <v>183566.24649560213</v>
      </c>
      <c r="I509" s="759">
        <f t="shared" si="139"/>
        <v>47145.002247094832</v>
      </c>
      <c r="J509" s="360">
        <f t="shared" si="139"/>
        <v>0</v>
      </c>
      <c r="K509" s="25">
        <f t="shared" si="142"/>
        <v>8336627.8473473582</v>
      </c>
      <c r="L509" s="253">
        <v>470</v>
      </c>
      <c r="M509" s="759">
        <f t="shared" si="143"/>
        <v>17737.506058185867</v>
      </c>
      <c r="N509" s="671">
        <v>22000</v>
      </c>
      <c r="O509" s="671"/>
      <c r="P509" s="40" t="s">
        <v>506</v>
      </c>
      <c r="Q509" s="190">
        <v>40896</v>
      </c>
      <c r="R509" s="775"/>
      <c r="S509" s="301">
        <f>L509/2</f>
        <v>235</v>
      </c>
      <c r="T509" s="806">
        <v>32878</v>
      </c>
      <c r="U509" s="25">
        <f t="shared" si="144"/>
        <v>7726330</v>
      </c>
      <c r="V509" s="451"/>
      <c r="W509" s="774"/>
      <c r="X509" s="808"/>
      <c r="Y509" s="806"/>
      <c r="Z509" s="25">
        <f t="shared" si="145"/>
        <v>0</v>
      </c>
    </row>
    <row r="510" spans="1:26" ht="16.5" customHeight="1">
      <c r="A510" s="758">
        <f t="shared" si="140"/>
        <v>154</v>
      </c>
      <c r="B510" s="191" t="s">
        <v>870</v>
      </c>
      <c r="C510" s="25">
        <f t="shared" si="141"/>
        <v>2331465</v>
      </c>
      <c r="D510" s="759">
        <f t="shared" si="139"/>
        <v>198640.56712393265</v>
      </c>
      <c r="E510" s="759">
        <f t="shared" si="139"/>
        <v>62856.164530143171</v>
      </c>
      <c r="F510" s="759">
        <f t="shared" si="139"/>
        <v>135525.49917606523</v>
      </c>
      <c r="G510" s="759">
        <f t="shared" si="139"/>
        <v>10832.529372739529</v>
      </c>
      <c r="H510" s="759">
        <f t="shared" si="139"/>
        <v>197236.07336229589</v>
      </c>
      <c r="I510" s="759">
        <f t="shared" si="139"/>
        <v>50655.800286772101</v>
      </c>
      <c r="J510" s="360">
        <f t="shared" si="139"/>
        <v>0</v>
      </c>
      <c r="K510" s="25">
        <f t="shared" si="142"/>
        <v>2987210.6338519491</v>
      </c>
      <c r="L510" s="253">
        <v>505</v>
      </c>
      <c r="M510" s="759">
        <f t="shared" si="143"/>
        <v>5915.2685818850478</v>
      </c>
      <c r="N510" s="671">
        <v>9500</v>
      </c>
      <c r="O510" s="671"/>
      <c r="P510" s="188" t="s">
        <v>425</v>
      </c>
      <c r="Q510" s="190">
        <v>40886</v>
      </c>
      <c r="R510" s="775"/>
      <c r="S510" s="301">
        <v>205</v>
      </c>
      <c r="T510" s="806">
        <v>11373</v>
      </c>
      <c r="U510" s="25">
        <f t="shared" si="144"/>
        <v>2331465</v>
      </c>
      <c r="V510" s="451"/>
      <c r="W510" s="774"/>
      <c r="X510" s="808"/>
      <c r="Y510" s="806"/>
      <c r="Z510" s="25">
        <f t="shared" si="145"/>
        <v>0</v>
      </c>
    </row>
    <row r="511" spans="1:26" ht="16.5" customHeight="1">
      <c r="A511" s="758">
        <f t="shared" si="140"/>
        <v>155</v>
      </c>
      <c r="B511" s="191" t="s">
        <v>834</v>
      </c>
      <c r="C511" s="25">
        <f t="shared" si="141"/>
        <v>17427</v>
      </c>
      <c r="D511" s="759">
        <f t="shared" si="139"/>
        <v>786.69531534230748</v>
      </c>
      <c r="E511" s="759">
        <f t="shared" si="139"/>
        <v>248.93530506987395</v>
      </c>
      <c r="F511" s="759">
        <f t="shared" si="139"/>
        <v>536.73465020223853</v>
      </c>
      <c r="G511" s="759">
        <f t="shared" si="139"/>
        <v>42.901106426691207</v>
      </c>
      <c r="H511" s="759">
        <f t="shared" si="139"/>
        <v>781.13296381107284</v>
      </c>
      <c r="I511" s="759">
        <f t="shared" si="139"/>
        <v>200.6170308387014</v>
      </c>
      <c r="J511" s="360">
        <f t="shared" si="139"/>
        <v>0</v>
      </c>
      <c r="K511" s="25">
        <f t="shared" si="142"/>
        <v>20023.016371690886</v>
      </c>
      <c r="L511" s="253">
        <v>2</v>
      </c>
      <c r="M511" s="759">
        <f t="shared" si="143"/>
        <v>10011.508185845443</v>
      </c>
      <c r="N511" s="671">
        <v>9449</v>
      </c>
      <c r="O511" s="671"/>
      <c r="P511" s="188" t="s">
        <v>403</v>
      </c>
      <c r="Q511" s="190">
        <v>40897</v>
      </c>
      <c r="R511" s="775"/>
      <c r="S511" s="301">
        <v>1</v>
      </c>
      <c r="T511" s="806">
        <v>17427</v>
      </c>
      <c r="U511" s="25">
        <f t="shared" si="144"/>
        <v>17427</v>
      </c>
      <c r="V511" s="451"/>
      <c r="W511" s="774"/>
      <c r="X511" s="808"/>
      <c r="Y511" s="806"/>
      <c r="Z511" s="25">
        <f t="shared" si="145"/>
        <v>0</v>
      </c>
    </row>
    <row r="512" spans="1:26" ht="16.5" customHeight="1">
      <c r="A512" s="758">
        <f t="shared" si="140"/>
        <v>156</v>
      </c>
      <c r="B512" s="191" t="s">
        <v>871</v>
      </c>
      <c r="C512" s="25">
        <f t="shared" si="141"/>
        <v>32878</v>
      </c>
      <c r="D512" s="759">
        <f t="shared" si="139"/>
        <v>1966.7382883557686</v>
      </c>
      <c r="E512" s="759">
        <f t="shared" si="139"/>
        <v>622.33826267468487</v>
      </c>
      <c r="F512" s="759">
        <f t="shared" si="139"/>
        <v>1341.8366255055962</v>
      </c>
      <c r="G512" s="759">
        <f t="shared" si="139"/>
        <v>107.25276606672801</v>
      </c>
      <c r="H512" s="759">
        <f t="shared" si="139"/>
        <v>1952.8324095276821</v>
      </c>
      <c r="I512" s="759">
        <f t="shared" si="139"/>
        <v>501.54257709675346</v>
      </c>
      <c r="J512" s="360">
        <f t="shared" si="139"/>
        <v>0</v>
      </c>
      <c r="K512" s="25">
        <f t="shared" si="142"/>
        <v>39369.540929227209</v>
      </c>
      <c r="L512" s="253">
        <v>5</v>
      </c>
      <c r="M512" s="759">
        <f t="shared" si="143"/>
        <v>7873.9081858454419</v>
      </c>
      <c r="N512" s="671">
        <v>8637</v>
      </c>
      <c r="O512" s="671"/>
      <c r="P512" s="40" t="s">
        <v>506</v>
      </c>
      <c r="Q512" s="190">
        <v>40897</v>
      </c>
      <c r="R512" s="775"/>
      <c r="S512" s="301">
        <v>1</v>
      </c>
      <c r="T512" s="806">
        <v>32878</v>
      </c>
      <c r="U512" s="25">
        <f t="shared" si="144"/>
        <v>32878</v>
      </c>
      <c r="V512" s="451"/>
      <c r="W512" s="774"/>
      <c r="X512" s="808"/>
      <c r="Y512" s="806"/>
      <c r="Z512" s="25">
        <f t="shared" si="145"/>
        <v>0</v>
      </c>
    </row>
    <row r="513" spans="1:26" ht="16.5" customHeight="1">
      <c r="A513" s="758">
        <f t="shared" si="140"/>
        <v>157</v>
      </c>
      <c r="B513" s="191" t="s">
        <v>535</v>
      </c>
      <c r="C513" s="25">
        <f t="shared" si="141"/>
        <v>349272</v>
      </c>
      <c r="D513" s="759">
        <f t="shared" si="139"/>
        <v>12980.472703148074</v>
      </c>
      <c r="E513" s="759">
        <f t="shared" si="139"/>
        <v>4107.43253365292</v>
      </c>
      <c r="F513" s="759">
        <f t="shared" si="139"/>
        <v>8856.1217283369351</v>
      </c>
      <c r="G513" s="759">
        <f t="shared" si="139"/>
        <v>707.86825604040496</v>
      </c>
      <c r="H513" s="759">
        <f t="shared" si="139"/>
        <v>12888.693902882702</v>
      </c>
      <c r="I513" s="759">
        <f t="shared" si="139"/>
        <v>3310.1810088385732</v>
      </c>
      <c r="J513" s="360">
        <f t="shared" si="139"/>
        <v>0</v>
      </c>
      <c r="K513" s="25">
        <f t="shared" si="142"/>
        <v>392121.77013289963</v>
      </c>
      <c r="L513" s="253">
        <v>33</v>
      </c>
      <c r="M513" s="759">
        <f t="shared" si="143"/>
        <v>11882.477882815141</v>
      </c>
      <c r="N513" s="671">
        <v>12946</v>
      </c>
      <c r="O513" s="671"/>
      <c r="P513" s="40" t="s">
        <v>501</v>
      </c>
      <c r="Q513" s="190">
        <v>40897</v>
      </c>
      <c r="R513" s="775"/>
      <c r="S513" s="301">
        <v>11</v>
      </c>
      <c r="T513" s="806">
        <v>31752</v>
      </c>
      <c r="U513" s="25">
        <f t="shared" si="144"/>
        <v>349272</v>
      </c>
      <c r="V513" s="451"/>
      <c r="W513" s="774"/>
      <c r="X513" s="808"/>
      <c r="Y513" s="806"/>
      <c r="Z513" s="25">
        <f t="shared" si="145"/>
        <v>0</v>
      </c>
    </row>
    <row r="514" spans="1:26" ht="16.5" customHeight="1">
      <c r="A514" s="758">
        <f t="shared" si="140"/>
        <v>158</v>
      </c>
      <c r="B514" s="191" t="s">
        <v>872</v>
      </c>
      <c r="C514" s="25">
        <f t="shared" si="141"/>
        <v>1977885</v>
      </c>
      <c r="D514" s="759">
        <f t="shared" si="139"/>
        <v>57822.105677659601</v>
      </c>
      <c r="E514" s="759">
        <f t="shared" si="139"/>
        <v>18296.744922635735</v>
      </c>
      <c r="F514" s="759">
        <f t="shared" si="139"/>
        <v>39449.996789864534</v>
      </c>
      <c r="G514" s="759">
        <f t="shared" si="139"/>
        <v>3153.2313223618039</v>
      </c>
      <c r="H514" s="759">
        <f t="shared" si="139"/>
        <v>57413.272840113852</v>
      </c>
      <c r="I514" s="759">
        <f t="shared" si="139"/>
        <v>14745.351766644553</v>
      </c>
      <c r="J514" s="360">
        <f t="shared" si="139"/>
        <v>0</v>
      </c>
      <c r="K514" s="25">
        <f t="shared" si="142"/>
        <v>2168764.7033192804</v>
      </c>
      <c r="L514" s="253">
        <v>147</v>
      </c>
      <c r="M514" s="759">
        <f t="shared" si="143"/>
        <v>14753.501383124356</v>
      </c>
      <c r="N514" s="671">
        <v>14013</v>
      </c>
      <c r="O514" s="671"/>
      <c r="P514" s="40" t="s">
        <v>514</v>
      </c>
      <c r="Q514" s="190">
        <v>40897</v>
      </c>
      <c r="R514" s="775"/>
      <c r="S514" s="301">
        <f>L514</f>
        <v>147</v>
      </c>
      <c r="T514" s="806">
        <v>13455</v>
      </c>
      <c r="U514" s="25">
        <f t="shared" si="144"/>
        <v>1977885</v>
      </c>
      <c r="V514" s="451"/>
      <c r="W514" s="774"/>
      <c r="X514" s="808"/>
      <c r="Y514" s="806"/>
      <c r="Z514" s="25">
        <f t="shared" si="145"/>
        <v>0</v>
      </c>
    </row>
    <row r="515" spans="1:26" ht="16.5" customHeight="1">
      <c r="A515" s="758">
        <f t="shared" si="140"/>
        <v>159</v>
      </c>
      <c r="B515" s="191" t="s">
        <v>873</v>
      </c>
      <c r="C515" s="25">
        <f t="shared" si="141"/>
        <v>699660</v>
      </c>
      <c r="D515" s="759">
        <f t="shared" si="139"/>
        <v>20454.078198899995</v>
      </c>
      <c r="E515" s="759">
        <f t="shared" si="139"/>
        <v>6472.3179318167222</v>
      </c>
      <c r="F515" s="759">
        <f t="shared" si="139"/>
        <v>13955.100905258201</v>
      </c>
      <c r="G515" s="759">
        <f t="shared" si="139"/>
        <v>1115.4287670939714</v>
      </c>
      <c r="H515" s="759">
        <f t="shared" si="139"/>
        <v>20309.457059087894</v>
      </c>
      <c r="I515" s="759">
        <f t="shared" si="139"/>
        <v>5216.0428018062366</v>
      </c>
      <c r="J515" s="360">
        <f t="shared" si="139"/>
        <v>0</v>
      </c>
      <c r="K515" s="25">
        <f t="shared" si="142"/>
        <v>767181.42566396296</v>
      </c>
      <c r="L515" s="253">
        <v>52</v>
      </c>
      <c r="M515" s="759">
        <f t="shared" si="143"/>
        <v>14753.488955076211</v>
      </c>
      <c r="N515" s="671">
        <v>17521</v>
      </c>
      <c r="O515" s="671"/>
      <c r="P515" s="40" t="s">
        <v>514</v>
      </c>
      <c r="Q515" s="190">
        <v>40897</v>
      </c>
      <c r="R515" s="775"/>
      <c r="S515" s="301">
        <f>L515</f>
        <v>52</v>
      </c>
      <c r="T515" s="806">
        <v>13455</v>
      </c>
      <c r="U515" s="25">
        <f t="shared" si="144"/>
        <v>699660</v>
      </c>
      <c r="V515" s="451"/>
      <c r="W515" s="774"/>
      <c r="X515" s="808"/>
      <c r="Y515" s="806"/>
      <c r="Z515" s="25">
        <f t="shared" si="145"/>
        <v>0</v>
      </c>
    </row>
    <row r="516" spans="1:26" ht="16.5" customHeight="1">
      <c r="A516" s="758">
        <f t="shared" si="140"/>
        <v>160</v>
      </c>
      <c r="B516" s="191" t="s">
        <v>874</v>
      </c>
      <c r="C516" s="25">
        <f t="shared" si="141"/>
        <v>1006622</v>
      </c>
      <c r="D516" s="759">
        <f t="shared" si="139"/>
        <v>23994.207117940379</v>
      </c>
      <c r="E516" s="759">
        <f t="shared" si="139"/>
        <v>7592.5268046311558</v>
      </c>
      <c r="F516" s="759">
        <f t="shared" si="139"/>
        <v>16370.406831168275</v>
      </c>
      <c r="G516" s="759">
        <f t="shared" si="139"/>
        <v>1308.4837460140818</v>
      </c>
      <c r="H516" s="759">
        <f t="shared" si="139"/>
        <v>23824.555396237723</v>
      </c>
      <c r="I516" s="759">
        <f t="shared" si="139"/>
        <v>6118.8194405803924</v>
      </c>
      <c r="J516" s="360">
        <f t="shared" si="139"/>
        <v>0</v>
      </c>
      <c r="K516" s="25">
        <f t="shared" si="142"/>
        <v>1085829.9993365719</v>
      </c>
      <c r="L516" s="253">
        <v>61</v>
      </c>
      <c r="M516" s="759">
        <f t="shared" si="143"/>
        <v>17800.49179240282</v>
      </c>
      <c r="N516" s="671">
        <v>18867</v>
      </c>
      <c r="O516" s="671"/>
      <c r="P516" s="40" t="s">
        <v>508</v>
      </c>
      <c r="Q516" s="190">
        <v>40897</v>
      </c>
      <c r="R516" s="775"/>
      <c r="S516" s="301">
        <v>61</v>
      </c>
      <c r="T516" s="806">
        <v>16502</v>
      </c>
      <c r="U516" s="25">
        <f t="shared" si="144"/>
        <v>1006622</v>
      </c>
      <c r="V516" s="451"/>
      <c r="W516" s="774"/>
      <c r="X516" s="808"/>
      <c r="Y516" s="806"/>
      <c r="Z516" s="25">
        <f t="shared" si="145"/>
        <v>0</v>
      </c>
    </row>
    <row r="517" spans="1:26" ht="16.5" customHeight="1">
      <c r="A517" s="758">
        <f t="shared" si="140"/>
        <v>161</v>
      </c>
      <c r="B517" s="191" t="s">
        <v>875</v>
      </c>
      <c r="C517" s="25">
        <f t="shared" si="141"/>
        <v>8398655</v>
      </c>
      <c r="D517" s="759">
        <f t="shared" si="139"/>
        <v>198640.56712393265</v>
      </c>
      <c r="E517" s="759">
        <f t="shared" si="139"/>
        <v>62856.164530143171</v>
      </c>
      <c r="F517" s="759">
        <f t="shared" si="139"/>
        <v>135525.49917606523</v>
      </c>
      <c r="G517" s="759">
        <f t="shared" si="139"/>
        <v>10832.529372739529</v>
      </c>
      <c r="H517" s="759">
        <f t="shared" si="139"/>
        <v>197236.07336229589</v>
      </c>
      <c r="I517" s="759">
        <f t="shared" si="139"/>
        <v>50655.800286772101</v>
      </c>
      <c r="J517" s="360">
        <f t="shared" si="139"/>
        <v>0</v>
      </c>
      <c r="K517" s="25">
        <f t="shared" si="142"/>
        <v>9054400.6338519473</v>
      </c>
      <c r="L517" s="253">
        <v>505</v>
      </c>
      <c r="M517" s="759">
        <f t="shared" si="143"/>
        <v>17929.50620564742</v>
      </c>
      <c r="N517" s="671">
        <v>18984</v>
      </c>
      <c r="O517" s="671"/>
      <c r="P517" s="40" t="s">
        <v>515</v>
      </c>
      <c r="Q517" s="190">
        <v>40897</v>
      </c>
      <c r="R517" s="775"/>
      <c r="S517" s="301">
        <f>L517</f>
        <v>505</v>
      </c>
      <c r="T517" s="806">
        <v>16631</v>
      </c>
      <c r="U517" s="25">
        <f t="shared" si="144"/>
        <v>8398655</v>
      </c>
      <c r="V517" s="451"/>
      <c r="W517" s="774"/>
      <c r="X517" s="808"/>
      <c r="Y517" s="806"/>
      <c r="Z517" s="25">
        <f t="shared" si="145"/>
        <v>0</v>
      </c>
    </row>
    <row r="518" spans="1:26" ht="16.5" customHeight="1">
      <c r="A518" s="758">
        <f t="shared" si="140"/>
        <v>162</v>
      </c>
      <c r="B518" s="191" t="s">
        <v>876</v>
      </c>
      <c r="C518" s="25">
        <f t="shared" si="141"/>
        <v>607194</v>
      </c>
      <c r="D518" s="759">
        <f t="shared" si="139"/>
        <v>23994.207117940379</v>
      </c>
      <c r="E518" s="759">
        <f t="shared" si="139"/>
        <v>7592.5268046311558</v>
      </c>
      <c r="F518" s="759">
        <f t="shared" si="139"/>
        <v>16370.406831168275</v>
      </c>
      <c r="G518" s="759">
        <f t="shared" si="139"/>
        <v>1308.4837460140818</v>
      </c>
      <c r="H518" s="759">
        <f t="shared" si="139"/>
        <v>23824.555396237723</v>
      </c>
      <c r="I518" s="759">
        <f t="shared" ref="D518:J555" si="146">IF($L$599&lt;&gt;0,I$599/$L$599*$L518,0)</f>
        <v>6118.8194405803924</v>
      </c>
      <c r="J518" s="360">
        <f t="shared" si="146"/>
        <v>0</v>
      </c>
      <c r="K518" s="25">
        <f t="shared" si="142"/>
        <v>686401.99933657201</v>
      </c>
      <c r="L518" s="253">
        <v>61</v>
      </c>
      <c r="M518" s="759">
        <f t="shared" si="143"/>
        <v>11252.49179240282</v>
      </c>
      <c r="N518" s="671">
        <v>12799</v>
      </c>
      <c r="O518" s="671"/>
      <c r="P518" s="188" t="s">
        <v>494</v>
      </c>
      <c r="Q518" s="190">
        <v>40897</v>
      </c>
      <c r="R518" s="775"/>
      <c r="S518" s="301">
        <f>L518</f>
        <v>61</v>
      </c>
      <c r="T518" s="806">
        <v>9954</v>
      </c>
      <c r="U518" s="25">
        <f t="shared" si="144"/>
        <v>607194</v>
      </c>
      <c r="V518" s="451"/>
      <c r="W518" s="774"/>
      <c r="X518" s="808"/>
      <c r="Y518" s="806"/>
      <c r="Z518" s="25">
        <f t="shared" si="145"/>
        <v>0</v>
      </c>
    </row>
    <row r="519" spans="1:26" ht="16.5" customHeight="1">
      <c r="A519" s="758">
        <f t="shared" si="140"/>
        <v>163</v>
      </c>
      <c r="B519" s="191" t="s">
        <v>534</v>
      </c>
      <c r="C519" s="25">
        <f t="shared" si="141"/>
        <v>34854</v>
      </c>
      <c r="D519" s="759">
        <f t="shared" si="146"/>
        <v>1573.390630684615</v>
      </c>
      <c r="E519" s="759">
        <f t="shared" si="146"/>
        <v>497.8706101397479</v>
      </c>
      <c r="F519" s="759">
        <f t="shared" si="146"/>
        <v>1073.4693004044771</v>
      </c>
      <c r="G519" s="759">
        <f t="shared" si="146"/>
        <v>85.802212853382414</v>
      </c>
      <c r="H519" s="759">
        <f t="shared" si="146"/>
        <v>1562.2659276221457</v>
      </c>
      <c r="I519" s="759">
        <f t="shared" si="146"/>
        <v>401.23406167740279</v>
      </c>
      <c r="J519" s="360">
        <f t="shared" si="146"/>
        <v>0</v>
      </c>
      <c r="K519" s="25">
        <f t="shared" si="142"/>
        <v>40047.032743381773</v>
      </c>
      <c r="L519" s="253">
        <v>4</v>
      </c>
      <c r="M519" s="759">
        <f t="shared" si="143"/>
        <v>10011.758185845443</v>
      </c>
      <c r="N519" s="671">
        <v>11321</v>
      </c>
      <c r="O519" s="671"/>
      <c r="P519" s="188" t="s">
        <v>403</v>
      </c>
      <c r="Q519" s="190">
        <v>40897</v>
      </c>
      <c r="R519" s="775"/>
      <c r="S519" s="301">
        <v>2</v>
      </c>
      <c r="T519" s="806">
        <v>17427</v>
      </c>
      <c r="U519" s="25">
        <f t="shared" si="144"/>
        <v>34854</v>
      </c>
      <c r="V519" s="451"/>
      <c r="W519" s="774"/>
      <c r="X519" s="808"/>
      <c r="Y519" s="806"/>
      <c r="Z519" s="25">
        <f t="shared" si="145"/>
        <v>0</v>
      </c>
    </row>
    <row r="520" spans="1:26" ht="16.5" customHeight="1">
      <c r="A520" s="758">
        <f t="shared" si="140"/>
        <v>164</v>
      </c>
      <c r="B520" s="191" t="s">
        <v>877</v>
      </c>
      <c r="C520" s="25">
        <f t="shared" si="141"/>
        <v>278832</v>
      </c>
      <c r="D520" s="759">
        <f t="shared" si="146"/>
        <v>6293.5625227384598</v>
      </c>
      <c r="E520" s="759">
        <f t="shared" si="146"/>
        <v>1991.4824405589916</v>
      </c>
      <c r="F520" s="759">
        <f t="shared" si="146"/>
        <v>4293.8772016179082</v>
      </c>
      <c r="G520" s="759">
        <f t="shared" si="146"/>
        <v>343.20885141352966</v>
      </c>
      <c r="H520" s="759">
        <f t="shared" si="146"/>
        <v>6249.0637104885827</v>
      </c>
      <c r="I520" s="759">
        <f t="shared" si="146"/>
        <v>1604.9362467096112</v>
      </c>
      <c r="J520" s="360">
        <f t="shared" si="146"/>
        <v>0</v>
      </c>
      <c r="K520" s="25">
        <f t="shared" si="142"/>
        <v>299607.13097352715</v>
      </c>
      <c r="L520" s="253">
        <v>16</v>
      </c>
      <c r="M520" s="759">
        <f t="shared" si="143"/>
        <v>18725.445685845447</v>
      </c>
      <c r="N520" s="671">
        <v>18928</v>
      </c>
      <c r="O520" s="671"/>
      <c r="P520" s="188" t="s">
        <v>403</v>
      </c>
      <c r="Q520" s="190">
        <v>40897</v>
      </c>
      <c r="R520" s="775"/>
      <c r="S520" s="301">
        <f>L520</f>
        <v>16</v>
      </c>
      <c r="T520" s="806">
        <v>17427</v>
      </c>
      <c r="U520" s="25">
        <f t="shared" si="144"/>
        <v>278832</v>
      </c>
      <c r="V520" s="451"/>
      <c r="W520" s="774"/>
      <c r="X520" s="808"/>
      <c r="Y520" s="806"/>
      <c r="Z520" s="25">
        <f t="shared" si="145"/>
        <v>0</v>
      </c>
    </row>
    <row r="521" spans="1:26" ht="16.5" customHeight="1">
      <c r="A521" s="758">
        <f t="shared" si="140"/>
        <v>165</v>
      </c>
      <c r="B521" s="191" t="s">
        <v>878</v>
      </c>
      <c r="C521" s="25">
        <f t="shared" si="141"/>
        <v>154430</v>
      </c>
      <c r="D521" s="759">
        <f t="shared" si="146"/>
        <v>3933.4765767115373</v>
      </c>
      <c r="E521" s="759">
        <f t="shared" si="146"/>
        <v>1244.6765253493697</v>
      </c>
      <c r="F521" s="759">
        <f t="shared" si="146"/>
        <v>2683.6732510111924</v>
      </c>
      <c r="G521" s="759">
        <f t="shared" si="146"/>
        <v>214.50553213345603</v>
      </c>
      <c r="H521" s="759">
        <f t="shared" si="146"/>
        <v>3905.6648190553642</v>
      </c>
      <c r="I521" s="759">
        <f t="shared" si="146"/>
        <v>1003.0851541935069</v>
      </c>
      <c r="J521" s="360">
        <f t="shared" si="146"/>
        <v>0</v>
      </c>
      <c r="K521" s="25">
        <f t="shared" si="142"/>
        <v>167414.08185845445</v>
      </c>
      <c r="L521" s="253">
        <v>10</v>
      </c>
      <c r="M521" s="759">
        <f t="shared" si="143"/>
        <v>16741.408185845445</v>
      </c>
      <c r="N521" s="671">
        <v>15524</v>
      </c>
      <c r="O521" s="671"/>
      <c r="P521" s="40" t="s">
        <v>509</v>
      </c>
      <c r="Q521" s="190">
        <v>40897</v>
      </c>
      <c r="R521" s="775"/>
      <c r="S521" s="301">
        <f>L521</f>
        <v>10</v>
      </c>
      <c r="T521" s="806">
        <v>15443</v>
      </c>
      <c r="U521" s="25">
        <f t="shared" si="144"/>
        <v>154430</v>
      </c>
      <c r="V521" s="451"/>
      <c r="W521" s="774"/>
      <c r="X521" s="808"/>
      <c r="Y521" s="806"/>
      <c r="Z521" s="25">
        <f t="shared" si="145"/>
        <v>0</v>
      </c>
    </row>
    <row r="522" spans="1:26" ht="16.5" customHeight="1">
      <c r="A522" s="758">
        <f t="shared" si="140"/>
        <v>166</v>
      </c>
      <c r="B522" s="191" t="s">
        <v>879</v>
      </c>
      <c r="C522" s="25">
        <f t="shared" si="141"/>
        <v>2737530</v>
      </c>
      <c r="D522" s="759">
        <f t="shared" si="146"/>
        <v>52708.586127934599</v>
      </c>
      <c r="E522" s="759">
        <f t="shared" si="146"/>
        <v>16678.665439681554</v>
      </c>
      <c r="F522" s="759">
        <f t="shared" si="146"/>
        <v>35961.221563549982</v>
      </c>
      <c r="G522" s="759">
        <f t="shared" si="146"/>
        <v>2874.3741305883109</v>
      </c>
      <c r="H522" s="759">
        <f t="shared" si="146"/>
        <v>52335.908575341877</v>
      </c>
      <c r="I522" s="759">
        <f t="shared" si="146"/>
        <v>13441.341066192994</v>
      </c>
      <c r="J522" s="360">
        <f t="shared" si="146"/>
        <v>0</v>
      </c>
      <c r="K522" s="25">
        <f t="shared" si="142"/>
        <v>2911529.0969032897</v>
      </c>
      <c r="L522" s="253">
        <v>134</v>
      </c>
      <c r="M522" s="759">
        <f t="shared" si="143"/>
        <v>21727.829081367832</v>
      </c>
      <c r="N522" s="671">
        <v>24159</v>
      </c>
      <c r="O522" s="671"/>
      <c r="P522" s="40" t="s">
        <v>503</v>
      </c>
      <c r="Q522" s="190">
        <v>40897</v>
      </c>
      <c r="R522" s="775"/>
      <c r="S522" s="301">
        <v>135</v>
      </c>
      <c r="T522" s="806">
        <v>20278</v>
      </c>
      <c r="U522" s="25">
        <f t="shared" si="144"/>
        <v>2737530</v>
      </c>
      <c r="V522" s="451"/>
      <c r="W522" s="774"/>
      <c r="X522" s="808"/>
      <c r="Y522" s="806"/>
      <c r="Z522" s="25">
        <f t="shared" si="145"/>
        <v>0</v>
      </c>
    </row>
    <row r="523" spans="1:26" ht="16.5" customHeight="1">
      <c r="A523" s="758">
        <f t="shared" si="140"/>
        <v>167</v>
      </c>
      <c r="B523" s="191" t="s">
        <v>818</v>
      </c>
      <c r="C523" s="25">
        <f t="shared" si="141"/>
        <v>3000465</v>
      </c>
      <c r="D523" s="759">
        <f t="shared" si="146"/>
        <v>87716.527660667285</v>
      </c>
      <c r="E523" s="759">
        <f t="shared" si="146"/>
        <v>27756.286515290943</v>
      </c>
      <c r="F523" s="759">
        <f t="shared" si="146"/>
        <v>59845.913497549598</v>
      </c>
      <c r="G523" s="759">
        <f t="shared" si="146"/>
        <v>4783.4733665760696</v>
      </c>
      <c r="H523" s="759">
        <f t="shared" si="146"/>
        <v>87096.32546493462</v>
      </c>
      <c r="I523" s="759">
        <f t="shared" si="146"/>
        <v>22368.798938515207</v>
      </c>
      <c r="J523" s="360">
        <f t="shared" si="146"/>
        <v>0</v>
      </c>
      <c r="K523" s="25">
        <f t="shared" si="142"/>
        <v>3290031.3254435337</v>
      </c>
      <c r="L523" s="253">
        <v>223</v>
      </c>
      <c r="M523" s="759">
        <f t="shared" si="143"/>
        <v>14753.503701540511</v>
      </c>
      <c r="N523" s="671">
        <v>14535</v>
      </c>
      <c r="O523" s="671"/>
      <c r="P523" s="40" t="s">
        <v>514</v>
      </c>
      <c r="Q523" s="190">
        <v>40897</v>
      </c>
      <c r="R523" s="775"/>
      <c r="S523" s="301">
        <f t="shared" ref="S523:S531" si="147">L523</f>
        <v>223</v>
      </c>
      <c r="T523" s="806">
        <v>13455</v>
      </c>
      <c r="U523" s="25">
        <f t="shared" si="144"/>
        <v>3000465</v>
      </c>
      <c r="V523" s="451"/>
      <c r="W523" s="774"/>
      <c r="X523" s="808"/>
      <c r="Y523" s="806"/>
      <c r="Z523" s="25">
        <f t="shared" si="145"/>
        <v>0</v>
      </c>
    </row>
    <row r="524" spans="1:26" ht="16.5" customHeight="1">
      <c r="A524" s="758">
        <f t="shared" si="140"/>
        <v>168</v>
      </c>
      <c r="B524" s="191" t="s">
        <v>880</v>
      </c>
      <c r="C524" s="25">
        <f t="shared" si="141"/>
        <v>173740</v>
      </c>
      <c r="D524" s="759">
        <f t="shared" si="146"/>
        <v>3933.4765767115373</v>
      </c>
      <c r="E524" s="759">
        <f t="shared" si="146"/>
        <v>1244.6765253493697</v>
      </c>
      <c r="F524" s="759">
        <f t="shared" si="146"/>
        <v>2683.6732510111924</v>
      </c>
      <c r="G524" s="759">
        <f t="shared" si="146"/>
        <v>214.50553213345603</v>
      </c>
      <c r="H524" s="759">
        <f t="shared" si="146"/>
        <v>3905.6648190553642</v>
      </c>
      <c r="I524" s="759">
        <f t="shared" si="146"/>
        <v>1003.0851541935069</v>
      </c>
      <c r="J524" s="360">
        <f t="shared" si="146"/>
        <v>0</v>
      </c>
      <c r="K524" s="25">
        <f t="shared" si="142"/>
        <v>186724.08185845445</v>
      </c>
      <c r="L524" s="253">
        <v>10</v>
      </c>
      <c r="M524" s="759">
        <f t="shared" si="143"/>
        <v>18672.408185845445</v>
      </c>
      <c r="N524" s="671">
        <v>19562</v>
      </c>
      <c r="O524" s="671"/>
      <c r="P524" s="40" t="s">
        <v>466</v>
      </c>
      <c r="Q524" s="190">
        <v>40897</v>
      </c>
      <c r="R524" s="775"/>
      <c r="S524" s="301">
        <f t="shared" si="147"/>
        <v>10</v>
      </c>
      <c r="T524" s="289">
        <v>17374</v>
      </c>
      <c r="U524" s="25">
        <f t="shared" si="144"/>
        <v>173740</v>
      </c>
      <c r="V524" s="451"/>
      <c r="W524" s="774"/>
      <c r="X524" s="808"/>
      <c r="Y524" s="806"/>
      <c r="Z524" s="25">
        <f t="shared" si="145"/>
        <v>0</v>
      </c>
    </row>
    <row r="525" spans="1:26" ht="16.5" customHeight="1">
      <c r="A525" s="758">
        <f t="shared" si="140"/>
        <v>169</v>
      </c>
      <c r="B525" s="191" t="s">
        <v>815</v>
      </c>
      <c r="C525" s="25">
        <f t="shared" si="141"/>
        <v>308860</v>
      </c>
      <c r="D525" s="759">
        <f t="shared" si="146"/>
        <v>7866.9531534230746</v>
      </c>
      <c r="E525" s="759">
        <f t="shared" si="146"/>
        <v>2489.3530506987395</v>
      </c>
      <c r="F525" s="759">
        <f t="shared" si="146"/>
        <v>5367.3465020223848</v>
      </c>
      <c r="G525" s="759">
        <f t="shared" si="146"/>
        <v>429.01106426691206</v>
      </c>
      <c r="H525" s="759">
        <f t="shared" si="146"/>
        <v>7811.3296381107284</v>
      </c>
      <c r="I525" s="759">
        <f t="shared" si="146"/>
        <v>2006.1703083870138</v>
      </c>
      <c r="J525" s="360">
        <f t="shared" si="146"/>
        <v>0</v>
      </c>
      <c r="K525" s="25">
        <f t="shared" si="142"/>
        <v>334829.16371690889</v>
      </c>
      <c r="L525" s="253">
        <v>20</v>
      </c>
      <c r="M525" s="759">
        <f t="shared" si="143"/>
        <v>16741.458185845444</v>
      </c>
      <c r="N525" s="671">
        <v>16832</v>
      </c>
      <c r="O525" s="671"/>
      <c r="P525" s="40" t="s">
        <v>509</v>
      </c>
      <c r="Q525" s="190">
        <v>40897</v>
      </c>
      <c r="R525" s="775"/>
      <c r="S525" s="301">
        <f t="shared" si="147"/>
        <v>20</v>
      </c>
      <c r="T525" s="806">
        <v>15443</v>
      </c>
      <c r="U525" s="25">
        <f t="shared" si="144"/>
        <v>308860</v>
      </c>
      <c r="V525" s="451"/>
      <c r="W525" s="774"/>
      <c r="X525" s="808"/>
      <c r="Y525" s="806"/>
      <c r="Z525" s="25">
        <f t="shared" si="145"/>
        <v>0</v>
      </c>
    </row>
    <row r="526" spans="1:26" ht="16.5" customHeight="1">
      <c r="A526" s="758">
        <f t="shared" si="140"/>
        <v>170</v>
      </c>
      <c r="B526" s="191" t="s">
        <v>828</v>
      </c>
      <c r="C526" s="25">
        <f t="shared" si="141"/>
        <v>26910</v>
      </c>
      <c r="D526" s="759">
        <f t="shared" si="146"/>
        <v>786.69531534230748</v>
      </c>
      <c r="E526" s="759">
        <f t="shared" si="146"/>
        <v>248.93530506987395</v>
      </c>
      <c r="F526" s="759">
        <f t="shared" si="146"/>
        <v>536.73465020223853</v>
      </c>
      <c r="G526" s="759">
        <f t="shared" si="146"/>
        <v>42.901106426691207</v>
      </c>
      <c r="H526" s="759">
        <f t="shared" si="146"/>
        <v>781.13296381107284</v>
      </c>
      <c r="I526" s="759">
        <f t="shared" si="146"/>
        <v>200.6170308387014</v>
      </c>
      <c r="J526" s="360">
        <f t="shared" si="146"/>
        <v>0</v>
      </c>
      <c r="K526" s="25">
        <f t="shared" si="142"/>
        <v>29506.016371690886</v>
      </c>
      <c r="L526" s="253">
        <v>2</v>
      </c>
      <c r="M526" s="759">
        <f t="shared" si="143"/>
        <v>14753.008185845443</v>
      </c>
      <c r="N526" s="671">
        <v>14836</v>
      </c>
      <c r="O526" s="671"/>
      <c r="P526" s="40" t="s">
        <v>514</v>
      </c>
      <c r="Q526" s="190">
        <v>40897</v>
      </c>
      <c r="R526" s="775"/>
      <c r="S526" s="301">
        <f t="shared" si="147"/>
        <v>2</v>
      </c>
      <c r="T526" s="806">
        <v>13455</v>
      </c>
      <c r="U526" s="25">
        <f t="shared" si="144"/>
        <v>26910</v>
      </c>
      <c r="V526" s="451"/>
      <c r="W526" s="774"/>
      <c r="X526" s="808"/>
      <c r="Y526" s="806"/>
      <c r="Z526" s="25">
        <f t="shared" si="145"/>
        <v>0</v>
      </c>
    </row>
    <row r="527" spans="1:26" ht="16.5" customHeight="1">
      <c r="A527" s="758">
        <f t="shared" si="140"/>
        <v>171</v>
      </c>
      <c r="B527" s="191" t="s">
        <v>881</v>
      </c>
      <c r="C527" s="25">
        <f t="shared" si="141"/>
        <v>6584746</v>
      </c>
      <c r="D527" s="759">
        <f t="shared" si="146"/>
        <v>149078.76225736726</v>
      </c>
      <c r="E527" s="759">
        <f t="shared" si="146"/>
        <v>47173.240310741116</v>
      </c>
      <c r="F527" s="759">
        <f t="shared" si="146"/>
        <v>101711.21621332419</v>
      </c>
      <c r="G527" s="759">
        <f t="shared" si="146"/>
        <v>8129.7596678579839</v>
      </c>
      <c r="H527" s="759">
        <f t="shared" si="146"/>
        <v>148024.69664219831</v>
      </c>
      <c r="I527" s="759">
        <f t="shared" si="146"/>
        <v>38016.927343933916</v>
      </c>
      <c r="J527" s="360">
        <f t="shared" si="146"/>
        <v>0</v>
      </c>
      <c r="K527" s="25">
        <f t="shared" si="142"/>
        <v>7076879.6024354221</v>
      </c>
      <c r="L527" s="253">
        <v>379</v>
      </c>
      <c r="M527" s="759">
        <f t="shared" si="143"/>
        <v>18672.505547323013</v>
      </c>
      <c r="N527" s="671">
        <v>22739</v>
      </c>
      <c r="O527" s="671"/>
      <c r="P527" s="40" t="s">
        <v>466</v>
      </c>
      <c r="Q527" s="190">
        <v>40897</v>
      </c>
      <c r="R527" s="775"/>
      <c r="S527" s="301">
        <f t="shared" si="147"/>
        <v>379</v>
      </c>
      <c r="T527" s="806">
        <v>17374</v>
      </c>
      <c r="U527" s="25">
        <f t="shared" si="144"/>
        <v>6584746</v>
      </c>
      <c r="V527" s="451"/>
      <c r="W527" s="774"/>
      <c r="X527" s="808"/>
      <c r="Y527" s="806"/>
      <c r="Z527" s="25">
        <f t="shared" si="145"/>
        <v>0</v>
      </c>
    </row>
    <row r="528" spans="1:26" ht="16.5" customHeight="1">
      <c r="A528" s="758">
        <f t="shared" si="140"/>
        <v>172</v>
      </c>
      <c r="B528" s="191" t="s">
        <v>882</v>
      </c>
      <c r="C528" s="25">
        <f t="shared" si="141"/>
        <v>1363742</v>
      </c>
      <c r="D528" s="759">
        <f t="shared" si="146"/>
        <v>32254.507929034608</v>
      </c>
      <c r="E528" s="759">
        <f t="shared" si="146"/>
        <v>10206.347507864832</v>
      </c>
      <c r="F528" s="759">
        <f t="shared" si="146"/>
        <v>22006.12065829178</v>
      </c>
      <c r="G528" s="759">
        <f t="shared" si="146"/>
        <v>1758.9453634943395</v>
      </c>
      <c r="H528" s="759">
        <f t="shared" si="146"/>
        <v>32026.451516253986</v>
      </c>
      <c r="I528" s="759">
        <f t="shared" si="146"/>
        <v>8225.2982643867581</v>
      </c>
      <c r="J528" s="360">
        <f t="shared" si="146"/>
        <v>0</v>
      </c>
      <c r="K528" s="25">
        <f t="shared" si="142"/>
        <v>1470218.6712393262</v>
      </c>
      <c r="L528" s="253">
        <v>82</v>
      </c>
      <c r="M528" s="759">
        <f t="shared" si="143"/>
        <v>17929.495990723492</v>
      </c>
      <c r="N528" s="671">
        <v>23012</v>
      </c>
      <c r="O528" s="671"/>
      <c r="P528" s="40" t="s">
        <v>515</v>
      </c>
      <c r="Q528" s="190">
        <v>40897</v>
      </c>
      <c r="R528" s="775"/>
      <c r="S528" s="301">
        <f t="shared" si="147"/>
        <v>82</v>
      </c>
      <c r="T528" s="806">
        <v>16631</v>
      </c>
      <c r="U528" s="25">
        <f t="shared" si="144"/>
        <v>1363742</v>
      </c>
      <c r="V528" s="451"/>
      <c r="W528" s="774"/>
      <c r="X528" s="808"/>
      <c r="Y528" s="806"/>
      <c r="Z528" s="25">
        <f t="shared" si="145"/>
        <v>0</v>
      </c>
    </row>
    <row r="529" spans="1:26" ht="16.5" customHeight="1">
      <c r="A529" s="758">
        <f t="shared" si="140"/>
        <v>173</v>
      </c>
      <c r="B529" s="191" t="s">
        <v>883</v>
      </c>
      <c r="C529" s="25">
        <f t="shared" si="141"/>
        <v>968760</v>
      </c>
      <c r="D529" s="759">
        <f t="shared" si="146"/>
        <v>28321.031352323069</v>
      </c>
      <c r="E529" s="759">
        <f t="shared" si="146"/>
        <v>8961.6709825154612</v>
      </c>
      <c r="F529" s="759">
        <f t="shared" si="146"/>
        <v>19322.447407280586</v>
      </c>
      <c r="G529" s="759">
        <f t="shared" si="146"/>
        <v>1544.4398313608835</v>
      </c>
      <c r="H529" s="759">
        <f t="shared" si="146"/>
        <v>28120.786697198622</v>
      </c>
      <c r="I529" s="759">
        <f t="shared" si="146"/>
        <v>7222.21311019325</v>
      </c>
      <c r="J529" s="360">
        <f t="shared" si="146"/>
        <v>0</v>
      </c>
      <c r="K529" s="25">
        <f t="shared" si="142"/>
        <v>1062251.5893808717</v>
      </c>
      <c r="L529" s="253">
        <v>72</v>
      </c>
      <c r="M529" s="759">
        <f t="shared" si="143"/>
        <v>14753.494296956553</v>
      </c>
      <c r="N529" s="671">
        <v>15805</v>
      </c>
      <c r="O529" s="671"/>
      <c r="P529" s="40" t="s">
        <v>514</v>
      </c>
      <c r="Q529" s="190">
        <v>40897</v>
      </c>
      <c r="R529" s="775"/>
      <c r="S529" s="301">
        <f t="shared" si="147"/>
        <v>72</v>
      </c>
      <c r="T529" s="806">
        <v>13455</v>
      </c>
      <c r="U529" s="25">
        <f t="shared" si="144"/>
        <v>968760</v>
      </c>
      <c r="V529" s="451"/>
      <c r="W529" s="774"/>
      <c r="X529" s="808"/>
      <c r="Y529" s="806"/>
      <c r="Z529" s="25">
        <f t="shared" si="145"/>
        <v>0</v>
      </c>
    </row>
    <row r="530" spans="1:26" ht="16.5" customHeight="1">
      <c r="A530" s="758">
        <f t="shared" si="140"/>
        <v>174</v>
      </c>
      <c r="B530" s="191" t="s">
        <v>884</v>
      </c>
      <c r="C530" s="25">
        <f t="shared" si="141"/>
        <v>699660</v>
      </c>
      <c r="D530" s="759">
        <f t="shared" si="146"/>
        <v>20454.078198899995</v>
      </c>
      <c r="E530" s="759">
        <f t="shared" si="146"/>
        <v>6472.3179318167222</v>
      </c>
      <c r="F530" s="759">
        <f t="shared" si="146"/>
        <v>13955.100905258201</v>
      </c>
      <c r="G530" s="759">
        <f t="shared" si="146"/>
        <v>1115.4287670939714</v>
      </c>
      <c r="H530" s="759">
        <f t="shared" si="146"/>
        <v>20309.457059087894</v>
      </c>
      <c r="I530" s="759">
        <f t="shared" si="146"/>
        <v>5216.0428018062366</v>
      </c>
      <c r="J530" s="360">
        <f t="shared" si="146"/>
        <v>0</v>
      </c>
      <c r="K530" s="25">
        <f t="shared" si="142"/>
        <v>767181.42566396296</v>
      </c>
      <c r="L530" s="253">
        <v>52</v>
      </c>
      <c r="M530" s="759">
        <f t="shared" si="143"/>
        <v>14753.488955076211</v>
      </c>
      <c r="N530" s="671">
        <v>15264</v>
      </c>
      <c r="O530" s="671"/>
      <c r="P530" s="40" t="s">
        <v>514</v>
      </c>
      <c r="Q530" s="190">
        <v>40897</v>
      </c>
      <c r="R530" s="775"/>
      <c r="S530" s="301">
        <f t="shared" si="147"/>
        <v>52</v>
      </c>
      <c r="T530" s="806">
        <v>13455</v>
      </c>
      <c r="U530" s="25">
        <f t="shared" si="144"/>
        <v>699660</v>
      </c>
      <c r="V530" s="451"/>
      <c r="W530" s="774"/>
      <c r="X530" s="808"/>
      <c r="Y530" s="806"/>
      <c r="Z530" s="25">
        <f t="shared" si="145"/>
        <v>0</v>
      </c>
    </row>
    <row r="531" spans="1:26" ht="16.5" customHeight="1">
      <c r="A531" s="758">
        <f t="shared" si="140"/>
        <v>175</v>
      </c>
      <c r="B531" s="191" t="s">
        <v>885</v>
      </c>
      <c r="C531" s="25">
        <f t="shared" si="141"/>
        <v>686205</v>
      </c>
      <c r="D531" s="759">
        <f t="shared" si="146"/>
        <v>20060.730541228841</v>
      </c>
      <c r="E531" s="759">
        <f t="shared" si="146"/>
        <v>6347.8502792817853</v>
      </c>
      <c r="F531" s="759">
        <f t="shared" si="146"/>
        <v>13686.733580157083</v>
      </c>
      <c r="G531" s="759">
        <f t="shared" si="146"/>
        <v>1093.9782138806258</v>
      </c>
      <c r="H531" s="759">
        <f t="shared" si="146"/>
        <v>19918.890577182356</v>
      </c>
      <c r="I531" s="759">
        <f t="shared" si="146"/>
        <v>5115.7342863868853</v>
      </c>
      <c r="J531" s="360">
        <f t="shared" si="146"/>
        <v>0</v>
      </c>
      <c r="K531" s="25">
        <f t="shared" si="142"/>
        <v>752427.91747811751</v>
      </c>
      <c r="L531" s="253">
        <v>51</v>
      </c>
      <c r="M531" s="759">
        <f t="shared" si="143"/>
        <v>14753.488578002303</v>
      </c>
      <c r="N531" s="671">
        <v>16123</v>
      </c>
      <c r="O531" s="671"/>
      <c r="P531" s="40" t="s">
        <v>514</v>
      </c>
      <c r="Q531" s="190">
        <v>40897</v>
      </c>
      <c r="R531" s="775"/>
      <c r="S531" s="301">
        <f t="shared" si="147"/>
        <v>51</v>
      </c>
      <c r="T531" s="806">
        <v>13455</v>
      </c>
      <c r="U531" s="25">
        <f t="shared" si="144"/>
        <v>686205</v>
      </c>
      <c r="V531" s="451"/>
      <c r="W531" s="774"/>
      <c r="X531" s="808"/>
      <c r="Y531" s="806"/>
      <c r="Z531" s="25">
        <f t="shared" si="145"/>
        <v>0</v>
      </c>
    </row>
    <row r="532" spans="1:26" ht="16.5" customHeight="1">
      <c r="A532" s="758">
        <f t="shared" si="140"/>
        <v>176</v>
      </c>
      <c r="B532" s="191" t="s">
        <v>886</v>
      </c>
      <c r="C532" s="25">
        <f t="shared" si="141"/>
        <v>838389</v>
      </c>
      <c r="D532" s="759">
        <f t="shared" si="146"/>
        <v>20060.730541228841</v>
      </c>
      <c r="E532" s="759">
        <f t="shared" si="146"/>
        <v>6347.8502792817853</v>
      </c>
      <c r="F532" s="759">
        <f t="shared" si="146"/>
        <v>13686.733580157083</v>
      </c>
      <c r="G532" s="759">
        <f t="shared" si="146"/>
        <v>1093.9782138806258</v>
      </c>
      <c r="H532" s="759">
        <f t="shared" si="146"/>
        <v>19918.890577182356</v>
      </c>
      <c r="I532" s="759">
        <f t="shared" si="146"/>
        <v>5115.7342863868853</v>
      </c>
      <c r="J532" s="360">
        <f t="shared" si="146"/>
        <v>0</v>
      </c>
      <c r="K532" s="25">
        <f t="shared" si="142"/>
        <v>904611.91747811751</v>
      </c>
      <c r="L532" s="253">
        <v>51</v>
      </c>
      <c r="M532" s="759">
        <f t="shared" si="143"/>
        <v>17737.488578002303</v>
      </c>
      <c r="N532" s="671">
        <v>19891</v>
      </c>
      <c r="O532" s="671"/>
      <c r="P532" s="40" t="s">
        <v>506</v>
      </c>
      <c r="Q532" s="190">
        <v>40897</v>
      </c>
      <c r="R532" s="775"/>
      <c r="S532" s="301">
        <f>L532/2</f>
        <v>25.5</v>
      </c>
      <c r="T532" s="806">
        <v>32878</v>
      </c>
      <c r="U532" s="25">
        <f t="shared" si="144"/>
        <v>838389</v>
      </c>
      <c r="V532" s="451"/>
      <c r="W532" s="774"/>
      <c r="X532" s="808"/>
      <c r="Y532" s="806"/>
      <c r="Z532" s="25">
        <f t="shared" si="145"/>
        <v>0</v>
      </c>
    </row>
    <row r="533" spans="1:26" ht="16.5" customHeight="1">
      <c r="A533" s="758">
        <f t="shared" si="140"/>
        <v>177</v>
      </c>
      <c r="B533" s="191" t="s">
        <v>887</v>
      </c>
      <c r="C533" s="25">
        <f t="shared" si="141"/>
        <v>937023</v>
      </c>
      <c r="D533" s="759">
        <f t="shared" si="146"/>
        <v>22420.816487255765</v>
      </c>
      <c r="E533" s="759">
        <f t="shared" si="146"/>
        <v>7094.6561944914074</v>
      </c>
      <c r="F533" s="759">
        <f t="shared" si="146"/>
        <v>15296.937530763798</v>
      </c>
      <c r="G533" s="759">
        <f t="shared" si="146"/>
        <v>1222.6815331606995</v>
      </c>
      <c r="H533" s="759">
        <f t="shared" si="146"/>
        <v>22262.289468615578</v>
      </c>
      <c r="I533" s="759">
        <f t="shared" si="146"/>
        <v>5717.5853789029898</v>
      </c>
      <c r="J533" s="360">
        <f t="shared" si="146"/>
        <v>0</v>
      </c>
      <c r="K533" s="25">
        <f t="shared" si="142"/>
        <v>1011036.9665931902</v>
      </c>
      <c r="L533" s="253">
        <v>57</v>
      </c>
      <c r="M533" s="759">
        <f t="shared" si="143"/>
        <v>17737.490641985794</v>
      </c>
      <c r="N533" s="671">
        <v>20859</v>
      </c>
      <c r="O533" s="671"/>
      <c r="P533" s="40" t="s">
        <v>506</v>
      </c>
      <c r="Q533" s="190">
        <v>40897</v>
      </c>
      <c r="R533" s="775"/>
      <c r="S533" s="301">
        <f>L533/2</f>
        <v>28.5</v>
      </c>
      <c r="T533" s="806">
        <v>32878</v>
      </c>
      <c r="U533" s="25">
        <f t="shared" si="144"/>
        <v>937023</v>
      </c>
      <c r="V533" s="451"/>
      <c r="W533" s="774"/>
      <c r="X533" s="808"/>
      <c r="Y533" s="806"/>
      <c r="Z533" s="25">
        <f t="shared" si="145"/>
        <v>0</v>
      </c>
    </row>
    <row r="534" spans="1:26" ht="16.5" customHeight="1">
      <c r="A534" s="758">
        <f t="shared" si="140"/>
        <v>178</v>
      </c>
      <c r="B534" s="191" t="s">
        <v>854</v>
      </c>
      <c r="C534" s="25">
        <f t="shared" si="141"/>
        <v>34748</v>
      </c>
      <c r="D534" s="759">
        <f t="shared" si="146"/>
        <v>59002.148650673058</v>
      </c>
      <c r="E534" s="759">
        <f t="shared" si="146"/>
        <v>18670.147880240547</v>
      </c>
      <c r="F534" s="759">
        <f t="shared" si="146"/>
        <v>40255.098765167888</v>
      </c>
      <c r="G534" s="759">
        <f t="shared" si="146"/>
        <v>3217.5829820018407</v>
      </c>
      <c r="H534" s="759">
        <f t="shared" si="146"/>
        <v>58584.972285830459</v>
      </c>
      <c r="I534" s="759">
        <f t="shared" si="146"/>
        <v>15046.277312902605</v>
      </c>
      <c r="J534" s="360">
        <f t="shared" si="146"/>
        <v>0</v>
      </c>
      <c r="K534" s="25">
        <f t="shared" si="142"/>
        <v>229523.22787681641</v>
      </c>
      <c r="L534" s="253">
        <v>150</v>
      </c>
      <c r="M534" s="759">
        <f t="shared" si="143"/>
        <v>1530.1548525121093</v>
      </c>
      <c r="N534" s="671">
        <v>963</v>
      </c>
      <c r="O534" s="671"/>
      <c r="P534" s="40" t="s">
        <v>466</v>
      </c>
      <c r="Q534" s="190">
        <v>40897</v>
      </c>
      <c r="R534" s="775"/>
      <c r="S534" s="301">
        <v>2</v>
      </c>
      <c r="T534" s="806">
        <v>17374</v>
      </c>
      <c r="U534" s="25">
        <f t="shared" si="144"/>
        <v>34748</v>
      </c>
      <c r="V534" s="451"/>
      <c r="W534" s="774"/>
      <c r="X534" s="808"/>
      <c r="Y534" s="806"/>
      <c r="Z534" s="25">
        <f t="shared" si="145"/>
        <v>0</v>
      </c>
    </row>
    <row r="535" spans="1:26" ht="16.5" customHeight="1">
      <c r="A535" s="758">
        <f t="shared" si="140"/>
        <v>179</v>
      </c>
      <c r="B535" s="191" t="s">
        <v>845</v>
      </c>
      <c r="C535" s="25">
        <f t="shared" si="141"/>
        <v>108101</v>
      </c>
      <c r="D535" s="759">
        <f t="shared" si="146"/>
        <v>123904.51216641343</v>
      </c>
      <c r="E535" s="759">
        <f t="shared" si="146"/>
        <v>39207.310548505149</v>
      </c>
      <c r="F535" s="759">
        <f t="shared" si="146"/>
        <v>84535.707406852569</v>
      </c>
      <c r="G535" s="759">
        <f t="shared" si="146"/>
        <v>6756.9242622038655</v>
      </c>
      <c r="H535" s="759">
        <f t="shared" si="146"/>
        <v>123028.44180024398</v>
      </c>
      <c r="I535" s="759">
        <f t="shared" si="146"/>
        <v>31597.182357095469</v>
      </c>
      <c r="J535" s="360">
        <f t="shared" si="146"/>
        <v>0</v>
      </c>
      <c r="K535" s="25">
        <f t="shared" si="142"/>
        <v>517130.07854131446</v>
      </c>
      <c r="L535" s="253">
        <v>315</v>
      </c>
      <c r="M535" s="759">
        <f t="shared" si="143"/>
        <v>1641.6827890200459</v>
      </c>
      <c r="N535" s="671">
        <v>1025</v>
      </c>
      <c r="O535" s="671"/>
      <c r="P535" s="40" t="s">
        <v>509</v>
      </c>
      <c r="Q535" s="190">
        <v>40897</v>
      </c>
      <c r="R535" s="775"/>
      <c r="S535" s="301">
        <v>7</v>
      </c>
      <c r="T535" s="806">
        <v>15443</v>
      </c>
      <c r="U535" s="25">
        <f t="shared" si="144"/>
        <v>108101</v>
      </c>
      <c r="V535" s="451"/>
      <c r="W535" s="774"/>
      <c r="X535" s="808"/>
      <c r="Y535" s="806"/>
      <c r="Z535" s="25">
        <f t="shared" si="145"/>
        <v>0</v>
      </c>
    </row>
    <row r="536" spans="1:26" ht="16.5" customHeight="1">
      <c r="A536" s="758">
        <f t="shared" si="140"/>
        <v>180</v>
      </c>
      <c r="B536" s="191" t="s">
        <v>847</v>
      </c>
      <c r="C536" s="25">
        <f t="shared" si="141"/>
        <v>69496</v>
      </c>
      <c r="D536" s="759">
        <f t="shared" si="146"/>
        <v>47201.718920538449</v>
      </c>
      <c r="E536" s="759">
        <f t="shared" si="146"/>
        <v>14936.118304192438</v>
      </c>
      <c r="F536" s="759">
        <f t="shared" si="146"/>
        <v>32204.079012134313</v>
      </c>
      <c r="G536" s="759">
        <f t="shared" si="146"/>
        <v>2574.0663856014726</v>
      </c>
      <c r="H536" s="759">
        <f t="shared" si="146"/>
        <v>46867.97782866437</v>
      </c>
      <c r="I536" s="759">
        <f t="shared" si="146"/>
        <v>12037.021850322084</v>
      </c>
      <c r="J536" s="360">
        <f t="shared" si="146"/>
        <v>0</v>
      </c>
      <c r="K536" s="25">
        <f t="shared" si="142"/>
        <v>225315.98230145313</v>
      </c>
      <c r="L536" s="253">
        <v>120</v>
      </c>
      <c r="M536" s="759">
        <f t="shared" si="143"/>
        <v>1877.6331858454428</v>
      </c>
      <c r="N536" s="671">
        <v>1152</v>
      </c>
      <c r="O536" s="671"/>
      <c r="P536" s="40" t="s">
        <v>466</v>
      </c>
      <c r="Q536" s="190">
        <v>40897</v>
      </c>
      <c r="R536" s="775"/>
      <c r="S536" s="301">
        <v>4</v>
      </c>
      <c r="T536" s="806">
        <v>17374</v>
      </c>
      <c r="U536" s="25">
        <f t="shared" si="144"/>
        <v>69496</v>
      </c>
      <c r="V536" s="451"/>
      <c r="W536" s="774"/>
      <c r="X536" s="808"/>
      <c r="Y536" s="806"/>
      <c r="Z536" s="25">
        <f t="shared" si="145"/>
        <v>0</v>
      </c>
    </row>
    <row r="537" spans="1:26" ht="16.5" customHeight="1">
      <c r="A537" s="758">
        <f t="shared" si="140"/>
        <v>181</v>
      </c>
      <c r="B537" s="191" t="s">
        <v>844</v>
      </c>
      <c r="C537" s="25">
        <f t="shared" si="141"/>
        <v>69496</v>
      </c>
      <c r="D537" s="759">
        <f t="shared" si="146"/>
        <v>47201.718920538449</v>
      </c>
      <c r="E537" s="759">
        <f t="shared" si="146"/>
        <v>14936.118304192438</v>
      </c>
      <c r="F537" s="759">
        <f t="shared" si="146"/>
        <v>32204.079012134313</v>
      </c>
      <c r="G537" s="759">
        <f t="shared" si="146"/>
        <v>2574.0663856014726</v>
      </c>
      <c r="H537" s="759">
        <f t="shared" si="146"/>
        <v>46867.97782866437</v>
      </c>
      <c r="I537" s="759">
        <f t="shared" si="146"/>
        <v>12037.021850322084</v>
      </c>
      <c r="J537" s="360">
        <f t="shared" si="146"/>
        <v>0</v>
      </c>
      <c r="K537" s="25">
        <f t="shared" si="142"/>
        <v>225315.98230145313</v>
      </c>
      <c r="L537" s="253">
        <v>120</v>
      </c>
      <c r="M537" s="759">
        <f t="shared" si="143"/>
        <v>1877.6331858454428</v>
      </c>
      <c r="N537" s="671">
        <v>1087</v>
      </c>
      <c r="O537" s="671"/>
      <c r="P537" s="40" t="s">
        <v>466</v>
      </c>
      <c r="Q537" s="190">
        <v>40897</v>
      </c>
      <c r="R537" s="775"/>
      <c r="S537" s="301">
        <v>4</v>
      </c>
      <c r="T537" s="806">
        <v>17374</v>
      </c>
      <c r="U537" s="25">
        <f t="shared" si="144"/>
        <v>69496</v>
      </c>
      <c r="V537" s="451"/>
      <c r="W537" s="774"/>
      <c r="X537" s="808"/>
      <c r="Y537" s="806"/>
      <c r="Z537" s="25">
        <f t="shared" si="145"/>
        <v>0</v>
      </c>
    </row>
    <row r="538" spans="1:26" ht="16.5" customHeight="1">
      <c r="A538" s="758">
        <f t="shared" si="140"/>
        <v>182</v>
      </c>
      <c r="B538" s="191" t="s">
        <v>888</v>
      </c>
      <c r="C538" s="25">
        <f t="shared" si="141"/>
        <v>232740</v>
      </c>
      <c r="D538" s="759">
        <f t="shared" si="146"/>
        <v>106990.56288655382</v>
      </c>
      <c r="E538" s="759">
        <f t="shared" si="146"/>
        <v>33855.201489502855</v>
      </c>
      <c r="F538" s="759">
        <f t="shared" si="146"/>
        <v>72995.912427504445</v>
      </c>
      <c r="G538" s="759">
        <f t="shared" si="146"/>
        <v>5834.5504740300039</v>
      </c>
      <c r="H538" s="759">
        <f t="shared" si="146"/>
        <v>106234.08307830591</v>
      </c>
      <c r="I538" s="759">
        <f t="shared" si="146"/>
        <v>27283.916194063389</v>
      </c>
      <c r="J538" s="360">
        <f t="shared" si="146"/>
        <v>0</v>
      </c>
      <c r="K538" s="25">
        <f t="shared" si="142"/>
        <v>585933.22654996044</v>
      </c>
      <c r="L538" s="253">
        <v>272</v>
      </c>
      <c r="M538" s="759">
        <f t="shared" si="143"/>
        <v>2154.1662740807369</v>
      </c>
      <c r="N538" s="671">
        <v>1254</v>
      </c>
      <c r="O538" s="671"/>
      <c r="P538" s="188" t="s">
        <v>415</v>
      </c>
      <c r="Q538" s="190">
        <v>40897</v>
      </c>
      <c r="R538" s="775"/>
      <c r="S538" s="301">
        <v>27</v>
      </c>
      <c r="T538" s="806">
        <v>8620</v>
      </c>
      <c r="U538" s="25">
        <f t="shared" si="144"/>
        <v>232740</v>
      </c>
      <c r="V538" s="451"/>
      <c r="W538" s="774"/>
      <c r="X538" s="808"/>
      <c r="Y538" s="806"/>
      <c r="Z538" s="25">
        <f t="shared" si="145"/>
        <v>0</v>
      </c>
    </row>
    <row r="539" spans="1:26" ht="16.5" customHeight="1">
      <c r="A539" s="758">
        <f t="shared" si="140"/>
        <v>183</v>
      </c>
      <c r="B539" s="191" t="s">
        <v>853</v>
      </c>
      <c r="C539" s="25">
        <f t="shared" si="141"/>
        <v>17374</v>
      </c>
      <c r="D539" s="759">
        <f t="shared" si="146"/>
        <v>11800.429730134612</v>
      </c>
      <c r="E539" s="759">
        <f t="shared" si="146"/>
        <v>3734.0295760481094</v>
      </c>
      <c r="F539" s="759">
        <f t="shared" si="146"/>
        <v>8051.0197530335781</v>
      </c>
      <c r="G539" s="759">
        <f t="shared" si="146"/>
        <v>643.51659640036814</v>
      </c>
      <c r="H539" s="759">
        <f t="shared" si="146"/>
        <v>11716.994457166093</v>
      </c>
      <c r="I539" s="759">
        <f t="shared" si="146"/>
        <v>3009.255462580521</v>
      </c>
      <c r="J539" s="360">
        <f t="shared" si="146"/>
        <v>0</v>
      </c>
      <c r="K539" s="25">
        <f t="shared" si="142"/>
        <v>56328.245575363282</v>
      </c>
      <c r="L539" s="253">
        <v>30</v>
      </c>
      <c r="M539" s="759">
        <f t="shared" si="143"/>
        <v>1877.6081858454427</v>
      </c>
      <c r="N539" s="671">
        <v>1384</v>
      </c>
      <c r="O539" s="671"/>
      <c r="P539" s="40" t="s">
        <v>466</v>
      </c>
      <c r="Q539" s="190">
        <v>40897</v>
      </c>
      <c r="R539" s="775"/>
      <c r="S539" s="301">
        <v>1</v>
      </c>
      <c r="T539" s="806">
        <v>17374</v>
      </c>
      <c r="U539" s="25">
        <f t="shared" si="144"/>
        <v>17374</v>
      </c>
      <c r="V539" s="451"/>
      <c r="W539" s="774"/>
      <c r="X539" s="808"/>
      <c r="Y539" s="806"/>
      <c r="Z539" s="25">
        <f t="shared" si="145"/>
        <v>0</v>
      </c>
    </row>
    <row r="540" spans="1:26" ht="16.5" customHeight="1">
      <c r="A540" s="758">
        <f t="shared" si="140"/>
        <v>184</v>
      </c>
      <c r="B540" s="191" t="s">
        <v>889</v>
      </c>
      <c r="C540" s="25">
        <f t="shared" si="141"/>
        <v>34748</v>
      </c>
      <c r="D540" s="759">
        <f t="shared" si="146"/>
        <v>23600.859460269225</v>
      </c>
      <c r="E540" s="759">
        <f t="shared" si="146"/>
        <v>7468.0591520962189</v>
      </c>
      <c r="F540" s="759">
        <f t="shared" si="146"/>
        <v>16102.039506067156</v>
      </c>
      <c r="G540" s="759">
        <f t="shared" si="146"/>
        <v>1287.0331928007363</v>
      </c>
      <c r="H540" s="759">
        <f t="shared" si="146"/>
        <v>23433.988914332185</v>
      </c>
      <c r="I540" s="759">
        <f t="shared" si="146"/>
        <v>6018.510925161042</v>
      </c>
      <c r="J540" s="360">
        <f t="shared" si="146"/>
        <v>0</v>
      </c>
      <c r="K540" s="25">
        <f t="shared" si="142"/>
        <v>112657.49115072656</v>
      </c>
      <c r="L540" s="253">
        <v>60</v>
      </c>
      <c r="M540" s="759">
        <f t="shared" si="143"/>
        <v>1877.6248525121093</v>
      </c>
      <c r="N540" s="671">
        <v>1220</v>
      </c>
      <c r="O540" s="671"/>
      <c r="P540" s="40" t="s">
        <v>466</v>
      </c>
      <c r="Q540" s="190">
        <v>40897</v>
      </c>
      <c r="R540" s="775"/>
      <c r="S540" s="301">
        <v>2</v>
      </c>
      <c r="T540" s="806">
        <v>17374</v>
      </c>
      <c r="U540" s="25">
        <f t="shared" si="144"/>
        <v>34748</v>
      </c>
      <c r="V540" s="451"/>
      <c r="W540" s="774"/>
      <c r="X540" s="808"/>
      <c r="Y540" s="806"/>
      <c r="Z540" s="25">
        <f t="shared" si="145"/>
        <v>0</v>
      </c>
    </row>
    <row r="541" spans="1:26" ht="16.5" customHeight="1">
      <c r="A541" s="758">
        <f t="shared" si="140"/>
        <v>185</v>
      </c>
      <c r="B541" s="191" t="s">
        <v>849</v>
      </c>
      <c r="C541" s="25">
        <f t="shared" si="141"/>
        <v>82510</v>
      </c>
      <c r="D541" s="759">
        <f t="shared" si="146"/>
        <v>59002.148650673058</v>
      </c>
      <c r="E541" s="759">
        <f t="shared" si="146"/>
        <v>18670.147880240547</v>
      </c>
      <c r="F541" s="759">
        <f t="shared" si="146"/>
        <v>40255.098765167888</v>
      </c>
      <c r="G541" s="759">
        <f t="shared" si="146"/>
        <v>3217.5829820018407</v>
      </c>
      <c r="H541" s="759">
        <f t="shared" si="146"/>
        <v>58584.972285830459</v>
      </c>
      <c r="I541" s="759">
        <f t="shared" si="146"/>
        <v>15046.277312902605</v>
      </c>
      <c r="J541" s="360">
        <f t="shared" si="146"/>
        <v>0</v>
      </c>
      <c r="K541" s="25">
        <f t="shared" si="142"/>
        <v>277285.22787681641</v>
      </c>
      <c r="L541" s="253">
        <v>150</v>
      </c>
      <c r="M541" s="759">
        <f t="shared" si="143"/>
        <v>1848.5681858454427</v>
      </c>
      <c r="N541" s="671">
        <v>1463</v>
      </c>
      <c r="O541" s="671"/>
      <c r="P541" s="40" t="s">
        <v>508</v>
      </c>
      <c r="Q541" s="190">
        <v>40897</v>
      </c>
      <c r="R541" s="775"/>
      <c r="S541" s="301">
        <v>5</v>
      </c>
      <c r="T541" s="806">
        <v>16502</v>
      </c>
      <c r="U541" s="25">
        <f t="shared" si="144"/>
        <v>82510</v>
      </c>
      <c r="V541" s="451"/>
      <c r="W541" s="774"/>
      <c r="X541" s="808"/>
      <c r="Y541" s="806"/>
      <c r="Z541" s="25">
        <f t="shared" si="145"/>
        <v>0</v>
      </c>
    </row>
    <row r="542" spans="1:26" ht="16.5" customHeight="1">
      <c r="A542" s="758">
        <f t="shared" si="140"/>
        <v>186</v>
      </c>
      <c r="B542" s="191" t="s">
        <v>850</v>
      </c>
      <c r="C542" s="25">
        <f t="shared" si="141"/>
        <v>65756</v>
      </c>
      <c r="D542" s="759">
        <f t="shared" si="146"/>
        <v>53495.281443276908</v>
      </c>
      <c r="E542" s="759">
        <f t="shared" si="146"/>
        <v>16927.600744751428</v>
      </c>
      <c r="F542" s="759">
        <f t="shared" si="146"/>
        <v>36497.956213752223</v>
      </c>
      <c r="G542" s="759">
        <f t="shared" si="146"/>
        <v>2917.2752370150019</v>
      </c>
      <c r="H542" s="759">
        <f t="shared" si="146"/>
        <v>53117.041539152953</v>
      </c>
      <c r="I542" s="759">
        <f t="shared" si="146"/>
        <v>13641.958097031695</v>
      </c>
      <c r="J542" s="360">
        <f t="shared" si="146"/>
        <v>0</v>
      </c>
      <c r="K542" s="25">
        <f t="shared" si="142"/>
        <v>242352.11327498022</v>
      </c>
      <c r="L542" s="253">
        <v>136</v>
      </c>
      <c r="M542" s="759">
        <f t="shared" si="143"/>
        <v>1782.0008329042664</v>
      </c>
      <c r="N542" s="671">
        <v>1288</v>
      </c>
      <c r="O542" s="671"/>
      <c r="P542" s="40" t="s">
        <v>506</v>
      </c>
      <c r="Q542" s="190">
        <v>40897</v>
      </c>
      <c r="R542" s="775"/>
      <c r="S542" s="301">
        <v>2</v>
      </c>
      <c r="T542" s="806">
        <v>32878</v>
      </c>
      <c r="U542" s="25">
        <f t="shared" si="144"/>
        <v>65756</v>
      </c>
      <c r="V542" s="451"/>
      <c r="W542" s="774"/>
      <c r="X542" s="808"/>
      <c r="Y542" s="806"/>
      <c r="Z542" s="25">
        <f t="shared" si="145"/>
        <v>0</v>
      </c>
    </row>
    <row r="543" spans="1:26" ht="16.5" customHeight="1">
      <c r="A543" s="758">
        <f t="shared" si="140"/>
        <v>187</v>
      </c>
      <c r="B543" s="191" t="s">
        <v>852</v>
      </c>
      <c r="C543" s="25">
        <f t="shared" si="141"/>
        <v>8620</v>
      </c>
      <c r="D543" s="759">
        <f t="shared" si="146"/>
        <v>5900.2148650673062</v>
      </c>
      <c r="E543" s="759">
        <f t="shared" si="146"/>
        <v>1867.0147880240547</v>
      </c>
      <c r="F543" s="759">
        <f t="shared" si="146"/>
        <v>4025.5098765167891</v>
      </c>
      <c r="G543" s="759">
        <f t="shared" si="146"/>
        <v>321.75829820018407</v>
      </c>
      <c r="H543" s="759">
        <f t="shared" si="146"/>
        <v>5858.4972285830463</v>
      </c>
      <c r="I543" s="759">
        <f t="shared" si="146"/>
        <v>1504.6277312902605</v>
      </c>
      <c r="J543" s="360">
        <f t="shared" si="146"/>
        <v>0</v>
      </c>
      <c r="K543" s="25">
        <f t="shared" si="142"/>
        <v>28096.622787681641</v>
      </c>
      <c r="L543" s="253">
        <v>15</v>
      </c>
      <c r="M543" s="759">
        <f t="shared" si="143"/>
        <v>1873.1081858454427</v>
      </c>
      <c r="N543" s="671">
        <v>1581</v>
      </c>
      <c r="O543" s="671"/>
      <c r="P543" s="188" t="s">
        <v>415</v>
      </c>
      <c r="Q543" s="190">
        <v>40897</v>
      </c>
      <c r="R543" s="775"/>
      <c r="S543" s="301">
        <v>1</v>
      </c>
      <c r="T543" s="806">
        <v>8620</v>
      </c>
      <c r="U543" s="25">
        <f t="shared" si="144"/>
        <v>8620</v>
      </c>
      <c r="V543" s="451"/>
      <c r="W543" s="774"/>
      <c r="X543" s="808"/>
      <c r="Y543" s="806"/>
      <c r="Z543" s="25">
        <f t="shared" si="145"/>
        <v>0</v>
      </c>
    </row>
    <row r="544" spans="1:26" ht="16.5" customHeight="1">
      <c r="A544" s="758">
        <f t="shared" si="140"/>
        <v>188</v>
      </c>
      <c r="B544" s="191" t="s">
        <v>848</v>
      </c>
      <c r="C544" s="25">
        <f t="shared" si="141"/>
        <v>54566</v>
      </c>
      <c r="D544" s="759">
        <f t="shared" si="146"/>
        <v>29501.074325336529</v>
      </c>
      <c r="E544" s="759">
        <f t="shared" si="146"/>
        <v>9335.0739401202736</v>
      </c>
      <c r="F544" s="759">
        <f t="shared" si="146"/>
        <v>20127.549382583944</v>
      </c>
      <c r="G544" s="759">
        <f t="shared" si="146"/>
        <v>1608.7914910009204</v>
      </c>
      <c r="H544" s="759">
        <f t="shared" si="146"/>
        <v>29292.48614291523</v>
      </c>
      <c r="I544" s="759">
        <f t="shared" si="146"/>
        <v>7523.1386564513023</v>
      </c>
      <c r="J544" s="360">
        <f t="shared" si="146"/>
        <v>0</v>
      </c>
      <c r="K544" s="25">
        <f t="shared" si="142"/>
        <v>151953.11393840821</v>
      </c>
      <c r="L544" s="253">
        <v>75</v>
      </c>
      <c r="M544" s="759">
        <f t="shared" si="143"/>
        <v>2026.0415191787761</v>
      </c>
      <c r="N544" s="671">
        <v>1660</v>
      </c>
      <c r="O544" s="671"/>
      <c r="P544" s="40" t="s">
        <v>500</v>
      </c>
      <c r="Q544" s="190">
        <v>40897</v>
      </c>
      <c r="R544" s="775"/>
      <c r="S544" s="301">
        <v>2</v>
      </c>
      <c r="T544" s="806">
        <v>27283</v>
      </c>
      <c r="U544" s="25">
        <f t="shared" si="144"/>
        <v>54566</v>
      </c>
      <c r="V544" s="451"/>
      <c r="W544" s="774"/>
      <c r="X544" s="808"/>
      <c r="Y544" s="806"/>
      <c r="Z544" s="25">
        <f t="shared" si="145"/>
        <v>0</v>
      </c>
    </row>
    <row r="545" spans="1:26" ht="16.5" customHeight="1">
      <c r="A545" s="758">
        <f t="shared" si="140"/>
        <v>189</v>
      </c>
      <c r="B545" s="191" t="s">
        <v>882</v>
      </c>
      <c r="C545" s="25">
        <f t="shared" si="141"/>
        <v>3775237</v>
      </c>
      <c r="D545" s="759">
        <f t="shared" si="146"/>
        <v>89289.918291351903</v>
      </c>
      <c r="E545" s="759">
        <f t="shared" si="146"/>
        <v>28254.157125430695</v>
      </c>
      <c r="F545" s="759">
        <f t="shared" si="146"/>
        <v>60919.382797954073</v>
      </c>
      <c r="G545" s="759">
        <f t="shared" si="146"/>
        <v>4869.2755794294517</v>
      </c>
      <c r="H545" s="759">
        <f t="shared" si="146"/>
        <v>88658.591392556773</v>
      </c>
      <c r="I545" s="759">
        <f t="shared" si="146"/>
        <v>22770.033000192609</v>
      </c>
      <c r="J545" s="360">
        <f t="shared" si="146"/>
        <v>0</v>
      </c>
      <c r="K545" s="25">
        <f t="shared" si="142"/>
        <v>4069997.3581869151</v>
      </c>
      <c r="L545" s="253">
        <v>227</v>
      </c>
      <c r="M545" s="759">
        <f t="shared" si="143"/>
        <v>17929.503780559098</v>
      </c>
      <c r="N545" s="671">
        <v>23012</v>
      </c>
      <c r="O545" s="671"/>
      <c r="P545" s="40" t="s">
        <v>515</v>
      </c>
      <c r="Q545" s="190">
        <v>40898</v>
      </c>
      <c r="R545" s="775"/>
      <c r="S545" s="301">
        <f>L545</f>
        <v>227</v>
      </c>
      <c r="T545" s="806">
        <v>16631</v>
      </c>
      <c r="U545" s="25">
        <f t="shared" si="144"/>
        <v>3775237</v>
      </c>
      <c r="V545" s="451"/>
      <c r="W545" s="774"/>
      <c r="X545" s="808"/>
      <c r="Y545" s="806"/>
      <c r="Z545" s="25">
        <f t="shared" si="145"/>
        <v>0</v>
      </c>
    </row>
    <row r="546" spans="1:26" ht="16.5" customHeight="1">
      <c r="A546" s="758">
        <f t="shared" si="140"/>
        <v>190</v>
      </c>
      <c r="B546" s="191" t="s">
        <v>877</v>
      </c>
      <c r="C546" s="25">
        <f t="shared" si="141"/>
        <v>3243045</v>
      </c>
      <c r="D546" s="759">
        <f t="shared" si="146"/>
        <v>76702.793245874986</v>
      </c>
      <c r="E546" s="759">
        <f t="shared" si="146"/>
        <v>24271.192244312711</v>
      </c>
      <c r="F546" s="759">
        <f t="shared" si="146"/>
        <v>52331.628394718253</v>
      </c>
      <c r="G546" s="759">
        <f t="shared" si="146"/>
        <v>4182.8578766023929</v>
      </c>
      <c r="H546" s="759">
        <f t="shared" si="146"/>
        <v>76160.463971579607</v>
      </c>
      <c r="I546" s="759">
        <f t="shared" si="146"/>
        <v>19560.160506773387</v>
      </c>
      <c r="J546" s="360">
        <f t="shared" si="146"/>
        <v>0</v>
      </c>
      <c r="K546" s="25">
        <f t="shared" si="142"/>
        <v>3496253.0962398611</v>
      </c>
      <c r="L546" s="253">
        <v>195</v>
      </c>
      <c r="M546" s="759">
        <f t="shared" si="143"/>
        <v>17929.503057640315</v>
      </c>
      <c r="N546" s="671">
        <v>18928</v>
      </c>
      <c r="O546" s="671"/>
      <c r="P546" s="40" t="s">
        <v>515</v>
      </c>
      <c r="Q546" s="190">
        <v>40898</v>
      </c>
      <c r="R546" s="775"/>
      <c r="S546" s="301">
        <f>L546</f>
        <v>195</v>
      </c>
      <c r="T546" s="806">
        <v>16631</v>
      </c>
      <c r="U546" s="25">
        <f t="shared" si="144"/>
        <v>3243045</v>
      </c>
      <c r="V546" s="451"/>
      <c r="W546" s="774"/>
      <c r="X546" s="808"/>
      <c r="Y546" s="806"/>
      <c r="Z546" s="25">
        <f t="shared" si="145"/>
        <v>0</v>
      </c>
    </row>
    <row r="547" spans="1:26" ht="16.5" customHeight="1">
      <c r="A547" s="758">
        <f t="shared" si="140"/>
        <v>191</v>
      </c>
      <c r="B547" s="191" t="s">
        <v>890</v>
      </c>
      <c r="C547" s="25">
        <f t="shared" si="141"/>
        <v>3813848</v>
      </c>
      <c r="D547" s="759">
        <f t="shared" si="146"/>
        <v>91256.656579707662</v>
      </c>
      <c r="E547" s="759">
        <f t="shared" si="146"/>
        <v>28876.495388105377</v>
      </c>
      <c r="F547" s="759">
        <f t="shared" si="146"/>
        <v>62261.219423459668</v>
      </c>
      <c r="G547" s="759">
        <f t="shared" si="146"/>
        <v>4976.52834549618</v>
      </c>
      <c r="H547" s="759">
        <f t="shared" si="146"/>
        <v>90611.42380208445</v>
      </c>
      <c r="I547" s="759">
        <f t="shared" si="146"/>
        <v>23271.575577289361</v>
      </c>
      <c r="J547" s="360">
        <f t="shared" si="146"/>
        <v>0</v>
      </c>
      <c r="K547" s="25">
        <f t="shared" si="142"/>
        <v>4115100.8991161431</v>
      </c>
      <c r="L547" s="253">
        <v>232</v>
      </c>
      <c r="M547" s="759">
        <f t="shared" si="143"/>
        <v>17737.503875500617</v>
      </c>
      <c r="N547" s="671">
        <v>20070</v>
      </c>
      <c r="O547" s="671"/>
      <c r="P547" s="40" t="s">
        <v>506</v>
      </c>
      <c r="Q547" s="190">
        <v>40898</v>
      </c>
      <c r="R547" s="775"/>
      <c r="S547" s="301">
        <f>L547/2</f>
        <v>116</v>
      </c>
      <c r="T547" s="806">
        <v>32878</v>
      </c>
      <c r="U547" s="25">
        <f t="shared" si="144"/>
        <v>3813848</v>
      </c>
      <c r="V547" s="451"/>
      <c r="W547" s="774"/>
      <c r="X547" s="808"/>
      <c r="Y547" s="806"/>
      <c r="Z547" s="25">
        <f t="shared" si="145"/>
        <v>0</v>
      </c>
    </row>
    <row r="548" spans="1:26" ht="16.5" customHeight="1">
      <c r="A548" s="758">
        <f t="shared" si="140"/>
        <v>192</v>
      </c>
      <c r="B548" s="191" t="s">
        <v>891</v>
      </c>
      <c r="C548" s="25">
        <f t="shared" si="141"/>
        <v>315989</v>
      </c>
      <c r="D548" s="759">
        <f t="shared" si="146"/>
        <v>29894.421983007684</v>
      </c>
      <c r="E548" s="759">
        <f t="shared" si="146"/>
        <v>9459.5415926552105</v>
      </c>
      <c r="F548" s="759">
        <f t="shared" si="146"/>
        <v>20395.916707685064</v>
      </c>
      <c r="G548" s="759">
        <f t="shared" si="146"/>
        <v>1630.2420442142659</v>
      </c>
      <c r="H548" s="759">
        <f t="shared" si="146"/>
        <v>29683.052624820768</v>
      </c>
      <c r="I548" s="759">
        <f t="shared" si="146"/>
        <v>7623.4471718706527</v>
      </c>
      <c r="J548" s="360">
        <f t="shared" si="146"/>
        <v>0</v>
      </c>
      <c r="K548" s="25">
        <f t="shared" si="142"/>
        <v>414674.62212425371</v>
      </c>
      <c r="L548" s="253">
        <v>76</v>
      </c>
      <c r="M548" s="759">
        <f t="shared" si="143"/>
        <v>5456.2450279507066</v>
      </c>
      <c r="N548" s="671">
        <v>6275</v>
      </c>
      <c r="O548" s="671"/>
      <c r="P548" s="40" t="s">
        <v>515</v>
      </c>
      <c r="Q548" s="190">
        <v>40899</v>
      </c>
      <c r="R548" s="775"/>
      <c r="S548" s="301">
        <v>19</v>
      </c>
      <c r="T548" s="806">
        <v>16631</v>
      </c>
      <c r="U548" s="25">
        <f t="shared" si="144"/>
        <v>315989</v>
      </c>
      <c r="V548" s="451"/>
      <c r="W548" s="774"/>
      <c r="X548" s="808"/>
      <c r="Y548" s="806"/>
      <c r="Z548" s="25">
        <f t="shared" si="145"/>
        <v>0</v>
      </c>
    </row>
    <row r="549" spans="1:26" ht="16.5" customHeight="1">
      <c r="A549" s="758">
        <f t="shared" si="140"/>
        <v>193</v>
      </c>
      <c r="B549" s="191" t="s">
        <v>892</v>
      </c>
      <c r="C549" s="25">
        <f t="shared" si="141"/>
        <v>2249820</v>
      </c>
      <c r="D549" s="759">
        <f t="shared" si="146"/>
        <v>102663.73865217113</v>
      </c>
      <c r="E549" s="759">
        <f t="shared" si="146"/>
        <v>32486.057311618551</v>
      </c>
      <c r="F549" s="759">
        <f t="shared" si="146"/>
        <v>70043.871851392134</v>
      </c>
      <c r="G549" s="759">
        <f t="shared" si="146"/>
        <v>5598.5943886832029</v>
      </c>
      <c r="H549" s="759">
        <f t="shared" si="146"/>
        <v>101937.851777345</v>
      </c>
      <c r="I549" s="759">
        <f t="shared" si="146"/>
        <v>26180.522524450531</v>
      </c>
      <c r="J549" s="360">
        <f t="shared" si="146"/>
        <v>0</v>
      </c>
      <c r="K549" s="25">
        <f t="shared" si="142"/>
        <v>2588729.6365056606</v>
      </c>
      <c r="L549" s="253">
        <v>261</v>
      </c>
      <c r="M549" s="759">
        <f t="shared" si="143"/>
        <v>9918.5043544278178</v>
      </c>
      <c r="N549" s="671">
        <v>10678</v>
      </c>
      <c r="O549" s="671"/>
      <c r="P549" s="188" t="s">
        <v>415</v>
      </c>
      <c r="Q549" s="190">
        <v>40899</v>
      </c>
      <c r="R549" s="775"/>
      <c r="S549" s="301">
        <f>L549</f>
        <v>261</v>
      </c>
      <c r="T549" s="806">
        <v>8620</v>
      </c>
      <c r="U549" s="25">
        <f t="shared" si="144"/>
        <v>2249820</v>
      </c>
      <c r="V549" s="451"/>
      <c r="W549" s="774"/>
      <c r="X549" s="808"/>
      <c r="Y549" s="806"/>
      <c r="Z549" s="25">
        <f t="shared" si="145"/>
        <v>0</v>
      </c>
    </row>
    <row r="550" spans="1:26" ht="16.5" customHeight="1">
      <c r="A550" s="758">
        <f t="shared" ref="A550:A597" si="148">IF(B550&lt;&gt;"",A549+1,"")</f>
        <v>194</v>
      </c>
      <c r="B550" s="191" t="s">
        <v>657</v>
      </c>
      <c r="C550" s="25">
        <f t="shared" ref="C550:C597" si="149">U550</f>
        <v>538251</v>
      </c>
      <c r="D550" s="759">
        <f t="shared" si="146"/>
        <v>25567.597748624994</v>
      </c>
      <c r="E550" s="759">
        <f t="shared" si="146"/>
        <v>8090.3974147709032</v>
      </c>
      <c r="F550" s="759">
        <f t="shared" si="146"/>
        <v>17443.876131572753</v>
      </c>
      <c r="G550" s="759">
        <f t="shared" si="146"/>
        <v>1394.2859588674642</v>
      </c>
      <c r="H550" s="759">
        <f t="shared" si="146"/>
        <v>25386.821323859869</v>
      </c>
      <c r="I550" s="759">
        <f t="shared" si="146"/>
        <v>6520.0535022577951</v>
      </c>
      <c r="J550" s="360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59">
        <f t="shared" si="143"/>
        <v>9579.2774166146737</v>
      </c>
      <c r="N550" s="671">
        <v>10501</v>
      </c>
      <c r="O550" s="671"/>
      <c r="P550" s="40" t="s">
        <v>504</v>
      </c>
      <c r="Q550" s="190">
        <v>40899</v>
      </c>
      <c r="R550" s="775"/>
      <c r="S550" s="301">
        <v>21</v>
      </c>
      <c r="T550" s="806">
        <v>25631</v>
      </c>
      <c r="U550" s="25">
        <f t="shared" si="144"/>
        <v>538251</v>
      </c>
      <c r="V550" s="451"/>
      <c r="W550" s="774"/>
      <c r="X550" s="808"/>
      <c r="Y550" s="806"/>
      <c r="Z550" s="25">
        <f t="shared" si="145"/>
        <v>0</v>
      </c>
    </row>
    <row r="551" spans="1:26" ht="16.5" customHeight="1">
      <c r="A551" s="758">
        <f t="shared" si="148"/>
        <v>195</v>
      </c>
      <c r="B551" s="191" t="s">
        <v>677</v>
      </c>
      <c r="C551" s="25">
        <f t="shared" si="149"/>
        <v>7198425</v>
      </c>
      <c r="D551" s="759">
        <f t="shared" si="146"/>
        <v>420488.64605046337</v>
      </c>
      <c r="E551" s="759">
        <f t="shared" si="146"/>
        <v>133055.92055984761</v>
      </c>
      <c r="F551" s="759">
        <f t="shared" si="146"/>
        <v>286884.67053309648</v>
      </c>
      <c r="G551" s="759">
        <f t="shared" si="146"/>
        <v>22930.64138506645</v>
      </c>
      <c r="H551" s="759">
        <f t="shared" si="146"/>
        <v>417515.56915701844</v>
      </c>
      <c r="I551" s="759">
        <f t="shared" si="146"/>
        <v>107229.8029832859</v>
      </c>
      <c r="J551" s="360">
        <f t="shared" si="146"/>
        <v>0</v>
      </c>
      <c r="K551" s="25">
        <f t="shared" si="150"/>
        <v>8586529.250668779</v>
      </c>
      <c r="L551" s="253">
        <v>1069</v>
      </c>
      <c r="M551" s="759">
        <f t="shared" ref="M551:M597" si="151">IF(L551&lt;&gt;"",K551/L551,"")</f>
        <v>8032.3005151251436</v>
      </c>
      <c r="N551" s="671">
        <v>11840</v>
      </c>
      <c r="O551" s="671"/>
      <c r="P551" s="40" t="s">
        <v>514</v>
      </c>
      <c r="Q551" s="190">
        <v>40899</v>
      </c>
      <c r="R551" s="775"/>
      <c r="S551" s="301">
        <v>535</v>
      </c>
      <c r="T551" s="806">
        <v>13455</v>
      </c>
      <c r="U551" s="25">
        <f t="shared" ref="U551:U597" si="152">ROUND(S551*T551,0)</f>
        <v>7198425</v>
      </c>
      <c r="V551" s="451"/>
      <c r="W551" s="774"/>
      <c r="X551" s="808"/>
      <c r="Y551" s="806"/>
      <c r="Z551" s="25">
        <f t="shared" ref="Z551:Z597" si="153">ROUND(X551*Y551,0)</f>
        <v>0</v>
      </c>
    </row>
    <row r="552" spans="1:26" ht="16.5" customHeight="1">
      <c r="A552" s="758">
        <f t="shared" si="148"/>
        <v>196</v>
      </c>
      <c r="B552" s="191" t="s">
        <v>658</v>
      </c>
      <c r="C552" s="25">
        <f t="shared" si="149"/>
        <v>3713580</v>
      </c>
      <c r="D552" s="759">
        <f t="shared" si="146"/>
        <v>108563.95351723843</v>
      </c>
      <c r="E552" s="759">
        <f t="shared" si="146"/>
        <v>34353.072099642603</v>
      </c>
      <c r="F552" s="759">
        <f t="shared" si="146"/>
        <v>74069.381727908913</v>
      </c>
      <c r="G552" s="759">
        <f t="shared" si="146"/>
        <v>5920.3526868833869</v>
      </c>
      <c r="H552" s="759">
        <f t="shared" si="146"/>
        <v>107796.34900592806</v>
      </c>
      <c r="I552" s="759">
        <f t="shared" si="146"/>
        <v>27685.150255740791</v>
      </c>
      <c r="J552" s="360">
        <f t="shared" si="146"/>
        <v>0</v>
      </c>
      <c r="K552" s="25">
        <f t="shared" si="150"/>
        <v>4071967.2592933425</v>
      </c>
      <c r="L552" s="253">
        <v>276</v>
      </c>
      <c r="M552" s="759">
        <f t="shared" si="151"/>
        <v>14753.504562657037</v>
      </c>
      <c r="N552" s="671">
        <v>13258</v>
      </c>
      <c r="O552" s="671"/>
      <c r="P552" s="40" t="s">
        <v>514</v>
      </c>
      <c r="Q552" s="190">
        <v>40899</v>
      </c>
      <c r="R552" s="775"/>
      <c r="S552" s="301">
        <f>L552</f>
        <v>276</v>
      </c>
      <c r="T552" s="806">
        <v>13455</v>
      </c>
      <c r="U552" s="25">
        <f t="shared" si="152"/>
        <v>3713580</v>
      </c>
      <c r="V552" s="451"/>
      <c r="W552" s="774"/>
      <c r="X552" s="808"/>
      <c r="Y552" s="806"/>
      <c r="Z552" s="25">
        <f t="shared" si="153"/>
        <v>0</v>
      </c>
    </row>
    <row r="553" spans="1:26" ht="16.5" customHeight="1">
      <c r="A553" s="758">
        <f t="shared" si="148"/>
        <v>197</v>
      </c>
      <c r="B553" s="191" t="s">
        <v>877</v>
      </c>
      <c r="C553" s="25">
        <f t="shared" si="149"/>
        <v>789072</v>
      </c>
      <c r="D553" s="759">
        <f t="shared" si="146"/>
        <v>18487.339910544226</v>
      </c>
      <c r="E553" s="759">
        <f t="shared" si="146"/>
        <v>5849.9796691420379</v>
      </c>
      <c r="F553" s="759">
        <f t="shared" si="146"/>
        <v>12613.264279752606</v>
      </c>
      <c r="G553" s="759">
        <f t="shared" si="146"/>
        <v>1008.1760010272434</v>
      </c>
      <c r="H553" s="759">
        <f t="shared" si="146"/>
        <v>18356.62464956021</v>
      </c>
      <c r="I553" s="759">
        <f t="shared" si="146"/>
        <v>4714.5002247094826</v>
      </c>
      <c r="J553" s="360">
        <f t="shared" si="146"/>
        <v>0</v>
      </c>
      <c r="K553" s="25">
        <f t="shared" si="150"/>
        <v>850100.88473473582</v>
      </c>
      <c r="L553" s="253">
        <v>47</v>
      </c>
      <c r="M553" s="759">
        <f t="shared" si="151"/>
        <v>18087.252866696508</v>
      </c>
      <c r="N553" s="671">
        <v>18928</v>
      </c>
      <c r="O553" s="671"/>
      <c r="P553" s="40" t="s">
        <v>506</v>
      </c>
      <c r="Q553" s="190">
        <v>40899</v>
      </c>
      <c r="R553" s="775"/>
      <c r="S553" s="301">
        <v>24</v>
      </c>
      <c r="T553" s="806">
        <v>32878</v>
      </c>
      <c r="U553" s="25">
        <f t="shared" si="152"/>
        <v>789072</v>
      </c>
      <c r="V553" s="451"/>
      <c r="W553" s="774"/>
      <c r="X553" s="808"/>
      <c r="Y553" s="806"/>
      <c r="Z553" s="25">
        <f t="shared" si="153"/>
        <v>0</v>
      </c>
    </row>
    <row r="554" spans="1:26" ht="16.5" customHeight="1">
      <c r="A554" s="758">
        <f t="shared" si="148"/>
        <v>198</v>
      </c>
      <c r="B554" s="191" t="s">
        <v>882</v>
      </c>
      <c r="C554" s="25">
        <f t="shared" si="149"/>
        <v>4324060</v>
      </c>
      <c r="D554" s="759">
        <f t="shared" si="146"/>
        <v>102270.39099449998</v>
      </c>
      <c r="E554" s="759">
        <f t="shared" si="146"/>
        <v>32361.589659083613</v>
      </c>
      <c r="F554" s="759">
        <f t="shared" si="146"/>
        <v>69775.504526291013</v>
      </c>
      <c r="G554" s="759">
        <f t="shared" si="146"/>
        <v>5577.1438354698566</v>
      </c>
      <c r="H554" s="759">
        <f t="shared" si="146"/>
        <v>101547.28529543948</v>
      </c>
      <c r="I554" s="759">
        <f t="shared" si="146"/>
        <v>26080.21400903118</v>
      </c>
      <c r="J554" s="360">
        <f t="shared" si="146"/>
        <v>0</v>
      </c>
      <c r="K554" s="25">
        <f t="shared" si="150"/>
        <v>4661671.1283198157</v>
      </c>
      <c r="L554" s="253">
        <v>260</v>
      </c>
      <c r="M554" s="759">
        <f t="shared" si="151"/>
        <v>17929.504339691601</v>
      </c>
      <c r="N554" s="671">
        <v>23012</v>
      </c>
      <c r="O554" s="671"/>
      <c r="P554" s="40" t="s">
        <v>515</v>
      </c>
      <c r="Q554" s="190">
        <v>40899</v>
      </c>
      <c r="R554" s="775"/>
      <c r="S554" s="301">
        <f>L554</f>
        <v>260</v>
      </c>
      <c r="T554" s="806">
        <v>16631</v>
      </c>
      <c r="U554" s="25">
        <f t="shared" si="152"/>
        <v>4324060</v>
      </c>
      <c r="V554" s="451"/>
      <c r="W554" s="774"/>
      <c r="X554" s="808"/>
      <c r="Y554" s="806"/>
      <c r="Z554" s="25">
        <f t="shared" si="153"/>
        <v>0</v>
      </c>
    </row>
    <row r="555" spans="1:26" ht="16.5" customHeight="1">
      <c r="A555" s="758">
        <f t="shared" si="148"/>
        <v>199</v>
      </c>
      <c r="B555" s="191" t="s">
        <v>893</v>
      </c>
      <c r="C555" s="25">
        <f t="shared" si="149"/>
        <v>190981</v>
      </c>
      <c r="D555" s="759">
        <f t="shared" si="146"/>
        <v>107777.25820189613</v>
      </c>
      <c r="E555" s="759">
        <f t="shared" ref="D555:J591" si="154">IF($L$599&lt;&gt;0,E$599/$L$599*$L555,0)</f>
        <v>34104.136794572732</v>
      </c>
      <c r="F555" s="759">
        <f t="shared" si="154"/>
        <v>73532.647077706672</v>
      </c>
      <c r="G555" s="759">
        <f t="shared" si="154"/>
        <v>5877.4515804566954</v>
      </c>
      <c r="H555" s="759">
        <f t="shared" si="154"/>
        <v>107015.21604211698</v>
      </c>
      <c r="I555" s="759">
        <f t="shared" si="154"/>
        <v>27484.53322490209</v>
      </c>
      <c r="J555" s="360">
        <f t="shared" si="154"/>
        <v>0</v>
      </c>
      <c r="K555" s="25">
        <f t="shared" si="150"/>
        <v>546771.24292165134</v>
      </c>
      <c r="L555" s="253">
        <v>274</v>
      </c>
      <c r="M555" s="759">
        <f t="shared" si="151"/>
        <v>1995.5154851155157</v>
      </c>
      <c r="N555" s="671">
        <v>1474</v>
      </c>
      <c r="O555" s="671"/>
      <c r="P555" s="40" t="s">
        <v>500</v>
      </c>
      <c r="Q555" s="190">
        <v>40899</v>
      </c>
      <c r="R555" s="775"/>
      <c r="S555" s="301">
        <v>7</v>
      </c>
      <c r="T555" s="806">
        <v>27283</v>
      </c>
      <c r="U555" s="25">
        <f t="shared" si="152"/>
        <v>190981</v>
      </c>
      <c r="V555" s="451"/>
      <c r="W555" s="774"/>
      <c r="X555" s="808"/>
      <c r="Y555" s="806"/>
      <c r="Z555" s="25">
        <f t="shared" si="153"/>
        <v>0</v>
      </c>
    </row>
    <row r="556" spans="1:26" ht="16.5" customHeight="1">
      <c r="A556" s="758">
        <f t="shared" si="148"/>
        <v>200</v>
      </c>
      <c r="B556" s="191" t="s">
        <v>894</v>
      </c>
      <c r="C556" s="25">
        <f t="shared" si="149"/>
        <v>27283</v>
      </c>
      <c r="D556" s="759">
        <f t="shared" si="154"/>
        <v>17307.296937530766</v>
      </c>
      <c r="E556" s="759">
        <f t="shared" si="154"/>
        <v>5476.5767115372273</v>
      </c>
      <c r="F556" s="759">
        <f t="shared" si="154"/>
        <v>11808.162304449248</v>
      </c>
      <c r="G556" s="759">
        <f t="shared" si="154"/>
        <v>943.82434138720657</v>
      </c>
      <c r="H556" s="759">
        <f t="shared" si="154"/>
        <v>17184.925203843603</v>
      </c>
      <c r="I556" s="759">
        <f t="shared" si="154"/>
        <v>4413.5746784514304</v>
      </c>
      <c r="J556" s="360">
        <f t="shared" si="154"/>
        <v>0</v>
      </c>
      <c r="K556" s="25">
        <f t="shared" si="150"/>
        <v>84416.360177199487</v>
      </c>
      <c r="L556" s="253">
        <v>44</v>
      </c>
      <c r="M556" s="759">
        <f t="shared" si="151"/>
        <v>1918.5536403908975</v>
      </c>
      <c r="N556" s="671">
        <v>1146</v>
      </c>
      <c r="O556" s="671"/>
      <c r="P556" s="40" t="s">
        <v>500</v>
      </c>
      <c r="Q556" s="190">
        <v>40899</v>
      </c>
      <c r="R556" s="775"/>
      <c r="S556" s="301">
        <v>1</v>
      </c>
      <c r="T556" s="806">
        <v>27283</v>
      </c>
      <c r="U556" s="25">
        <f t="shared" si="152"/>
        <v>27283</v>
      </c>
      <c r="V556" s="451"/>
      <c r="W556" s="774"/>
      <c r="X556" s="808"/>
      <c r="Y556" s="806"/>
      <c r="Z556" s="25">
        <f t="shared" si="153"/>
        <v>0</v>
      </c>
    </row>
    <row r="557" spans="1:26" ht="16.5" customHeight="1">
      <c r="A557" s="758">
        <f t="shared" si="148"/>
        <v>201</v>
      </c>
      <c r="B557" s="191" t="s">
        <v>895</v>
      </c>
      <c r="C557" s="25">
        <f t="shared" si="149"/>
        <v>95256</v>
      </c>
      <c r="D557" s="759">
        <f t="shared" si="154"/>
        <v>103057.08630984229</v>
      </c>
      <c r="E557" s="759">
        <f t="shared" si="154"/>
        <v>32610.524964153487</v>
      </c>
      <c r="F557" s="759">
        <f t="shared" si="154"/>
        <v>70312.23917649324</v>
      </c>
      <c r="G557" s="759">
        <f t="shared" si="154"/>
        <v>5620.0449418965482</v>
      </c>
      <c r="H557" s="759">
        <f t="shared" si="154"/>
        <v>102328.41825925054</v>
      </c>
      <c r="I557" s="759">
        <f t="shared" si="154"/>
        <v>26280.831039869881</v>
      </c>
      <c r="J557" s="360">
        <f t="shared" si="154"/>
        <v>0</v>
      </c>
      <c r="K557" s="25">
        <f t="shared" si="150"/>
        <v>435464.14469150599</v>
      </c>
      <c r="L557" s="253">
        <v>262</v>
      </c>
      <c r="M557" s="759">
        <f t="shared" si="151"/>
        <v>1662.0768881355191</v>
      </c>
      <c r="N557" s="671">
        <v>1187</v>
      </c>
      <c r="O557" s="671"/>
      <c r="P557" s="40" t="s">
        <v>501</v>
      </c>
      <c r="Q557" s="190">
        <v>40899</v>
      </c>
      <c r="R557" s="775"/>
      <c r="S557" s="301">
        <v>3</v>
      </c>
      <c r="T557" s="806">
        <v>31752</v>
      </c>
      <c r="U557" s="25">
        <f t="shared" si="152"/>
        <v>95256</v>
      </c>
      <c r="V557" s="451"/>
      <c r="W557" s="774"/>
      <c r="X557" s="808"/>
      <c r="Y557" s="806"/>
      <c r="Z557" s="25">
        <f t="shared" si="153"/>
        <v>0</v>
      </c>
    </row>
    <row r="558" spans="1:26" ht="16.5" customHeight="1">
      <c r="A558" s="758">
        <f t="shared" si="148"/>
        <v>202</v>
      </c>
      <c r="B558" s="191" t="s">
        <v>896</v>
      </c>
      <c r="C558" s="25">
        <f t="shared" si="149"/>
        <v>232740</v>
      </c>
      <c r="D558" s="759">
        <f t="shared" si="154"/>
        <v>103057.08630984229</v>
      </c>
      <c r="E558" s="759">
        <f t="shared" si="154"/>
        <v>32610.524964153487</v>
      </c>
      <c r="F558" s="759">
        <f t="shared" si="154"/>
        <v>70312.23917649324</v>
      </c>
      <c r="G558" s="759">
        <f t="shared" si="154"/>
        <v>5620.0449418965482</v>
      </c>
      <c r="H558" s="759">
        <f t="shared" si="154"/>
        <v>102328.41825925054</v>
      </c>
      <c r="I558" s="759">
        <f t="shared" si="154"/>
        <v>26280.831039869881</v>
      </c>
      <c r="J558" s="360">
        <f t="shared" si="154"/>
        <v>0</v>
      </c>
      <c r="K558" s="25">
        <f t="shared" si="150"/>
        <v>572948.14469150605</v>
      </c>
      <c r="L558" s="253">
        <v>262</v>
      </c>
      <c r="M558" s="759">
        <f t="shared" si="151"/>
        <v>2186.8249797385729</v>
      </c>
      <c r="N558" s="671">
        <v>1515</v>
      </c>
      <c r="O558" s="671"/>
      <c r="P558" s="188" t="s">
        <v>415</v>
      </c>
      <c r="Q558" s="190">
        <v>40899</v>
      </c>
      <c r="R558" s="775"/>
      <c r="S558" s="301">
        <v>27</v>
      </c>
      <c r="T558" s="806">
        <v>8620</v>
      </c>
      <c r="U558" s="25">
        <f t="shared" si="152"/>
        <v>232740</v>
      </c>
      <c r="V558" s="451"/>
      <c r="W558" s="774"/>
      <c r="X558" s="808"/>
      <c r="Y558" s="806"/>
      <c r="Z558" s="25">
        <f t="shared" si="153"/>
        <v>0</v>
      </c>
    </row>
    <row r="559" spans="1:26" ht="16.5" customHeight="1">
      <c r="A559" s="758">
        <f t="shared" si="148"/>
        <v>203</v>
      </c>
      <c r="B559" s="191" t="s">
        <v>897</v>
      </c>
      <c r="C559" s="25">
        <f t="shared" si="149"/>
        <v>245547</v>
      </c>
      <c r="D559" s="759">
        <f t="shared" si="154"/>
        <v>125084.55513942688</v>
      </c>
      <c r="E559" s="759">
        <f t="shared" si="154"/>
        <v>39580.713506109954</v>
      </c>
      <c r="F559" s="759">
        <f t="shared" si="154"/>
        <v>85340.809382155931</v>
      </c>
      <c r="G559" s="759">
        <f t="shared" si="154"/>
        <v>6821.2759218439023</v>
      </c>
      <c r="H559" s="759">
        <f t="shared" si="154"/>
        <v>124200.14124596058</v>
      </c>
      <c r="I559" s="759">
        <f t="shared" si="154"/>
        <v>31898.107903353521</v>
      </c>
      <c r="J559" s="360">
        <f t="shared" si="154"/>
        <v>0</v>
      </c>
      <c r="K559" s="25">
        <f t="shared" si="150"/>
        <v>658471.60309885081</v>
      </c>
      <c r="L559" s="253">
        <v>318</v>
      </c>
      <c r="M559" s="759">
        <f t="shared" si="151"/>
        <v>2070.6654185498455</v>
      </c>
      <c r="N559" s="671">
        <v>1556</v>
      </c>
      <c r="O559" s="671"/>
      <c r="P559" s="40" t="s">
        <v>500</v>
      </c>
      <c r="Q559" s="190">
        <v>40899</v>
      </c>
      <c r="R559" s="775"/>
      <c r="S559" s="301">
        <v>9</v>
      </c>
      <c r="T559" s="806">
        <v>27283</v>
      </c>
      <c r="U559" s="25">
        <f t="shared" si="152"/>
        <v>245547</v>
      </c>
      <c r="V559" s="451"/>
      <c r="W559" s="774"/>
      <c r="X559" s="808"/>
      <c r="Y559" s="806"/>
      <c r="Z559" s="25">
        <f t="shared" si="153"/>
        <v>0</v>
      </c>
    </row>
    <row r="560" spans="1:26" ht="16.5" customHeight="1">
      <c r="A560" s="758">
        <f t="shared" si="148"/>
        <v>204</v>
      </c>
      <c r="B560" s="191" t="s">
        <v>898</v>
      </c>
      <c r="C560" s="25">
        <f t="shared" si="149"/>
        <v>2637180</v>
      </c>
      <c r="D560" s="759">
        <f t="shared" si="154"/>
        <v>154192.28180709228</v>
      </c>
      <c r="E560" s="759">
        <f t="shared" si="154"/>
        <v>48791.319793695293</v>
      </c>
      <c r="F560" s="759">
        <f t="shared" si="154"/>
        <v>105199.99143963875</v>
      </c>
      <c r="G560" s="759">
        <f t="shared" si="154"/>
        <v>8408.6168596314765</v>
      </c>
      <c r="H560" s="759">
        <f t="shared" si="154"/>
        <v>153102.06090697029</v>
      </c>
      <c r="I560" s="759">
        <f t="shared" si="154"/>
        <v>39320.938044385475</v>
      </c>
      <c r="J560" s="360">
        <f t="shared" si="154"/>
        <v>0</v>
      </c>
      <c r="K560" s="25">
        <f t="shared" si="150"/>
        <v>3146194.2088514138</v>
      </c>
      <c r="L560" s="253">
        <v>392</v>
      </c>
      <c r="M560" s="759">
        <f t="shared" si="151"/>
        <v>8026.0056348250355</v>
      </c>
      <c r="N560" s="671">
        <v>11800</v>
      </c>
      <c r="O560" s="671"/>
      <c r="P560" s="40" t="s">
        <v>514</v>
      </c>
      <c r="Q560" s="190">
        <v>40907</v>
      </c>
      <c r="R560" s="775"/>
      <c r="S560" s="301">
        <v>196</v>
      </c>
      <c r="T560" s="806">
        <v>13455</v>
      </c>
      <c r="U560" s="25">
        <f t="shared" si="152"/>
        <v>2637180</v>
      </c>
      <c r="V560" s="451"/>
      <c r="W560" s="774"/>
      <c r="X560" s="808"/>
      <c r="Y560" s="806"/>
      <c r="Z560" s="25">
        <f t="shared" si="153"/>
        <v>0</v>
      </c>
    </row>
    <row r="561" spans="1:26" ht="16.5" customHeight="1">
      <c r="A561" s="758">
        <f t="shared" si="148"/>
        <v>205</v>
      </c>
      <c r="B561" s="191" t="s">
        <v>899</v>
      </c>
      <c r="C561" s="25">
        <f t="shared" si="149"/>
        <v>1068535</v>
      </c>
      <c r="D561" s="759">
        <f t="shared" si="154"/>
        <v>25567.597748624994</v>
      </c>
      <c r="E561" s="759">
        <f t="shared" si="154"/>
        <v>8090.3974147709032</v>
      </c>
      <c r="F561" s="759">
        <f t="shared" si="154"/>
        <v>17443.876131572753</v>
      </c>
      <c r="G561" s="759">
        <f t="shared" si="154"/>
        <v>1394.2859588674642</v>
      </c>
      <c r="H561" s="759">
        <f t="shared" si="154"/>
        <v>25386.821323859869</v>
      </c>
      <c r="I561" s="759">
        <f t="shared" si="154"/>
        <v>6520.0535022577951</v>
      </c>
      <c r="J561" s="360">
        <f t="shared" si="154"/>
        <v>0</v>
      </c>
      <c r="K561" s="25">
        <f t="shared" si="150"/>
        <v>1152937.0320799539</v>
      </c>
      <c r="L561" s="253">
        <v>65</v>
      </c>
      <c r="M561" s="759">
        <f t="shared" si="151"/>
        <v>17737.492801230059</v>
      </c>
      <c r="N561" s="671">
        <v>22324</v>
      </c>
      <c r="O561" s="671"/>
      <c r="P561" s="40" t="s">
        <v>506</v>
      </c>
      <c r="Q561" s="190">
        <v>40907</v>
      </c>
      <c r="R561" s="775"/>
      <c r="S561" s="301">
        <f>L561/2</f>
        <v>32.5</v>
      </c>
      <c r="T561" s="806">
        <v>32878</v>
      </c>
      <c r="U561" s="25">
        <f t="shared" si="152"/>
        <v>1068535</v>
      </c>
      <c r="V561" s="451"/>
      <c r="W561" s="774"/>
      <c r="X561" s="808"/>
      <c r="Y561" s="806"/>
      <c r="Z561" s="25">
        <f t="shared" si="153"/>
        <v>0</v>
      </c>
    </row>
    <row r="562" spans="1:26" ht="16.5" customHeight="1">
      <c r="A562" s="758">
        <f t="shared" si="148"/>
        <v>206</v>
      </c>
      <c r="B562" s="191" t="s">
        <v>900</v>
      </c>
      <c r="C562" s="25">
        <f t="shared" si="149"/>
        <v>174270</v>
      </c>
      <c r="D562" s="759">
        <f t="shared" si="154"/>
        <v>3933.4765767115373</v>
      </c>
      <c r="E562" s="759">
        <f t="shared" si="154"/>
        <v>1244.6765253493697</v>
      </c>
      <c r="F562" s="759">
        <f t="shared" si="154"/>
        <v>2683.6732510111924</v>
      </c>
      <c r="G562" s="759">
        <f t="shared" si="154"/>
        <v>214.50553213345603</v>
      </c>
      <c r="H562" s="759">
        <f t="shared" si="154"/>
        <v>3905.6648190553642</v>
      </c>
      <c r="I562" s="759">
        <f t="shared" si="154"/>
        <v>1003.0851541935069</v>
      </c>
      <c r="J562" s="360">
        <f t="shared" si="154"/>
        <v>0</v>
      </c>
      <c r="K562" s="25">
        <f t="shared" si="150"/>
        <v>187254.08185845445</v>
      </c>
      <c r="L562" s="253">
        <v>10</v>
      </c>
      <c r="M562" s="759">
        <f t="shared" si="151"/>
        <v>18725.408185845445</v>
      </c>
      <c r="N562" s="671">
        <v>18984</v>
      </c>
      <c r="O562" s="671"/>
      <c r="P562" s="188" t="s">
        <v>403</v>
      </c>
      <c r="Q562" s="190">
        <v>40907</v>
      </c>
      <c r="R562" s="775"/>
      <c r="S562" s="301">
        <f>L562</f>
        <v>10</v>
      </c>
      <c r="T562" s="806">
        <v>17427</v>
      </c>
      <c r="U562" s="25">
        <f t="shared" si="152"/>
        <v>174270</v>
      </c>
      <c r="V562" s="451"/>
      <c r="W562" s="774"/>
      <c r="X562" s="808"/>
      <c r="Y562" s="806"/>
      <c r="Z562" s="25">
        <f t="shared" si="153"/>
        <v>0</v>
      </c>
    </row>
    <row r="563" spans="1:26" ht="16.5" customHeight="1">
      <c r="A563" s="758">
        <f t="shared" si="148"/>
        <v>207</v>
      </c>
      <c r="B563" s="191" t="s">
        <v>901</v>
      </c>
      <c r="C563" s="25">
        <f t="shared" si="149"/>
        <v>1762886</v>
      </c>
      <c r="D563" s="759">
        <f t="shared" si="154"/>
        <v>41694.8517131423</v>
      </c>
      <c r="E563" s="759">
        <f t="shared" si="154"/>
        <v>13193.57116870332</v>
      </c>
      <c r="F563" s="759">
        <f t="shared" si="154"/>
        <v>28446.936460718644</v>
      </c>
      <c r="G563" s="759">
        <f t="shared" si="154"/>
        <v>2273.7586406146338</v>
      </c>
      <c r="H563" s="759">
        <f t="shared" si="154"/>
        <v>41400.047081986864</v>
      </c>
      <c r="I563" s="759">
        <f t="shared" si="154"/>
        <v>10632.702634451174</v>
      </c>
      <c r="J563" s="360">
        <f t="shared" si="154"/>
        <v>0</v>
      </c>
      <c r="K563" s="25">
        <f t="shared" si="150"/>
        <v>1900526.8676996171</v>
      </c>
      <c r="L563" s="253">
        <v>106</v>
      </c>
      <c r="M563" s="759">
        <f t="shared" si="151"/>
        <v>17929.49875188318</v>
      </c>
      <c r="N563" s="671">
        <v>24273</v>
      </c>
      <c r="O563" s="671"/>
      <c r="P563" s="40" t="s">
        <v>515</v>
      </c>
      <c r="Q563" s="190">
        <v>40907</v>
      </c>
      <c r="R563" s="775"/>
      <c r="S563" s="301">
        <f>L563</f>
        <v>106</v>
      </c>
      <c r="T563" s="806">
        <v>16631</v>
      </c>
      <c r="U563" s="25">
        <f t="shared" si="152"/>
        <v>1762886</v>
      </c>
      <c r="V563" s="451"/>
      <c r="W563" s="774"/>
      <c r="X563" s="808"/>
      <c r="Y563" s="806"/>
      <c r="Z563" s="25">
        <f t="shared" si="153"/>
        <v>0</v>
      </c>
    </row>
    <row r="564" spans="1:26" ht="16.5" customHeight="1">
      <c r="A564" s="758">
        <f t="shared" si="148"/>
        <v>208</v>
      </c>
      <c r="B564" s="191" t="s">
        <v>902</v>
      </c>
      <c r="C564" s="25">
        <f t="shared" si="149"/>
        <v>1022580</v>
      </c>
      <c r="D564" s="759">
        <f t="shared" si="154"/>
        <v>29894.421983007684</v>
      </c>
      <c r="E564" s="759">
        <f t="shared" si="154"/>
        <v>9459.5415926552105</v>
      </c>
      <c r="F564" s="759">
        <f t="shared" si="154"/>
        <v>20395.916707685064</v>
      </c>
      <c r="G564" s="759">
        <f t="shared" si="154"/>
        <v>1630.2420442142659</v>
      </c>
      <c r="H564" s="759">
        <f t="shared" si="154"/>
        <v>29683.052624820768</v>
      </c>
      <c r="I564" s="759">
        <f t="shared" si="154"/>
        <v>7623.4471718706527</v>
      </c>
      <c r="J564" s="360">
        <f t="shared" si="154"/>
        <v>0</v>
      </c>
      <c r="K564" s="25">
        <f t="shared" si="150"/>
        <v>1121265.6221242533</v>
      </c>
      <c r="L564" s="253">
        <v>76</v>
      </c>
      <c r="M564" s="759">
        <f t="shared" si="151"/>
        <v>14753.495027950701</v>
      </c>
      <c r="N564" s="671">
        <v>17216</v>
      </c>
      <c r="O564" s="671"/>
      <c r="P564" s="40" t="s">
        <v>514</v>
      </c>
      <c r="Q564" s="190">
        <v>40907</v>
      </c>
      <c r="R564" s="775"/>
      <c r="S564" s="301">
        <f>L564</f>
        <v>76</v>
      </c>
      <c r="T564" s="806">
        <v>13455</v>
      </c>
      <c r="U564" s="25">
        <f t="shared" si="152"/>
        <v>1022580</v>
      </c>
      <c r="V564" s="451"/>
      <c r="W564" s="774"/>
      <c r="X564" s="808"/>
      <c r="Y564" s="806"/>
      <c r="Z564" s="25">
        <f t="shared" si="153"/>
        <v>0</v>
      </c>
    </row>
    <row r="565" spans="1:26" ht="16.5" customHeight="1">
      <c r="A565" s="758">
        <f t="shared" si="148"/>
        <v>209</v>
      </c>
      <c r="B565" s="191" t="s">
        <v>882</v>
      </c>
      <c r="C565" s="25">
        <f t="shared" si="149"/>
        <v>3459248</v>
      </c>
      <c r="D565" s="759">
        <f t="shared" si="154"/>
        <v>81816.312795599981</v>
      </c>
      <c r="E565" s="759">
        <f t="shared" si="154"/>
        <v>25889.271727266889</v>
      </c>
      <c r="F565" s="759">
        <f t="shared" si="154"/>
        <v>55820.403621032805</v>
      </c>
      <c r="G565" s="759">
        <f t="shared" si="154"/>
        <v>4461.7150683758855</v>
      </c>
      <c r="H565" s="759">
        <f t="shared" si="154"/>
        <v>81237.828236351575</v>
      </c>
      <c r="I565" s="759">
        <f t="shared" si="154"/>
        <v>20864.171207224947</v>
      </c>
      <c r="J565" s="360">
        <f t="shared" si="154"/>
        <v>0</v>
      </c>
      <c r="K565" s="25">
        <f t="shared" si="150"/>
        <v>3729336.7026558518</v>
      </c>
      <c r="L565" s="253">
        <v>208</v>
      </c>
      <c r="M565" s="759">
        <f t="shared" si="151"/>
        <v>17929.503378153135</v>
      </c>
      <c r="N565" s="671">
        <v>23012</v>
      </c>
      <c r="O565" s="671"/>
      <c r="P565" s="40" t="s">
        <v>515</v>
      </c>
      <c r="Q565" s="190">
        <v>40907</v>
      </c>
      <c r="R565" s="775"/>
      <c r="S565" s="301">
        <f>L565</f>
        <v>208</v>
      </c>
      <c r="T565" s="806">
        <v>16631</v>
      </c>
      <c r="U565" s="25">
        <f t="shared" si="152"/>
        <v>3459248</v>
      </c>
      <c r="V565" s="451"/>
      <c r="W565" s="774"/>
      <c r="X565" s="808"/>
      <c r="Y565" s="806"/>
      <c r="Z565" s="25">
        <f t="shared" si="153"/>
        <v>0</v>
      </c>
    </row>
    <row r="566" spans="1:26" ht="16.5" customHeight="1">
      <c r="A566" s="758">
        <f t="shared" si="148"/>
        <v>210</v>
      </c>
      <c r="B566" s="191" t="s">
        <v>903</v>
      </c>
      <c r="C566" s="25">
        <f t="shared" si="149"/>
        <v>8620</v>
      </c>
      <c r="D566" s="759">
        <f t="shared" si="154"/>
        <v>393.34765767115374</v>
      </c>
      <c r="E566" s="759">
        <f t="shared" si="154"/>
        <v>124.46765253493697</v>
      </c>
      <c r="F566" s="759">
        <f t="shared" si="154"/>
        <v>268.36732510111926</v>
      </c>
      <c r="G566" s="759">
        <f t="shared" si="154"/>
        <v>21.450553213345604</v>
      </c>
      <c r="H566" s="759">
        <f t="shared" si="154"/>
        <v>390.56648190553642</v>
      </c>
      <c r="I566" s="759">
        <f t="shared" si="154"/>
        <v>100.3085154193507</v>
      </c>
      <c r="J566" s="360">
        <f t="shared" si="154"/>
        <v>0</v>
      </c>
      <c r="K566" s="25">
        <f t="shared" si="150"/>
        <v>9917.5081858454432</v>
      </c>
      <c r="L566" s="253">
        <v>1</v>
      </c>
      <c r="M566" s="759">
        <f t="shared" si="151"/>
        <v>9917.5081858454432</v>
      </c>
      <c r="N566" s="671">
        <v>10643</v>
      </c>
      <c r="O566" s="671"/>
      <c r="P566" s="188" t="s">
        <v>415</v>
      </c>
      <c r="Q566" s="190">
        <v>40907</v>
      </c>
      <c r="R566" s="775"/>
      <c r="S566" s="301">
        <f>L566</f>
        <v>1</v>
      </c>
      <c r="T566" s="806">
        <v>8620</v>
      </c>
      <c r="U566" s="25">
        <f t="shared" si="152"/>
        <v>8620</v>
      </c>
      <c r="V566" s="451"/>
      <c r="W566" s="774"/>
      <c r="X566" s="808"/>
      <c r="Y566" s="806"/>
      <c r="Z566" s="25">
        <f t="shared" si="153"/>
        <v>0</v>
      </c>
    </row>
    <row r="567" spans="1:26" ht="16.5" customHeight="1">
      <c r="A567" s="758">
        <f t="shared" si="148"/>
        <v>211</v>
      </c>
      <c r="B567" s="191" t="s">
        <v>904</v>
      </c>
      <c r="C567" s="25">
        <f t="shared" si="149"/>
        <v>131512</v>
      </c>
      <c r="D567" s="759">
        <f t="shared" si="154"/>
        <v>4720.1718920538451</v>
      </c>
      <c r="E567" s="759">
        <f t="shared" si="154"/>
        <v>1493.6118304192437</v>
      </c>
      <c r="F567" s="759">
        <f t="shared" si="154"/>
        <v>3220.4079012134312</v>
      </c>
      <c r="G567" s="759">
        <f t="shared" si="154"/>
        <v>257.40663856014726</v>
      </c>
      <c r="H567" s="759">
        <f t="shared" si="154"/>
        <v>4686.797782866437</v>
      </c>
      <c r="I567" s="759">
        <f t="shared" si="154"/>
        <v>1203.7021850322085</v>
      </c>
      <c r="J567" s="360">
        <f t="shared" si="154"/>
        <v>0</v>
      </c>
      <c r="K567" s="25">
        <f t="shared" si="150"/>
        <v>147093.09823014532</v>
      </c>
      <c r="L567" s="253">
        <v>12</v>
      </c>
      <c r="M567" s="759">
        <f t="shared" si="151"/>
        <v>12257.758185845443</v>
      </c>
      <c r="N567" s="671">
        <v>14530</v>
      </c>
      <c r="O567" s="671"/>
      <c r="P567" s="40" t="s">
        <v>506</v>
      </c>
      <c r="Q567" s="190">
        <v>40907</v>
      </c>
      <c r="R567" s="775"/>
      <c r="S567" s="301">
        <v>4</v>
      </c>
      <c r="T567" s="806">
        <v>32878</v>
      </c>
      <c r="U567" s="25">
        <f t="shared" si="152"/>
        <v>131512</v>
      </c>
      <c r="V567" s="451"/>
      <c r="W567" s="774"/>
      <c r="X567" s="808"/>
      <c r="Y567" s="806"/>
      <c r="Z567" s="25">
        <f t="shared" si="153"/>
        <v>0</v>
      </c>
    </row>
    <row r="568" spans="1:26" ht="16.5" customHeight="1">
      <c r="A568" s="758">
        <f t="shared" si="148"/>
        <v>212</v>
      </c>
      <c r="B568" s="191" t="s">
        <v>677</v>
      </c>
      <c r="C568" s="25">
        <f t="shared" si="149"/>
        <v>905814</v>
      </c>
      <c r="D568" s="759">
        <f t="shared" si="154"/>
        <v>35794.636848074988</v>
      </c>
      <c r="E568" s="759">
        <f t="shared" si="154"/>
        <v>11326.556380679265</v>
      </c>
      <c r="F568" s="759">
        <f t="shared" si="154"/>
        <v>24421.426584201854</v>
      </c>
      <c r="G568" s="759">
        <f t="shared" si="154"/>
        <v>1952.00034241445</v>
      </c>
      <c r="H568" s="759">
        <f t="shared" si="154"/>
        <v>35541.549853403812</v>
      </c>
      <c r="I568" s="759">
        <f t="shared" si="154"/>
        <v>9128.0749031609139</v>
      </c>
      <c r="J568" s="360">
        <f t="shared" si="154"/>
        <v>0</v>
      </c>
      <c r="K568" s="25">
        <f t="shared" si="150"/>
        <v>1023977.2449119353</v>
      </c>
      <c r="L568" s="253">
        <v>91</v>
      </c>
      <c r="M568" s="759">
        <f t="shared" si="151"/>
        <v>11252.497196834454</v>
      </c>
      <c r="N568" s="671">
        <v>11840</v>
      </c>
      <c r="O568" s="671"/>
      <c r="P568" s="188" t="s">
        <v>494</v>
      </c>
      <c r="Q568" s="190">
        <v>40907</v>
      </c>
      <c r="R568" s="775"/>
      <c r="S568" s="301">
        <f>L568</f>
        <v>91</v>
      </c>
      <c r="T568" s="806">
        <v>9954</v>
      </c>
      <c r="U568" s="25">
        <f t="shared" si="152"/>
        <v>905814</v>
      </c>
      <c r="V568" s="451"/>
      <c r="W568" s="774"/>
      <c r="X568" s="808"/>
      <c r="Y568" s="806"/>
      <c r="Z568" s="25">
        <f t="shared" si="153"/>
        <v>0</v>
      </c>
    </row>
    <row r="569" spans="1:26" ht="16.5" customHeight="1">
      <c r="A569" s="758">
        <f t="shared" si="148"/>
        <v>213</v>
      </c>
      <c r="B569" s="191" t="s">
        <v>905</v>
      </c>
      <c r="C569" s="25">
        <f t="shared" si="149"/>
        <v>537516</v>
      </c>
      <c r="D569" s="759">
        <f t="shared" si="154"/>
        <v>448416.32974511525</v>
      </c>
      <c r="E569" s="759">
        <f t="shared" si="154"/>
        <v>141893.12388982816</v>
      </c>
      <c r="F569" s="759">
        <f t="shared" si="154"/>
        <v>305938.75061527599</v>
      </c>
      <c r="G569" s="759">
        <f t="shared" si="154"/>
        <v>24453.630663213989</v>
      </c>
      <c r="H569" s="759">
        <f t="shared" si="154"/>
        <v>445245.7893723115</v>
      </c>
      <c r="I569" s="759">
        <f t="shared" si="154"/>
        <v>114351.7075780598</v>
      </c>
      <c r="J569" s="360">
        <f t="shared" si="154"/>
        <v>0</v>
      </c>
      <c r="K569" s="25">
        <f t="shared" si="150"/>
        <v>2017814.3318638045</v>
      </c>
      <c r="L569" s="253">
        <v>1140</v>
      </c>
      <c r="M569" s="759">
        <f t="shared" si="151"/>
        <v>1770.0125718103548</v>
      </c>
      <c r="N569" s="671">
        <v>1310</v>
      </c>
      <c r="O569" s="671"/>
      <c r="P569" s="188" t="s">
        <v>494</v>
      </c>
      <c r="Q569" s="190">
        <v>40907</v>
      </c>
      <c r="R569" s="775"/>
      <c r="S569" s="301">
        <v>54</v>
      </c>
      <c r="T569" s="806">
        <v>9954</v>
      </c>
      <c r="U569" s="25">
        <f t="shared" si="152"/>
        <v>537516</v>
      </c>
      <c r="V569" s="451"/>
      <c r="W569" s="774"/>
      <c r="X569" s="808"/>
      <c r="Y569" s="806"/>
      <c r="Z569" s="25">
        <f t="shared" si="153"/>
        <v>0</v>
      </c>
    </row>
    <row r="570" spans="1:26" ht="16.5" customHeight="1">
      <c r="A570" s="758">
        <f t="shared" si="148"/>
        <v>214</v>
      </c>
      <c r="B570" s="191" t="s">
        <v>897</v>
      </c>
      <c r="C570" s="25">
        <f t="shared" si="149"/>
        <v>537516</v>
      </c>
      <c r="D570" s="759">
        <f t="shared" si="154"/>
        <v>448416.32974511525</v>
      </c>
      <c r="E570" s="759">
        <f t="shared" si="154"/>
        <v>141893.12388982816</v>
      </c>
      <c r="F570" s="759">
        <f t="shared" si="154"/>
        <v>305938.75061527599</v>
      </c>
      <c r="G570" s="759">
        <f t="shared" si="154"/>
        <v>24453.630663213989</v>
      </c>
      <c r="H570" s="759">
        <f t="shared" si="154"/>
        <v>445245.7893723115</v>
      </c>
      <c r="I570" s="759">
        <f t="shared" si="154"/>
        <v>114351.7075780598</v>
      </c>
      <c r="J570" s="360">
        <f t="shared" si="154"/>
        <v>0</v>
      </c>
      <c r="K570" s="25">
        <f t="shared" si="150"/>
        <v>2017814.3318638045</v>
      </c>
      <c r="L570" s="253">
        <v>1140</v>
      </c>
      <c r="M570" s="759">
        <f t="shared" si="151"/>
        <v>1770.0125718103548</v>
      </c>
      <c r="N570" s="671">
        <v>1556</v>
      </c>
      <c r="O570" s="671"/>
      <c r="P570" s="188" t="s">
        <v>494</v>
      </c>
      <c r="Q570" s="190">
        <v>40907</v>
      </c>
      <c r="R570" s="775"/>
      <c r="S570" s="301">
        <v>54</v>
      </c>
      <c r="T570" s="806">
        <v>9954</v>
      </c>
      <c r="U570" s="25">
        <f t="shared" si="152"/>
        <v>537516</v>
      </c>
      <c r="V570" s="451"/>
      <c r="W570" s="774"/>
      <c r="X570" s="808"/>
      <c r="Y570" s="806"/>
      <c r="Z570" s="25">
        <f t="shared" si="153"/>
        <v>0</v>
      </c>
    </row>
    <row r="571" spans="1:26" ht="16.5" customHeight="1">
      <c r="A571" s="758">
        <f t="shared" si="148"/>
        <v>215</v>
      </c>
      <c r="B571" s="191" t="s">
        <v>877</v>
      </c>
      <c r="C571" s="25">
        <f t="shared" si="149"/>
        <v>17427</v>
      </c>
      <c r="D571" s="759">
        <f t="shared" si="154"/>
        <v>393.34765767115374</v>
      </c>
      <c r="E571" s="759">
        <f t="shared" si="154"/>
        <v>124.46765253493697</v>
      </c>
      <c r="F571" s="759">
        <f t="shared" si="154"/>
        <v>268.36732510111926</v>
      </c>
      <c r="G571" s="759">
        <f t="shared" si="154"/>
        <v>21.450553213345604</v>
      </c>
      <c r="H571" s="759">
        <f t="shared" si="154"/>
        <v>390.56648190553642</v>
      </c>
      <c r="I571" s="759">
        <f t="shared" si="154"/>
        <v>100.3085154193507</v>
      </c>
      <c r="J571" s="360">
        <f t="shared" si="154"/>
        <v>0</v>
      </c>
      <c r="K571" s="25">
        <f t="shared" si="150"/>
        <v>18724.508185845447</v>
      </c>
      <c r="L571" s="253">
        <v>1</v>
      </c>
      <c r="M571" s="759">
        <f t="shared" si="151"/>
        <v>18724.508185845447</v>
      </c>
      <c r="N571" s="671">
        <v>18928</v>
      </c>
      <c r="O571" s="671"/>
      <c r="P571" s="188" t="s">
        <v>403</v>
      </c>
      <c r="Q571" s="190">
        <v>40907</v>
      </c>
      <c r="R571" s="775"/>
      <c r="S571" s="301">
        <f t="shared" ref="S571:S578" si="155">L571</f>
        <v>1</v>
      </c>
      <c r="T571" s="806">
        <v>17427</v>
      </c>
      <c r="U571" s="25">
        <f t="shared" si="152"/>
        <v>17427</v>
      </c>
      <c r="V571" s="451"/>
      <c r="W571" s="774"/>
      <c r="X571" s="808"/>
      <c r="Y571" s="806"/>
      <c r="Z571" s="25">
        <f t="shared" si="153"/>
        <v>0</v>
      </c>
    </row>
    <row r="572" spans="1:26" ht="16.5" customHeight="1">
      <c r="A572" s="758">
        <f t="shared" si="148"/>
        <v>216</v>
      </c>
      <c r="B572" s="191" t="s">
        <v>906</v>
      </c>
      <c r="C572" s="25">
        <f t="shared" si="149"/>
        <v>108101</v>
      </c>
      <c r="D572" s="759">
        <f t="shared" si="154"/>
        <v>2753.4336036980762</v>
      </c>
      <c r="E572" s="759">
        <f t="shared" si="154"/>
        <v>871.27356774455882</v>
      </c>
      <c r="F572" s="759">
        <f t="shared" si="154"/>
        <v>1878.571275707835</v>
      </c>
      <c r="G572" s="759">
        <f t="shared" si="154"/>
        <v>150.15387249341921</v>
      </c>
      <c r="H572" s="759">
        <f t="shared" si="154"/>
        <v>2733.9653733387549</v>
      </c>
      <c r="I572" s="759">
        <f t="shared" si="154"/>
        <v>702.15960793545491</v>
      </c>
      <c r="J572" s="360">
        <f t="shared" si="154"/>
        <v>0</v>
      </c>
      <c r="K572" s="25">
        <f t="shared" si="150"/>
        <v>117189.5573009181</v>
      </c>
      <c r="L572" s="253">
        <v>7</v>
      </c>
      <c r="M572" s="759">
        <f t="shared" si="151"/>
        <v>16741.365328702585</v>
      </c>
      <c r="N572" s="671">
        <v>17667</v>
      </c>
      <c r="O572" s="671"/>
      <c r="P572" s="40" t="s">
        <v>509</v>
      </c>
      <c r="Q572" s="190">
        <v>40907</v>
      </c>
      <c r="R572" s="775"/>
      <c r="S572" s="301">
        <f t="shared" si="155"/>
        <v>7</v>
      </c>
      <c r="T572" s="806">
        <v>15443</v>
      </c>
      <c r="U572" s="25">
        <f t="shared" si="152"/>
        <v>108101</v>
      </c>
      <c r="V572" s="451"/>
      <c r="W572" s="774"/>
      <c r="X572" s="808"/>
      <c r="Y572" s="806"/>
      <c r="Z572" s="25">
        <f t="shared" si="153"/>
        <v>0</v>
      </c>
    </row>
    <row r="573" spans="1:26" ht="16.5" customHeight="1">
      <c r="A573" s="758">
        <f t="shared" si="148"/>
        <v>217</v>
      </c>
      <c r="B573" s="191" t="s">
        <v>882</v>
      </c>
      <c r="C573" s="25">
        <f t="shared" si="149"/>
        <v>405560</v>
      </c>
      <c r="D573" s="759">
        <f t="shared" si="154"/>
        <v>7866.9531534230746</v>
      </c>
      <c r="E573" s="759">
        <f t="shared" si="154"/>
        <v>2489.3530506987395</v>
      </c>
      <c r="F573" s="759">
        <f t="shared" si="154"/>
        <v>5367.3465020223848</v>
      </c>
      <c r="G573" s="759">
        <f t="shared" si="154"/>
        <v>429.01106426691206</v>
      </c>
      <c r="H573" s="759">
        <f t="shared" si="154"/>
        <v>7811.3296381107284</v>
      </c>
      <c r="I573" s="759">
        <f t="shared" si="154"/>
        <v>2006.1703083870138</v>
      </c>
      <c r="J573" s="360">
        <f t="shared" si="154"/>
        <v>0</v>
      </c>
      <c r="K573" s="25">
        <f t="shared" si="150"/>
        <v>431529.16371690889</v>
      </c>
      <c r="L573" s="253">
        <v>20</v>
      </c>
      <c r="M573" s="759">
        <f t="shared" si="151"/>
        <v>21576.458185845444</v>
      </c>
      <c r="N573" s="671">
        <v>23117</v>
      </c>
      <c r="O573" s="671"/>
      <c r="P573" s="40" t="s">
        <v>503</v>
      </c>
      <c r="Q573" s="190">
        <v>40907</v>
      </c>
      <c r="R573" s="775"/>
      <c r="S573" s="301">
        <f t="shared" si="155"/>
        <v>20</v>
      </c>
      <c r="T573" s="806">
        <v>20278</v>
      </c>
      <c r="U573" s="25">
        <f t="shared" si="152"/>
        <v>405560</v>
      </c>
      <c r="V573" s="451"/>
      <c r="W573" s="774"/>
      <c r="X573" s="808"/>
      <c r="Y573" s="806"/>
      <c r="Z573" s="25">
        <f t="shared" si="153"/>
        <v>0</v>
      </c>
    </row>
    <row r="574" spans="1:26" ht="16.5" customHeight="1">
      <c r="A574" s="758">
        <f t="shared" si="148"/>
        <v>218</v>
      </c>
      <c r="B574" s="191" t="s">
        <v>907</v>
      </c>
      <c r="C574" s="25">
        <f t="shared" si="149"/>
        <v>173740</v>
      </c>
      <c r="D574" s="759">
        <f t="shared" si="154"/>
        <v>3933.4765767115373</v>
      </c>
      <c r="E574" s="759">
        <f t="shared" si="154"/>
        <v>1244.6765253493697</v>
      </c>
      <c r="F574" s="759">
        <f t="shared" si="154"/>
        <v>2683.6732510111924</v>
      </c>
      <c r="G574" s="759">
        <f t="shared" si="154"/>
        <v>214.50553213345603</v>
      </c>
      <c r="H574" s="759">
        <f t="shared" si="154"/>
        <v>3905.6648190553642</v>
      </c>
      <c r="I574" s="759">
        <f t="shared" si="154"/>
        <v>1003.0851541935069</v>
      </c>
      <c r="J574" s="360">
        <f t="shared" si="154"/>
        <v>0</v>
      </c>
      <c r="K574" s="25">
        <f t="shared" si="150"/>
        <v>186724.08185845445</v>
      </c>
      <c r="L574" s="253">
        <v>10</v>
      </c>
      <c r="M574" s="759">
        <f t="shared" si="151"/>
        <v>18672.408185845445</v>
      </c>
      <c r="N574" s="671">
        <v>19203</v>
      </c>
      <c r="O574" s="671"/>
      <c r="P574" s="40" t="s">
        <v>466</v>
      </c>
      <c r="Q574" s="190">
        <v>40907</v>
      </c>
      <c r="R574" s="775"/>
      <c r="S574" s="301">
        <f t="shared" si="155"/>
        <v>10</v>
      </c>
      <c r="T574" s="289">
        <v>17374</v>
      </c>
      <c r="U574" s="25">
        <f t="shared" si="152"/>
        <v>173740</v>
      </c>
      <c r="V574" s="451"/>
      <c r="W574" s="774"/>
      <c r="X574" s="808"/>
      <c r="Y574" s="806"/>
      <c r="Z574" s="25">
        <f t="shared" si="153"/>
        <v>0</v>
      </c>
    </row>
    <row r="575" spans="1:26" ht="16.5" customHeight="1">
      <c r="A575" s="758">
        <f t="shared" si="148"/>
        <v>219</v>
      </c>
      <c r="B575" s="191" t="s">
        <v>839</v>
      </c>
      <c r="C575" s="25">
        <f t="shared" si="149"/>
        <v>30886</v>
      </c>
      <c r="D575" s="759">
        <f t="shared" si="154"/>
        <v>786.69531534230748</v>
      </c>
      <c r="E575" s="759">
        <f t="shared" si="154"/>
        <v>248.93530506987395</v>
      </c>
      <c r="F575" s="759">
        <f t="shared" si="154"/>
        <v>536.73465020223853</v>
      </c>
      <c r="G575" s="759">
        <f t="shared" si="154"/>
        <v>42.901106426691207</v>
      </c>
      <c r="H575" s="759">
        <f t="shared" si="154"/>
        <v>781.13296381107284</v>
      </c>
      <c r="I575" s="759">
        <f t="shared" si="154"/>
        <v>200.6170308387014</v>
      </c>
      <c r="J575" s="360">
        <f t="shared" si="154"/>
        <v>0</v>
      </c>
      <c r="K575" s="25">
        <f t="shared" si="150"/>
        <v>33482.016371690886</v>
      </c>
      <c r="L575" s="253">
        <v>2</v>
      </c>
      <c r="M575" s="759">
        <f t="shared" si="151"/>
        <v>16741.008185845443</v>
      </c>
      <c r="N575" s="671">
        <v>16215</v>
      </c>
      <c r="O575" s="671"/>
      <c r="P575" s="40" t="s">
        <v>509</v>
      </c>
      <c r="Q575" s="190">
        <v>40907</v>
      </c>
      <c r="R575" s="775"/>
      <c r="S575" s="301">
        <f t="shared" si="155"/>
        <v>2</v>
      </c>
      <c r="T575" s="806">
        <v>15443</v>
      </c>
      <c r="U575" s="25">
        <f t="shared" si="152"/>
        <v>30886</v>
      </c>
      <c r="V575" s="451"/>
      <c r="W575" s="774"/>
      <c r="X575" s="808"/>
      <c r="Y575" s="806"/>
      <c r="Z575" s="25">
        <f t="shared" si="153"/>
        <v>0</v>
      </c>
    </row>
    <row r="576" spans="1:26" ht="16.5" customHeight="1">
      <c r="A576" s="758">
        <f t="shared" si="148"/>
        <v>220</v>
      </c>
      <c r="B576" s="191" t="s">
        <v>882</v>
      </c>
      <c r="C576" s="25">
        <f t="shared" si="149"/>
        <v>1796148</v>
      </c>
      <c r="D576" s="759">
        <f t="shared" si="154"/>
        <v>42481.547028484601</v>
      </c>
      <c r="E576" s="759">
        <f t="shared" si="154"/>
        <v>13442.506473773194</v>
      </c>
      <c r="F576" s="759">
        <f t="shared" si="154"/>
        <v>28983.671110920881</v>
      </c>
      <c r="G576" s="759">
        <f t="shared" si="154"/>
        <v>2316.6597470413253</v>
      </c>
      <c r="H576" s="759">
        <f t="shared" si="154"/>
        <v>42181.180045797933</v>
      </c>
      <c r="I576" s="759">
        <f t="shared" si="154"/>
        <v>10833.319665289875</v>
      </c>
      <c r="J576" s="360">
        <f t="shared" si="154"/>
        <v>0</v>
      </c>
      <c r="K576" s="25">
        <f t="shared" si="150"/>
        <v>1936385.8840713077</v>
      </c>
      <c r="L576" s="253">
        <v>108</v>
      </c>
      <c r="M576" s="759">
        <f t="shared" si="151"/>
        <v>17929.498926586184</v>
      </c>
      <c r="N576" s="671">
        <v>23012</v>
      </c>
      <c r="O576" s="671"/>
      <c r="P576" s="40" t="s">
        <v>515</v>
      </c>
      <c r="Q576" s="190">
        <v>40907</v>
      </c>
      <c r="R576" s="775"/>
      <c r="S576" s="301">
        <f t="shared" si="155"/>
        <v>108</v>
      </c>
      <c r="T576" s="806">
        <v>16631</v>
      </c>
      <c r="U576" s="25">
        <f t="shared" si="152"/>
        <v>1796148</v>
      </c>
      <c r="V576" s="451"/>
      <c r="W576" s="774"/>
      <c r="X576" s="808"/>
      <c r="Y576" s="806"/>
      <c r="Z576" s="25">
        <f t="shared" si="153"/>
        <v>0</v>
      </c>
    </row>
    <row r="577" spans="1:26" ht="16.5" customHeight="1">
      <c r="A577" s="758">
        <f t="shared" si="148"/>
        <v>221</v>
      </c>
      <c r="B577" s="191" t="s">
        <v>906</v>
      </c>
      <c r="C577" s="25">
        <f t="shared" si="149"/>
        <v>30886</v>
      </c>
      <c r="D577" s="759">
        <f t="shared" si="154"/>
        <v>786.69531534230748</v>
      </c>
      <c r="E577" s="759">
        <f t="shared" si="154"/>
        <v>248.93530506987395</v>
      </c>
      <c r="F577" s="759">
        <f t="shared" si="154"/>
        <v>536.73465020223853</v>
      </c>
      <c r="G577" s="759">
        <f t="shared" si="154"/>
        <v>42.901106426691207</v>
      </c>
      <c r="H577" s="759">
        <f t="shared" si="154"/>
        <v>781.13296381107284</v>
      </c>
      <c r="I577" s="759">
        <f t="shared" si="154"/>
        <v>200.6170308387014</v>
      </c>
      <c r="J577" s="360">
        <f t="shared" si="154"/>
        <v>0</v>
      </c>
      <c r="K577" s="25">
        <f t="shared" si="150"/>
        <v>33482.016371690886</v>
      </c>
      <c r="L577" s="253">
        <v>2</v>
      </c>
      <c r="M577" s="759">
        <f t="shared" si="151"/>
        <v>16741.008185845443</v>
      </c>
      <c r="N577" s="671">
        <v>17667</v>
      </c>
      <c r="O577" s="671"/>
      <c r="P577" s="40" t="s">
        <v>509</v>
      </c>
      <c r="Q577" s="190">
        <v>40907</v>
      </c>
      <c r="R577" s="775"/>
      <c r="S577" s="301">
        <f t="shared" si="155"/>
        <v>2</v>
      </c>
      <c r="T577" s="806">
        <v>15443</v>
      </c>
      <c r="U577" s="25">
        <f t="shared" si="152"/>
        <v>30886</v>
      </c>
      <c r="V577" s="451"/>
      <c r="W577" s="774"/>
      <c r="X577" s="808"/>
      <c r="Y577" s="806"/>
      <c r="Z577" s="25">
        <f t="shared" si="153"/>
        <v>0</v>
      </c>
    </row>
    <row r="578" spans="1:26" ht="16.5" customHeight="1">
      <c r="A578" s="758">
        <f t="shared" si="148"/>
        <v>222</v>
      </c>
      <c r="B578" s="191" t="s">
        <v>908</v>
      </c>
      <c r="C578" s="25">
        <f t="shared" si="149"/>
        <v>25860</v>
      </c>
      <c r="D578" s="759">
        <f t="shared" si="154"/>
        <v>1180.0429730134613</v>
      </c>
      <c r="E578" s="759">
        <f t="shared" si="154"/>
        <v>373.40295760481092</v>
      </c>
      <c r="F578" s="759">
        <f t="shared" si="154"/>
        <v>805.10197530335779</v>
      </c>
      <c r="G578" s="759">
        <f t="shared" si="154"/>
        <v>64.351659640036814</v>
      </c>
      <c r="H578" s="759">
        <f t="shared" si="154"/>
        <v>1171.6994457166093</v>
      </c>
      <c r="I578" s="759">
        <f t="shared" si="154"/>
        <v>300.92554625805212</v>
      </c>
      <c r="J578" s="360">
        <f t="shared" si="154"/>
        <v>0</v>
      </c>
      <c r="K578" s="25">
        <f t="shared" si="150"/>
        <v>29754.524557536326</v>
      </c>
      <c r="L578" s="253">
        <v>3</v>
      </c>
      <c r="M578" s="759">
        <f t="shared" si="151"/>
        <v>9918.1748525121093</v>
      </c>
      <c r="N578" s="671">
        <v>10778</v>
      </c>
      <c r="O578" s="671"/>
      <c r="P578" s="188" t="s">
        <v>415</v>
      </c>
      <c r="Q578" s="190">
        <v>40907</v>
      </c>
      <c r="R578" s="775"/>
      <c r="S578" s="301">
        <f t="shared" si="155"/>
        <v>3</v>
      </c>
      <c r="T578" s="806">
        <v>8620</v>
      </c>
      <c r="U578" s="25">
        <f t="shared" si="152"/>
        <v>25860</v>
      </c>
      <c r="V578" s="451"/>
      <c r="W578" s="774"/>
      <c r="X578" s="808"/>
      <c r="Y578" s="806"/>
      <c r="Z578" s="25">
        <f t="shared" si="153"/>
        <v>0</v>
      </c>
    </row>
    <row r="579" spans="1:26" ht="16.5" customHeight="1">
      <c r="A579" s="758">
        <f t="shared" si="148"/>
        <v>223</v>
      </c>
      <c r="B579" s="191" t="s">
        <v>909</v>
      </c>
      <c r="C579" s="25">
        <f t="shared" si="149"/>
        <v>27908</v>
      </c>
      <c r="D579" s="759">
        <f t="shared" si="154"/>
        <v>786.69531534230748</v>
      </c>
      <c r="E579" s="759">
        <f t="shared" si="154"/>
        <v>248.93530506987395</v>
      </c>
      <c r="F579" s="759">
        <f t="shared" si="154"/>
        <v>536.73465020223853</v>
      </c>
      <c r="G579" s="759">
        <f t="shared" si="154"/>
        <v>42.901106426691207</v>
      </c>
      <c r="H579" s="759">
        <f t="shared" si="154"/>
        <v>781.13296381107284</v>
      </c>
      <c r="I579" s="759">
        <f t="shared" si="154"/>
        <v>200.6170308387014</v>
      </c>
      <c r="J579" s="360">
        <f t="shared" si="154"/>
        <v>0</v>
      </c>
      <c r="K579" s="25">
        <f t="shared" si="150"/>
        <v>30504.016371690886</v>
      </c>
      <c r="L579" s="253">
        <v>2</v>
      </c>
      <c r="M579" s="759">
        <f t="shared" si="151"/>
        <v>15252.008185845443</v>
      </c>
      <c r="N579" s="671">
        <v>18002</v>
      </c>
      <c r="O579" s="671"/>
      <c r="P579" s="188" t="s">
        <v>432</v>
      </c>
      <c r="Q579" s="190">
        <v>40907</v>
      </c>
      <c r="R579" s="775"/>
      <c r="S579" s="301">
        <v>2</v>
      </c>
      <c r="T579" s="806">
        <v>13954</v>
      </c>
      <c r="U579" s="25">
        <f t="shared" si="152"/>
        <v>27908</v>
      </c>
      <c r="V579" s="451"/>
      <c r="W579" s="774"/>
      <c r="X579" s="808"/>
      <c r="Y579" s="806"/>
      <c r="Z579" s="25">
        <f t="shared" si="153"/>
        <v>0</v>
      </c>
    </row>
    <row r="580" spans="1:26" ht="16.5" customHeight="1">
      <c r="A580" s="758">
        <f t="shared" si="148"/>
        <v>224</v>
      </c>
      <c r="B580" s="191" t="s">
        <v>838</v>
      </c>
      <c r="C580" s="25">
        <f t="shared" si="149"/>
        <v>34854</v>
      </c>
      <c r="D580" s="759">
        <f t="shared" si="154"/>
        <v>1573.390630684615</v>
      </c>
      <c r="E580" s="759">
        <f t="shared" si="154"/>
        <v>497.8706101397479</v>
      </c>
      <c r="F580" s="759">
        <f t="shared" si="154"/>
        <v>1073.4693004044771</v>
      </c>
      <c r="G580" s="759">
        <f t="shared" si="154"/>
        <v>85.802212853382414</v>
      </c>
      <c r="H580" s="759">
        <f t="shared" si="154"/>
        <v>1562.2659276221457</v>
      </c>
      <c r="I580" s="759">
        <f t="shared" si="154"/>
        <v>401.23406167740279</v>
      </c>
      <c r="J580" s="360">
        <f t="shared" si="154"/>
        <v>0</v>
      </c>
      <c r="K580" s="25">
        <f t="shared" si="150"/>
        <v>40047.032743381773</v>
      </c>
      <c r="L580" s="253">
        <v>4</v>
      </c>
      <c r="M580" s="759">
        <f t="shared" si="151"/>
        <v>10011.758185845443</v>
      </c>
      <c r="N580" s="671">
        <v>11987</v>
      </c>
      <c r="O580" s="671"/>
      <c r="P580" s="188" t="s">
        <v>403</v>
      </c>
      <c r="Q580" s="190">
        <v>40907</v>
      </c>
      <c r="R580" s="775"/>
      <c r="S580" s="301">
        <v>2</v>
      </c>
      <c r="T580" s="806">
        <v>17427</v>
      </c>
      <c r="U580" s="25">
        <f t="shared" si="152"/>
        <v>34854</v>
      </c>
      <c r="V580" s="451"/>
      <c r="W580" s="774"/>
      <c r="X580" s="808"/>
      <c r="Y580" s="806"/>
      <c r="Z580" s="25">
        <f t="shared" si="153"/>
        <v>0</v>
      </c>
    </row>
    <row r="581" spans="1:26" ht="16.5" customHeight="1">
      <c r="A581" s="758">
        <f t="shared" si="148"/>
        <v>225</v>
      </c>
      <c r="B581" s="191" t="s">
        <v>841</v>
      </c>
      <c r="C581" s="25">
        <f t="shared" si="149"/>
        <v>26910</v>
      </c>
      <c r="D581" s="759">
        <f t="shared" si="154"/>
        <v>786.69531534230748</v>
      </c>
      <c r="E581" s="759">
        <f t="shared" si="154"/>
        <v>248.93530506987395</v>
      </c>
      <c r="F581" s="759">
        <f t="shared" si="154"/>
        <v>536.73465020223853</v>
      </c>
      <c r="G581" s="759">
        <f t="shared" si="154"/>
        <v>42.901106426691207</v>
      </c>
      <c r="H581" s="759">
        <f t="shared" si="154"/>
        <v>781.13296381107284</v>
      </c>
      <c r="I581" s="759">
        <f t="shared" si="154"/>
        <v>200.6170308387014</v>
      </c>
      <c r="J581" s="360">
        <f t="shared" si="154"/>
        <v>0</v>
      </c>
      <c r="K581" s="25">
        <f t="shared" si="150"/>
        <v>29506.016371690886</v>
      </c>
      <c r="L581" s="253">
        <v>2</v>
      </c>
      <c r="M581" s="759">
        <f t="shared" si="151"/>
        <v>14753.008185845443</v>
      </c>
      <c r="N581" s="671">
        <v>14798</v>
      </c>
      <c r="O581" s="671"/>
      <c r="P581" s="40" t="s">
        <v>514</v>
      </c>
      <c r="Q581" s="190">
        <v>40907</v>
      </c>
      <c r="R581" s="775"/>
      <c r="S581" s="301">
        <f t="shared" ref="S581:S587" si="156">L581</f>
        <v>2</v>
      </c>
      <c r="T581" s="806">
        <v>13455</v>
      </c>
      <c r="U581" s="25">
        <f t="shared" si="152"/>
        <v>26910</v>
      </c>
      <c r="V581" s="451"/>
      <c r="W581" s="774"/>
      <c r="X581" s="808"/>
      <c r="Y581" s="806"/>
      <c r="Z581" s="25">
        <f t="shared" si="153"/>
        <v>0</v>
      </c>
    </row>
    <row r="582" spans="1:26" ht="16.5" customHeight="1">
      <c r="A582" s="758">
        <f t="shared" si="148"/>
        <v>226</v>
      </c>
      <c r="B582" s="191" t="s">
        <v>910</v>
      </c>
      <c r="C582" s="25">
        <f t="shared" si="149"/>
        <v>13455</v>
      </c>
      <c r="D582" s="759">
        <f t="shared" si="154"/>
        <v>393.34765767115374</v>
      </c>
      <c r="E582" s="759">
        <f t="shared" si="154"/>
        <v>124.46765253493697</v>
      </c>
      <c r="F582" s="759">
        <f t="shared" si="154"/>
        <v>268.36732510111926</v>
      </c>
      <c r="G582" s="759">
        <f t="shared" si="154"/>
        <v>21.450553213345604</v>
      </c>
      <c r="H582" s="759">
        <f t="shared" si="154"/>
        <v>390.56648190553642</v>
      </c>
      <c r="I582" s="759">
        <f t="shared" si="154"/>
        <v>100.3085154193507</v>
      </c>
      <c r="J582" s="360">
        <f t="shared" si="154"/>
        <v>0</v>
      </c>
      <c r="K582" s="25">
        <f t="shared" si="150"/>
        <v>14752.508185845443</v>
      </c>
      <c r="L582" s="253">
        <v>1</v>
      </c>
      <c r="M582" s="759">
        <f t="shared" si="151"/>
        <v>14752.508185845443</v>
      </c>
      <c r="N582" s="671">
        <v>13310</v>
      </c>
      <c r="O582" s="671"/>
      <c r="P582" s="40" t="s">
        <v>514</v>
      </c>
      <c r="Q582" s="190">
        <v>40907</v>
      </c>
      <c r="R582" s="775"/>
      <c r="S582" s="301">
        <f t="shared" si="156"/>
        <v>1</v>
      </c>
      <c r="T582" s="806">
        <v>13455</v>
      </c>
      <c r="U582" s="25">
        <f t="shared" si="152"/>
        <v>13455</v>
      </c>
      <c r="V582" s="451"/>
      <c r="W582" s="774"/>
      <c r="X582" s="808"/>
      <c r="Y582" s="806"/>
      <c r="Z582" s="25">
        <f t="shared" si="153"/>
        <v>0</v>
      </c>
    </row>
    <row r="583" spans="1:26" ht="16.5" customHeight="1">
      <c r="A583" s="758">
        <f t="shared" si="148"/>
        <v>227</v>
      </c>
      <c r="B583" s="191" t="s">
        <v>902</v>
      </c>
      <c r="C583" s="25">
        <f t="shared" si="149"/>
        <v>15443</v>
      </c>
      <c r="D583" s="759">
        <f t="shared" si="154"/>
        <v>393.34765767115374</v>
      </c>
      <c r="E583" s="759">
        <f t="shared" si="154"/>
        <v>124.46765253493697</v>
      </c>
      <c r="F583" s="759">
        <f t="shared" si="154"/>
        <v>268.36732510111926</v>
      </c>
      <c r="G583" s="759">
        <f t="shared" si="154"/>
        <v>21.450553213345604</v>
      </c>
      <c r="H583" s="759">
        <f t="shared" si="154"/>
        <v>390.56648190553642</v>
      </c>
      <c r="I583" s="759">
        <f t="shared" si="154"/>
        <v>100.3085154193507</v>
      </c>
      <c r="J583" s="360">
        <f t="shared" si="154"/>
        <v>0</v>
      </c>
      <c r="K583" s="25">
        <f t="shared" si="150"/>
        <v>16740.508185845443</v>
      </c>
      <c r="L583" s="253">
        <v>1</v>
      </c>
      <c r="M583" s="759">
        <f t="shared" si="151"/>
        <v>16740.508185845443</v>
      </c>
      <c r="N583" s="671">
        <v>17216</v>
      </c>
      <c r="O583" s="671"/>
      <c r="P583" s="40" t="s">
        <v>509</v>
      </c>
      <c r="Q583" s="190">
        <v>40907</v>
      </c>
      <c r="R583" s="775"/>
      <c r="S583" s="301">
        <f t="shared" si="156"/>
        <v>1</v>
      </c>
      <c r="T583" s="806">
        <v>15443</v>
      </c>
      <c r="U583" s="25">
        <f t="shared" si="152"/>
        <v>15443</v>
      </c>
      <c r="V583" s="451"/>
      <c r="W583" s="774"/>
      <c r="X583" s="808"/>
      <c r="Y583" s="806"/>
      <c r="Z583" s="25">
        <f t="shared" si="153"/>
        <v>0</v>
      </c>
    </row>
    <row r="584" spans="1:26" ht="16.5" customHeight="1">
      <c r="A584" s="758">
        <f t="shared" si="148"/>
        <v>228</v>
      </c>
      <c r="B584" s="191" t="s">
        <v>911</v>
      </c>
      <c r="C584" s="25">
        <f t="shared" si="149"/>
        <v>26910</v>
      </c>
      <c r="D584" s="759">
        <f t="shared" si="154"/>
        <v>786.69531534230748</v>
      </c>
      <c r="E584" s="759">
        <f t="shared" si="154"/>
        <v>248.93530506987395</v>
      </c>
      <c r="F584" s="759">
        <f t="shared" si="154"/>
        <v>536.73465020223853</v>
      </c>
      <c r="G584" s="759">
        <f t="shared" si="154"/>
        <v>42.901106426691207</v>
      </c>
      <c r="H584" s="759">
        <f t="shared" si="154"/>
        <v>781.13296381107284</v>
      </c>
      <c r="I584" s="759">
        <f t="shared" si="154"/>
        <v>200.6170308387014</v>
      </c>
      <c r="J584" s="360">
        <f t="shared" si="154"/>
        <v>0</v>
      </c>
      <c r="K584" s="25">
        <f t="shared" si="150"/>
        <v>29506.016371690886</v>
      </c>
      <c r="L584" s="253">
        <v>2</v>
      </c>
      <c r="M584" s="759">
        <f t="shared" si="151"/>
        <v>14753.008185845443</v>
      </c>
      <c r="N584" s="671">
        <v>15261</v>
      </c>
      <c r="O584" s="671"/>
      <c r="P584" s="40" t="s">
        <v>514</v>
      </c>
      <c r="Q584" s="190">
        <v>40907</v>
      </c>
      <c r="R584" s="775"/>
      <c r="S584" s="301">
        <f t="shared" si="156"/>
        <v>2</v>
      </c>
      <c r="T584" s="806">
        <v>13455</v>
      </c>
      <c r="U584" s="25">
        <f t="shared" si="152"/>
        <v>26910</v>
      </c>
      <c r="V584" s="451"/>
      <c r="W584" s="774"/>
      <c r="X584" s="808"/>
      <c r="Y584" s="806"/>
      <c r="Z584" s="25">
        <f t="shared" si="153"/>
        <v>0</v>
      </c>
    </row>
    <row r="585" spans="1:26" ht="16.5" customHeight="1">
      <c r="A585" s="758">
        <f t="shared" si="148"/>
        <v>229</v>
      </c>
      <c r="B585" s="191" t="s">
        <v>531</v>
      </c>
      <c r="C585" s="25">
        <f t="shared" si="149"/>
        <v>13455</v>
      </c>
      <c r="D585" s="759">
        <f t="shared" si="154"/>
        <v>393.34765767115374</v>
      </c>
      <c r="E585" s="759">
        <f t="shared" si="154"/>
        <v>124.46765253493697</v>
      </c>
      <c r="F585" s="759">
        <f t="shared" si="154"/>
        <v>268.36732510111926</v>
      </c>
      <c r="G585" s="759">
        <f t="shared" si="154"/>
        <v>21.450553213345604</v>
      </c>
      <c r="H585" s="759">
        <f t="shared" si="154"/>
        <v>390.56648190553642</v>
      </c>
      <c r="I585" s="759">
        <f t="shared" si="154"/>
        <v>100.3085154193507</v>
      </c>
      <c r="J585" s="360">
        <f t="shared" si="154"/>
        <v>0</v>
      </c>
      <c r="K585" s="25">
        <f t="shared" si="150"/>
        <v>14752.508185845443</v>
      </c>
      <c r="L585" s="253">
        <v>1</v>
      </c>
      <c r="M585" s="759">
        <f t="shared" si="151"/>
        <v>14752.508185845443</v>
      </c>
      <c r="N585" s="671">
        <v>14462</v>
      </c>
      <c r="O585" s="671"/>
      <c r="P585" s="40" t="s">
        <v>514</v>
      </c>
      <c r="Q585" s="190">
        <v>40907</v>
      </c>
      <c r="R585" s="775"/>
      <c r="S585" s="301">
        <f t="shared" si="156"/>
        <v>1</v>
      </c>
      <c r="T585" s="806">
        <v>13455</v>
      </c>
      <c r="U585" s="25">
        <f t="shared" si="152"/>
        <v>13455</v>
      </c>
      <c r="V585" s="451"/>
      <c r="W585" s="774"/>
      <c r="X585" s="808"/>
      <c r="Y585" s="806"/>
      <c r="Z585" s="25">
        <f t="shared" si="153"/>
        <v>0</v>
      </c>
    </row>
    <row r="586" spans="1:26" ht="16.5" customHeight="1">
      <c r="A586" s="758">
        <f t="shared" si="148"/>
        <v>230</v>
      </c>
      <c r="B586" s="191" t="s">
        <v>912</v>
      </c>
      <c r="C586" s="25">
        <f t="shared" si="149"/>
        <v>15443</v>
      </c>
      <c r="D586" s="759">
        <f t="shared" si="154"/>
        <v>393.34765767115374</v>
      </c>
      <c r="E586" s="759">
        <f t="shared" si="154"/>
        <v>124.46765253493697</v>
      </c>
      <c r="F586" s="759">
        <f t="shared" si="154"/>
        <v>268.36732510111926</v>
      </c>
      <c r="G586" s="759">
        <f t="shared" si="154"/>
        <v>21.450553213345604</v>
      </c>
      <c r="H586" s="759">
        <f t="shared" si="154"/>
        <v>390.56648190553642</v>
      </c>
      <c r="I586" s="759">
        <f t="shared" si="154"/>
        <v>100.3085154193507</v>
      </c>
      <c r="J586" s="360">
        <f t="shared" si="154"/>
        <v>0</v>
      </c>
      <c r="K586" s="25">
        <f t="shared" si="150"/>
        <v>16740.508185845443</v>
      </c>
      <c r="L586" s="253">
        <v>1</v>
      </c>
      <c r="M586" s="759">
        <f t="shared" si="151"/>
        <v>16740.508185845443</v>
      </c>
      <c r="N586" s="671">
        <v>16025</v>
      </c>
      <c r="O586" s="671"/>
      <c r="P586" s="40" t="s">
        <v>509</v>
      </c>
      <c r="Q586" s="190">
        <v>40907</v>
      </c>
      <c r="R586" s="775"/>
      <c r="S586" s="301">
        <f t="shared" si="156"/>
        <v>1</v>
      </c>
      <c r="T586" s="806">
        <v>15443</v>
      </c>
      <c r="U586" s="25">
        <f t="shared" si="152"/>
        <v>15443</v>
      </c>
      <c r="V586" s="451"/>
      <c r="W586" s="774"/>
      <c r="X586" s="808"/>
      <c r="Y586" s="806"/>
      <c r="Z586" s="25">
        <f t="shared" si="153"/>
        <v>0</v>
      </c>
    </row>
    <row r="587" spans="1:26" ht="16.5" customHeight="1">
      <c r="A587" s="758">
        <f t="shared" si="148"/>
        <v>231</v>
      </c>
      <c r="B587" s="191" t="s">
        <v>913</v>
      </c>
      <c r="C587" s="25">
        <f t="shared" si="149"/>
        <v>13455</v>
      </c>
      <c r="D587" s="759">
        <f t="shared" si="154"/>
        <v>393.34765767115374</v>
      </c>
      <c r="E587" s="759">
        <f t="shared" si="154"/>
        <v>124.46765253493697</v>
      </c>
      <c r="F587" s="759">
        <f t="shared" si="154"/>
        <v>268.36732510111926</v>
      </c>
      <c r="G587" s="759">
        <f t="shared" si="154"/>
        <v>21.450553213345604</v>
      </c>
      <c r="H587" s="759">
        <f t="shared" si="154"/>
        <v>390.56648190553642</v>
      </c>
      <c r="I587" s="759">
        <f t="shared" si="154"/>
        <v>100.3085154193507</v>
      </c>
      <c r="J587" s="360">
        <f t="shared" si="154"/>
        <v>0</v>
      </c>
      <c r="K587" s="25">
        <f t="shared" si="150"/>
        <v>14752.508185845443</v>
      </c>
      <c r="L587" s="253">
        <v>1</v>
      </c>
      <c r="M587" s="759">
        <f t="shared" si="151"/>
        <v>14752.508185845443</v>
      </c>
      <c r="N587" s="671">
        <v>13871</v>
      </c>
      <c r="O587" s="671"/>
      <c r="P587" s="40" t="s">
        <v>514</v>
      </c>
      <c r="Q587" s="190">
        <v>40907</v>
      </c>
      <c r="R587" s="775"/>
      <c r="S587" s="301">
        <f t="shared" si="156"/>
        <v>1</v>
      </c>
      <c r="T587" s="806">
        <v>13455</v>
      </c>
      <c r="U587" s="25">
        <f t="shared" si="152"/>
        <v>13455</v>
      </c>
      <c r="V587" s="451"/>
      <c r="W587" s="774"/>
      <c r="X587" s="808"/>
      <c r="Y587" s="806"/>
      <c r="Z587" s="25">
        <f t="shared" si="153"/>
        <v>0</v>
      </c>
    </row>
    <row r="588" spans="1:26" ht="16.5" customHeight="1">
      <c r="A588" s="758">
        <f t="shared" si="148"/>
        <v>232</v>
      </c>
      <c r="B588" s="191" t="s">
        <v>914</v>
      </c>
      <c r="C588" s="25">
        <f t="shared" si="149"/>
        <v>16439</v>
      </c>
      <c r="D588" s="759">
        <f t="shared" si="154"/>
        <v>393.34765767115374</v>
      </c>
      <c r="E588" s="759">
        <f t="shared" si="154"/>
        <v>124.46765253493697</v>
      </c>
      <c r="F588" s="759">
        <f t="shared" si="154"/>
        <v>268.36732510111926</v>
      </c>
      <c r="G588" s="759">
        <f t="shared" si="154"/>
        <v>21.450553213345604</v>
      </c>
      <c r="H588" s="759">
        <f t="shared" si="154"/>
        <v>390.56648190553642</v>
      </c>
      <c r="I588" s="759">
        <f t="shared" si="154"/>
        <v>100.3085154193507</v>
      </c>
      <c r="J588" s="360">
        <f t="shared" si="154"/>
        <v>0</v>
      </c>
      <c r="K588" s="25">
        <f t="shared" si="150"/>
        <v>17736.508185845447</v>
      </c>
      <c r="L588" s="253">
        <v>1</v>
      </c>
      <c r="M588" s="759">
        <f t="shared" si="151"/>
        <v>17736.508185845447</v>
      </c>
      <c r="N588" s="671">
        <v>19814</v>
      </c>
      <c r="O588" s="671"/>
      <c r="P588" s="40" t="s">
        <v>506</v>
      </c>
      <c r="Q588" s="190">
        <v>40907</v>
      </c>
      <c r="R588" s="775"/>
      <c r="S588" s="301">
        <f>L588/2</f>
        <v>0.5</v>
      </c>
      <c r="T588" s="806">
        <v>32878</v>
      </c>
      <c r="U588" s="25">
        <f t="shared" si="152"/>
        <v>16439</v>
      </c>
      <c r="V588" s="451"/>
      <c r="W588" s="774"/>
      <c r="X588" s="808"/>
      <c r="Y588" s="806"/>
      <c r="Z588" s="25">
        <f t="shared" si="153"/>
        <v>0</v>
      </c>
    </row>
    <row r="589" spans="1:26" ht="16.5" customHeight="1">
      <c r="A589" s="758">
        <f t="shared" si="148"/>
        <v>233</v>
      </c>
      <c r="B589" s="191" t="s">
        <v>878</v>
      </c>
      <c r="C589" s="25">
        <f t="shared" si="149"/>
        <v>148005</v>
      </c>
      <c r="D589" s="759">
        <f t="shared" si="154"/>
        <v>4326.8242343826914</v>
      </c>
      <c r="E589" s="759">
        <f t="shared" si="154"/>
        <v>1369.1441778843068</v>
      </c>
      <c r="F589" s="759">
        <f t="shared" si="154"/>
        <v>2952.040576112312</v>
      </c>
      <c r="G589" s="759">
        <f t="shared" si="154"/>
        <v>235.95608534680164</v>
      </c>
      <c r="H589" s="759">
        <f t="shared" si="154"/>
        <v>4296.2313009609006</v>
      </c>
      <c r="I589" s="759">
        <f t="shared" si="154"/>
        <v>1103.3936696128576</v>
      </c>
      <c r="J589" s="360">
        <f t="shared" si="154"/>
        <v>0</v>
      </c>
      <c r="K589" s="25">
        <f t="shared" si="150"/>
        <v>162287.59004429987</v>
      </c>
      <c r="L589" s="253">
        <v>11</v>
      </c>
      <c r="M589" s="759">
        <f t="shared" si="151"/>
        <v>14753.417276754533</v>
      </c>
      <c r="N589" s="671">
        <v>15524</v>
      </c>
      <c r="O589" s="671"/>
      <c r="P589" s="40" t="s">
        <v>514</v>
      </c>
      <c r="Q589" s="190">
        <v>40907</v>
      </c>
      <c r="R589" s="775"/>
      <c r="S589" s="301">
        <f>L589</f>
        <v>11</v>
      </c>
      <c r="T589" s="806">
        <v>13455</v>
      </c>
      <c r="U589" s="25">
        <f t="shared" si="152"/>
        <v>148005</v>
      </c>
      <c r="V589" s="451"/>
      <c r="W589" s="774"/>
      <c r="X589" s="808"/>
      <c r="Y589" s="806"/>
      <c r="Z589" s="25">
        <f t="shared" si="153"/>
        <v>0</v>
      </c>
    </row>
    <row r="590" spans="1:26" ht="16.5" customHeight="1">
      <c r="A590" s="758">
        <f t="shared" si="148"/>
        <v>234</v>
      </c>
      <c r="B590" s="191" t="s">
        <v>879</v>
      </c>
      <c r="C590" s="25">
        <f t="shared" si="149"/>
        <v>4324060</v>
      </c>
      <c r="D590" s="759">
        <f t="shared" si="154"/>
        <v>102270.39099449998</v>
      </c>
      <c r="E590" s="759">
        <f t="shared" si="154"/>
        <v>32361.589659083613</v>
      </c>
      <c r="F590" s="759">
        <f t="shared" si="154"/>
        <v>69775.504526291013</v>
      </c>
      <c r="G590" s="759">
        <f t="shared" si="154"/>
        <v>5577.1438354698566</v>
      </c>
      <c r="H590" s="759">
        <f t="shared" si="154"/>
        <v>101547.28529543948</v>
      </c>
      <c r="I590" s="759">
        <f t="shared" si="154"/>
        <v>26080.21400903118</v>
      </c>
      <c r="J590" s="360">
        <f t="shared" si="154"/>
        <v>0</v>
      </c>
      <c r="K590" s="25">
        <f t="shared" si="150"/>
        <v>4661671.1283198157</v>
      </c>
      <c r="L590" s="253">
        <v>260</v>
      </c>
      <c r="M590" s="759">
        <f t="shared" si="151"/>
        <v>17929.504339691601</v>
      </c>
      <c r="N590" s="671">
        <v>24159</v>
      </c>
      <c r="O590" s="671"/>
      <c r="P590" s="40" t="s">
        <v>515</v>
      </c>
      <c r="Q590" s="190">
        <v>40907</v>
      </c>
      <c r="R590" s="775"/>
      <c r="S590" s="301">
        <f>L590</f>
        <v>260</v>
      </c>
      <c r="T590" s="806">
        <v>16631</v>
      </c>
      <c r="U590" s="25">
        <f t="shared" si="152"/>
        <v>4324060</v>
      </c>
      <c r="V590" s="451"/>
      <c r="W590" s="774"/>
      <c r="X590" s="808"/>
      <c r="Y590" s="806"/>
      <c r="Z590" s="25">
        <f t="shared" si="153"/>
        <v>0</v>
      </c>
    </row>
    <row r="591" spans="1:26" ht="16.5" customHeight="1">
      <c r="A591" s="758">
        <f t="shared" si="148"/>
        <v>235</v>
      </c>
      <c r="B591" s="191" t="s">
        <v>857</v>
      </c>
      <c r="C591" s="25">
        <f t="shared" si="149"/>
        <v>772150</v>
      </c>
      <c r="D591" s="759">
        <f t="shared" si="154"/>
        <v>19667.382883557686</v>
      </c>
      <c r="E591" s="759">
        <f t="shared" si="154"/>
        <v>6223.3826267468485</v>
      </c>
      <c r="F591" s="759">
        <f t="shared" si="154"/>
        <v>13418.366255055964</v>
      </c>
      <c r="G591" s="759">
        <f t="shared" si="154"/>
        <v>1072.5276606672801</v>
      </c>
      <c r="H591" s="759">
        <f t="shared" ref="D591:J597" si="157">IF($L$599&lt;&gt;0,H$599/$L$599*$L591,0)</f>
        <v>19528.324095276821</v>
      </c>
      <c r="I591" s="759">
        <f t="shared" si="157"/>
        <v>5015.4257709675348</v>
      </c>
      <c r="J591" s="360">
        <f t="shared" si="157"/>
        <v>0</v>
      </c>
      <c r="K591" s="25">
        <f t="shared" si="150"/>
        <v>837074.40929227218</v>
      </c>
      <c r="L591" s="253">
        <v>50</v>
      </c>
      <c r="M591" s="759">
        <f t="shared" si="151"/>
        <v>16741.488185845443</v>
      </c>
      <c r="N591" s="671">
        <v>18100</v>
      </c>
      <c r="O591" s="671"/>
      <c r="P591" s="40" t="s">
        <v>509</v>
      </c>
      <c r="Q591" s="190">
        <v>40907</v>
      </c>
      <c r="R591" s="775"/>
      <c r="S591" s="301">
        <f>L591</f>
        <v>50</v>
      </c>
      <c r="T591" s="806">
        <v>15443</v>
      </c>
      <c r="U591" s="25">
        <f t="shared" si="152"/>
        <v>772150</v>
      </c>
      <c r="V591" s="451"/>
      <c r="W591" s="774"/>
      <c r="X591" s="808"/>
      <c r="Y591" s="806"/>
      <c r="Z591" s="25">
        <f t="shared" si="153"/>
        <v>0</v>
      </c>
    </row>
    <row r="592" spans="1:26" ht="16.5" customHeight="1">
      <c r="A592" s="758">
        <f t="shared" si="148"/>
        <v>236</v>
      </c>
      <c r="B592" s="191" t="s">
        <v>858</v>
      </c>
      <c r="C592" s="25">
        <f t="shared" si="149"/>
        <v>1663100</v>
      </c>
      <c r="D592" s="759">
        <f t="shared" si="157"/>
        <v>39334.765767115372</v>
      </c>
      <c r="E592" s="759">
        <f t="shared" si="157"/>
        <v>12446.765253493697</v>
      </c>
      <c r="F592" s="759">
        <f t="shared" si="157"/>
        <v>26836.732510111928</v>
      </c>
      <c r="G592" s="759">
        <f t="shared" si="157"/>
        <v>2145.0553213345602</v>
      </c>
      <c r="H592" s="759">
        <f t="shared" si="157"/>
        <v>39056.648190553642</v>
      </c>
      <c r="I592" s="759">
        <f t="shared" si="157"/>
        <v>10030.85154193507</v>
      </c>
      <c r="J592" s="360">
        <f t="shared" si="157"/>
        <v>0</v>
      </c>
      <c r="K592" s="25">
        <f t="shared" si="150"/>
        <v>1792949.8185845444</v>
      </c>
      <c r="L592" s="253">
        <v>100</v>
      </c>
      <c r="M592" s="759">
        <f t="shared" si="151"/>
        <v>17929.498185845445</v>
      </c>
      <c r="N592" s="671">
        <v>23260</v>
      </c>
      <c r="O592" s="671"/>
      <c r="P592" s="40" t="s">
        <v>515</v>
      </c>
      <c r="Q592" s="190">
        <v>40907</v>
      </c>
      <c r="R592" s="775"/>
      <c r="S592" s="301">
        <f>L592</f>
        <v>100</v>
      </c>
      <c r="T592" s="806">
        <v>16631</v>
      </c>
      <c r="U592" s="25">
        <f t="shared" si="152"/>
        <v>1663100</v>
      </c>
      <c r="V592" s="451"/>
      <c r="W592" s="774"/>
      <c r="X592" s="808"/>
      <c r="Y592" s="806"/>
      <c r="Z592" s="25">
        <f t="shared" si="153"/>
        <v>0</v>
      </c>
    </row>
    <row r="593" spans="1:26" ht="16.5" customHeight="1">
      <c r="A593" s="758">
        <f t="shared" si="148"/>
        <v>237</v>
      </c>
      <c r="B593" s="191" t="s">
        <v>859</v>
      </c>
      <c r="C593" s="25">
        <f t="shared" si="149"/>
        <v>821950</v>
      </c>
      <c r="D593" s="759">
        <f t="shared" si="157"/>
        <v>19667.382883557686</v>
      </c>
      <c r="E593" s="759">
        <f t="shared" si="157"/>
        <v>6223.3826267468485</v>
      </c>
      <c r="F593" s="759">
        <f t="shared" si="157"/>
        <v>13418.366255055964</v>
      </c>
      <c r="G593" s="759">
        <f t="shared" si="157"/>
        <v>1072.5276606672801</v>
      </c>
      <c r="H593" s="759">
        <f t="shared" si="157"/>
        <v>19528.324095276821</v>
      </c>
      <c r="I593" s="759">
        <f t="shared" si="157"/>
        <v>5015.4257709675348</v>
      </c>
      <c r="J593" s="360">
        <f t="shared" si="157"/>
        <v>0</v>
      </c>
      <c r="K593" s="25">
        <f t="shared" si="150"/>
        <v>886874.40929227218</v>
      </c>
      <c r="L593" s="253">
        <v>50</v>
      </c>
      <c r="M593" s="759">
        <f t="shared" si="151"/>
        <v>17737.488185845443</v>
      </c>
      <c r="N593" s="671">
        <v>20090</v>
      </c>
      <c r="O593" s="671"/>
      <c r="P593" s="40" t="s">
        <v>506</v>
      </c>
      <c r="Q593" s="190">
        <v>40907</v>
      </c>
      <c r="R593" s="775"/>
      <c r="S593" s="301">
        <f>L593/2</f>
        <v>25</v>
      </c>
      <c r="T593" s="806">
        <v>32878</v>
      </c>
      <c r="U593" s="25">
        <f t="shared" si="152"/>
        <v>821950</v>
      </c>
      <c r="V593" s="451"/>
      <c r="W593" s="774"/>
      <c r="X593" s="808"/>
      <c r="Y593" s="806"/>
      <c r="Z593" s="25">
        <f t="shared" si="153"/>
        <v>0</v>
      </c>
    </row>
    <row r="594" spans="1:26" ht="16.5" customHeight="1">
      <c r="A594" s="758">
        <f t="shared" si="148"/>
        <v>238</v>
      </c>
      <c r="B594" s="191" t="s">
        <v>860</v>
      </c>
      <c r="C594" s="25">
        <f t="shared" si="149"/>
        <v>3159890</v>
      </c>
      <c r="D594" s="759">
        <f t="shared" si="157"/>
        <v>74736.054957519213</v>
      </c>
      <c r="E594" s="759">
        <f t="shared" si="157"/>
        <v>23648.853981638025</v>
      </c>
      <c r="F594" s="759">
        <f t="shared" si="157"/>
        <v>50989.791769212658</v>
      </c>
      <c r="G594" s="759">
        <f t="shared" si="157"/>
        <v>4075.6051105356646</v>
      </c>
      <c r="H594" s="759">
        <f t="shared" si="157"/>
        <v>74207.631562051916</v>
      </c>
      <c r="I594" s="759">
        <f t="shared" si="157"/>
        <v>19058.617929676631</v>
      </c>
      <c r="J594" s="360">
        <f t="shared" si="157"/>
        <v>0</v>
      </c>
      <c r="K594" s="25">
        <f t="shared" si="150"/>
        <v>3406605.555310634</v>
      </c>
      <c r="L594" s="253">
        <v>190</v>
      </c>
      <c r="M594" s="759">
        <f t="shared" si="151"/>
        <v>17929.502922687549</v>
      </c>
      <c r="N594" s="671">
        <v>18170</v>
      </c>
      <c r="O594" s="671"/>
      <c r="P594" s="40" t="s">
        <v>515</v>
      </c>
      <c r="Q594" s="190">
        <v>40907</v>
      </c>
      <c r="R594" s="775"/>
      <c r="S594" s="301">
        <f>L594</f>
        <v>190</v>
      </c>
      <c r="T594" s="806">
        <v>16631</v>
      </c>
      <c r="U594" s="25">
        <f t="shared" si="152"/>
        <v>3159890</v>
      </c>
      <c r="V594" s="451"/>
      <c r="W594" s="774"/>
      <c r="X594" s="808"/>
      <c r="Y594" s="806"/>
      <c r="Z594" s="25">
        <f t="shared" si="153"/>
        <v>0</v>
      </c>
    </row>
    <row r="595" spans="1:26" ht="16.5" customHeight="1">
      <c r="A595" s="758">
        <f t="shared" si="148"/>
        <v>239</v>
      </c>
      <c r="B595" s="191" t="s">
        <v>861</v>
      </c>
      <c r="C595" s="25">
        <f t="shared" si="149"/>
        <v>2162030</v>
      </c>
      <c r="D595" s="759">
        <f t="shared" si="157"/>
        <v>51135.195497249988</v>
      </c>
      <c r="E595" s="759">
        <f t="shared" si="157"/>
        <v>16180.794829541806</v>
      </c>
      <c r="F595" s="759">
        <f t="shared" si="157"/>
        <v>34887.752263145507</v>
      </c>
      <c r="G595" s="759">
        <f t="shared" si="157"/>
        <v>2788.5719177349283</v>
      </c>
      <c r="H595" s="759">
        <f t="shared" si="157"/>
        <v>50773.642647719738</v>
      </c>
      <c r="I595" s="759">
        <f t="shared" si="157"/>
        <v>13040.10700451559</v>
      </c>
      <c r="J595" s="360">
        <f t="shared" si="157"/>
        <v>0</v>
      </c>
      <c r="K595" s="25">
        <f t="shared" si="150"/>
        <v>2330835.0641599079</v>
      </c>
      <c r="L595" s="253">
        <v>130</v>
      </c>
      <c r="M595" s="759">
        <f t="shared" si="151"/>
        <v>17929.500493537751</v>
      </c>
      <c r="N595" s="671">
        <v>19420</v>
      </c>
      <c r="O595" s="671"/>
      <c r="P595" s="40" t="s">
        <v>515</v>
      </c>
      <c r="Q595" s="190">
        <v>40907</v>
      </c>
      <c r="R595" s="775"/>
      <c r="S595" s="301">
        <f>L595</f>
        <v>130</v>
      </c>
      <c r="T595" s="806">
        <v>16631</v>
      </c>
      <c r="U595" s="25">
        <f t="shared" si="152"/>
        <v>2162030</v>
      </c>
      <c r="V595" s="451"/>
      <c r="W595" s="774"/>
      <c r="X595" s="808"/>
      <c r="Y595" s="806"/>
      <c r="Z595" s="25">
        <f t="shared" si="153"/>
        <v>0</v>
      </c>
    </row>
    <row r="596" spans="1:26" ht="16.5" customHeight="1">
      <c r="A596" s="758">
        <f t="shared" si="148"/>
        <v>240</v>
      </c>
      <c r="B596" s="191" t="s">
        <v>862</v>
      </c>
      <c r="C596" s="25">
        <f t="shared" si="149"/>
        <v>1829410</v>
      </c>
      <c r="D596" s="759">
        <f t="shared" si="157"/>
        <v>43268.242343826911</v>
      </c>
      <c r="E596" s="759">
        <f t="shared" si="157"/>
        <v>13691.441778843067</v>
      </c>
      <c r="F596" s="759">
        <f t="shared" si="157"/>
        <v>29520.405761123118</v>
      </c>
      <c r="G596" s="759">
        <f t="shared" si="157"/>
        <v>2359.5608534680164</v>
      </c>
      <c r="H596" s="759">
        <f t="shared" si="157"/>
        <v>42962.313009609003</v>
      </c>
      <c r="I596" s="759">
        <f t="shared" si="157"/>
        <v>11033.936696128576</v>
      </c>
      <c r="J596" s="360">
        <f t="shared" si="157"/>
        <v>0</v>
      </c>
      <c r="K596" s="25">
        <f t="shared" si="150"/>
        <v>1972244.9004429989</v>
      </c>
      <c r="L596" s="253">
        <v>110</v>
      </c>
      <c r="M596" s="759">
        <f t="shared" si="151"/>
        <v>17929.499094936353</v>
      </c>
      <c r="N596" s="671">
        <v>19450</v>
      </c>
      <c r="O596" s="671"/>
      <c r="P596" s="40" t="s">
        <v>515</v>
      </c>
      <c r="Q596" s="190">
        <v>40907</v>
      </c>
      <c r="R596" s="775"/>
      <c r="S596" s="301">
        <f>L596</f>
        <v>110</v>
      </c>
      <c r="T596" s="806">
        <v>16631</v>
      </c>
      <c r="U596" s="25">
        <f t="shared" si="152"/>
        <v>1829410</v>
      </c>
      <c r="V596" s="451"/>
      <c r="W596" s="774"/>
      <c r="X596" s="808"/>
      <c r="Y596" s="806"/>
      <c r="Z596" s="25">
        <f t="shared" si="153"/>
        <v>0</v>
      </c>
    </row>
    <row r="597" spans="1:26" ht="16.5" customHeight="1">
      <c r="A597" s="758">
        <f t="shared" si="148"/>
        <v>241</v>
      </c>
      <c r="B597" s="191" t="s">
        <v>915</v>
      </c>
      <c r="C597" s="25">
        <f t="shared" si="149"/>
        <v>197268</v>
      </c>
      <c r="D597" s="759">
        <f t="shared" si="157"/>
        <v>4720.1718920538451</v>
      </c>
      <c r="E597" s="759">
        <f t="shared" si="157"/>
        <v>1493.6118304192437</v>
      </c>
      <c r="F597" s="759">
        <f t="shared" si="157"/>
        <v>3220.4079012134312</v>
      </c>
      <c r="G597" s="759">
        <f t="shared" si="157"/>
        <v>257.40663856014726</v>
      </c>
      <c r="H597" s="759">
        <f t="shared" si="157"/>
        <v>4686.797782866437</v>
      </c>
      <c r="I597" s="759">
        <f t="shared" si="157"/>
        <v>1203.7021850322085</v>
      </c>
      <c r="J597" s="360">
        <f t="shared" si="157"/>
        <v>0</v>
      </c>
      <c r="K597" s="25">
        <f t="shared" si="150"/>
        <v>212849.09823014532</v>
      </c>
      <c r="L597" s="253">
        <v>12</v>
      </c>
      <c r="M597" s="759">
        <f t="shared" si="151"/>
        <v>17737.424852512111</v>
      </c>
      <c r="N597" s="671">
        <v>19625</v>
      </c>
      <c r="O597" s="671"/>
      <c r="P597" s="40" t="s">
        <v>506</v>
      </c>
      <c r="Q597" s="190">
        <v>40907</v>
      </c>
      <c r="R597" s="775"/>
      <c r="S597" s="301">
        <f>L597/2</f>
        <v>6</v>
      </c>
      <c r="T597" s="806">
        <v>32878</v>
      </c>
      <c r="U597" s="25">
        <f t="shared" si="152"/>
        <v>197268</v>
      </c>
      <c r="V597" s="451"/>
      <c r="W597" s="774"/>
      <c r="X597" s="808"/>
      <c r="Y597" s="806"/>
      <c r="Z597" s="25">
        <f t="shared" si="153"/>
        <v>0</v>
      </c>
    </row>
    <row r="598" spans="1:26" ht="16.5" customHeight="1">
      <c r="A598" s="758"/>
      <c r="B598" s="293"/>
      <c r="C598" s="25"/>
      <c r="D598" s="759"/>
      <c r="E598" s="759"/>
      <c r="F598" s="759"/>
      <c r="G598" s="759"/>
      <c r="H598" s="759"/>
      <c r="I598" s="759"/>
      <c r="J598" s="360"/>
      <c r="K598" s="25"/>
      <c r="L598" s="759"/>
      <c r="M598" s="759"/>
      <c r="N598" s="671"/>
      <c r="O598" s="671"/>
      <c r="P598" s="451"/>
      <c r="Q598" s="774"/>
      <c r="R598" s="775"/>
      <c r="S598" s="301"/>
      <c r="T598" s="806"/>
      <c r="U598" s="25">
        <f t="shared" si="121"/>
        <v>0</v>
      </c>
      <c r="V598" s="451"/>
      <c r="W598" s="774"/>
      <c r="X598" s="808"/>
      <c r="Y598" s="806"/>
      <c r="Z598" s="25">
        <f t="shared" si="122"/>
        <v>0</v>
      </c>
    </row>
    <row r="599" spans="1:26" s="780" customFormat="1" ht="16.5" customHeight="1">
      <c r="A599" s="760"/>
      <c r="B599" s="761" t="s">
        <v>258</v>
      </c>
      <c r="C599" s="538">
        <f>SUM(C357:C598)</f>
        <v>337375734</v>
      </c>
      <c r="D599" s="538">
        <v>18379956</v>
      </c>
      <c r="E599" s="538">
        <f>$Z$599</f>
        <v>5816000</v>
      </c>
      <c r="F599" s="538">
        <v>12540000</v>
      </c>
      <c r="G599" s="538">
        <v>1002320</v>
      </c>
      <c r="H599" s="538">
        <v>18250000</v>
      </c>
      <c r="I599" s="538">
        <v>4687116</v>
      </c>
      <c r="J599" s="452"/>
      <c r="K599" s="538">
        <f>SUM(K357:K598)</f>
        <v>398051099.09153324</v>
      </c>
      <c r="L599" s="538">
        <f>ROUND(SUM(L357:L598),0)</f>
        <v>46727</v>
      </c>
      <c r="M599" s="538"/>
      <c r="N599" s="671"/>
      <c r="O599" s="671"/>
      <c r="P599" s="781"/>
      <c r="Q599" s="782"/>
      <c r="R599" s="783"/>
      <c r="S599" s="831"/>
      <c r="T599" s="805"/>
      <c r="U599" s="47">
        <f>SUM(U357:U598)</f>
        <v>337375734</v>
      </c>
      <c r="V599" s="781"/>
      <c r="W599" s="782"/>
      <c r="X599" s="795"/>
      <c r="Y599" s="805"/>
      <c r="Z599" s="47">
        <f>SUM(Z357:Z598)</f>
        <v>5816000</v>
      </c>
    </row>
    <row r="600" spans="1:26" s="755" customFormat="1">
      <c r="A600" s="754"/>
      <c r="B600" s="754"/>
      <c r="C600" s="754"/>
      <c r="D600" s="754"/>
      <c r="E600" s="754"/>
      <c r="F600" s="754"/>
      <c r="G600" s="754"/>
      <c r="H600" s="754"/>
      <c r="I600" s="754"/>
      <c r="J600" s="438"/>
      <c r="K600" s="289"/>
      <c r="L600" s="754"/>
      <c r="M600" s="754"/>
      <c r="N600" s="671"/>
      <c r="O600" s="671"/>
      <c r="P600" s="754"/>
      <c r="Q600" s="767"/>
      <c r="R600" s="768"/>
      <c r="S600" s="822"/>
      <c r="T600" s="289"/>
      <c r="U600" s="754"/>
      <c r="V600" s="754"/>
      <c r="W600" s="767"/>
      <c r="X600" s="289"/>
      <c r="Y600" s="289"/>
      <c r="Z600" s="754"/>
    </row>
    <row r="601" spans="1:26">
      <c r="N601" s="671"/>
      <c r="O601" s="671"/>
    </row>
    <row r="602" spans="1:26">
      <c r="K602" s="787"/>
      <c r="N602" s="671"/>
      <c r="O602" s="671"/>
    </row>
    <row r="603" spans="1:26">
      <c r="N603" s="671"/>
      <c r="O603" s="671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9" customWidth="1"/>
    <col min="2" max="2" width="15.7109375" style="589" customWidth="1"/>
    <col min="3" max="3" width="16.85546875" style="589" customWidth="1"/>
    <col min="4" max="9" width="15.28515625" style="589" customWidth="1"/>
    <col min="10" max="10" width="10.140625" style="589" customWidth="1"/>
    <col min="11" max="11" width="5.85546875" style="589" customWidth="1"/>
    <col min="12" max="16384" width="10.28515625" style="589"/>
  </cols>
  <sheetData>
    <row r="1" spans="1:11" s="456" customFormat="1" ht="19.5" customHeight="1">
      <c r="A1" s="576" t="str">
        <f>TH!A1</f>
        <v>Đơn vị: CÔNG TY TNHH MỘT THÀNH VIÊN KHỞI NGUYÊN AN</v>
      </c>
      <c r="B1" s="576"/>
      <c r="D1" s="457"/>
      <c r="E1" s="457"/>
      <c r="F1" s="457"/>
      <c r="G1" s="1052" t="s">
        <v>259</v>
      </c>
      <c r="H1" s="1052"/>
      <c r="I1" s="1052"/>
      <c r="J1" s="458"/>
      <c r="K1" s="459"/>
    </row>
    <row r="2" spans="1:11" s="456" customFormat="1" ht="19.5" customHeight="1">
      <c r="A2" s="625" t="str">
        <f>TH!A2</f>
        <v>Địa chỉ: Thửa đất số 144, tờ bản đồ số 12TĐH.1, tổ 1, khu phố Đông Tác, Phường Tân Đông Hiệp, Thị Xã Dĩ An, Tỉnh Bình Dương, Việt Nam</v>
      </c>
      <c r="B2" s="576"/>
      <c r="D2" s="460"/>
      <c r="E2" s="460"/>
      <c r="F2" s="460"/>
      <c r="G2" s="105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53"/>
      <c r="I2" s="1053"/>
      <c r="J2" s="458"/>
      <c r="K2" s="436">
        <v>1</v>
      </c>
    </row>
    <row r="3" spans="1:11" s="456" customFormat="1" ht="15">
      <c r="A3" s="577"/>
      <c r="B3" s="578"/>
      <c r="C3" s="460"/>
      <c r="D3" s="460"/>
      <c r="E3" s="460"/>
      <c r="F3" s="460"/>
      <c r="G3" s="1053"/>
      <c r="H3" s="1053"/>
      <c r="I3" s="1053"/>
      <c r="J3" s="458"/>
    </row>
    <row r="4" spans="1:11" s="580" customFormat="1" ht="17.25" customHeight="1">
      <c r="A4" s="1054" t="s">
        <v>260</v>
      </c>
      <c r="B4" s="1054"/>
      <c r="C4" s="1054"/>
      <c r="D4" s="1054"/>
      <c r="E4" s="1054"/>
      <c r="F4" s="1054"/>
      <c r="G4" s="1054"/>
      <c r="H4" s="1054"/>
      <c r="I4" s="1054"/>
      <c r="J4" s="579"/>
    </row>
    <row r="5" spans="1:11" s="581" customFormat="1" ht="17.25" customHeight="1">
      <c r="B5" s="582"/>
      <c r="C5" s="583" t="s">
        <v>360</v>
      </c>
      <c r="D5" s="582" t="str">
        <f>IF($K$2&lt;10,"0"&amp;$K$2&amp;"  năm 2011",$K$2&amp;"  năm 2011")</f>
        <v>01  năm 2011</v>
      </c>
      <c r="E5" s="582"/>
      <c r="F5" s="582"/>
      <c r="G5" s="582"/>
      <c r="H5" s="582"/>
      <c r="I5" s="582"/>
      <c r="J5" s="582"/>
    </row>
    <row r="6" spans="1:11" s="581" customFormat="1" ht="17.25" customHeight="1">
      <c r="B6" s="584"/>
      <c r="C6" s="1055" t="s">
        <v>261</v>
      </c>
      <c r="D6" s="1055"/>
      <c r="E6" s="1056"/>
      <c r="F6" s="1056"/>
      <c r="G6" s="1056"/>
      <c r="H6" s="706"/>
      <c r="I6" s="584"/>
      <c r="J6" s="582"/>
    </row>
    <row r="7" spans="1:11" s="586" customFormat="1" ht="9.75" customHeight="1">
      <c r="A7" s="585"/>
      <c r="B7" s="585"/>
      <c r="C7" s="585"/>
      <c r="D7" s="585"/>
      <c r="E7" s="585"/>
      <c r="F7" s="585"/>
      <c r="G7" s="585"/>
      <c r="H7" s="585"/>
      <c r="I7" s="585"/>
      <c r="J7" s="584"/>
    </row>
    <row r="8" spans="1:11" s="462" customFormat="1" ht="17.25" customHeight="1">
      <c r="A8" s="1057" t="s">
        <v>262</v>
      </c>
      <c r="B8" s="1058" t="s">
        <v>263</v>
      </c>
      <c r="C8" s="1058" t="s">
        <v>264</v>
      </c>
      <c r="D8" s="1058"/>
      <c r="E8" s="1058"/>
      <c r="F8" s="1058"/>
      <c r="G8" s="1058"/>
      <c r="H8" s="1058"/>
      <c r="I8" s="1058"/>
      <c r="J8" s="461"/>
    </row>
    <row r="9" spans="1:11" s="465" customFormat="1" ht="35.25" customHeight="1">
      <c r="A9" s="1057"/>
      <c r="B9" s="1058"/>
      <c r="C9" s="463" t="s">
        <v>555</v>
      </c>
      <c r="D9" s="463" t="s">
        <v>265</v>
      </c>
      <c r="E9" s="463" t="s">
        <v>556</v>
      </c>
      <c r="F9" s="463" t="s">
        <v>557</v>
      </c>
      <c r="G9" s="463" t="s">
        <v>266</v>
      </c>
      <c r="H9" s="463" t="s">
        <v>267</v>
      </c>
      <c r="I9" s="463" t="s">
        <v>558</v>
      </c>
      <c r="J9" s="464"/>
    </row>
    <row r="10" spans="1:11" s="468" customFormat="1" ht="15">
      <c r="A10" s="466" t="s">
        <v>2</v>
      </c>
      <c r="B10" s="467">
        <v>1</v>
      </c>
      <c r="C10" s="467">
        <v>2</v>
      </c>
      <c r="D10" s="467">
        <v>3</v>
      </c>
      <c r="E10" s="467">
        <v>4</v>
      </c>
      <c r="F10" s="467">
        <v>5</v>
      </c>
      <c r="G10" s="467">
        <v>6</v>
      </c>
      <c r="H10" s="467">
        <v>7</v>
      </c>
      <c r="I10" s="467">
        <v>8</v>
      </c>
      <c r="J10" s="458"/>
    </row>
    <row r="11" spans="1:11" s="581" customFormat="1" ht="24.75" customHeight="1">
      <c r="A11" s="587" t="s">
        <v>268</v>
      </c>
      <c r="B11" s="588">
        <f>ROUND(SUM(C11:I11),0)</f>
        <v>0</v>
      </c>
      <c r="C11" s="588">
        <v>0</v>
      </c>
      <c r="D11" s="588">
        <v>0</v>
      </c>
      <c r="E11" s="588">
        <v>0</v>
      </c>
      <c r="F11" s="588">
        <v>0</v>
      </c>
      <c r="G11" s="588">
        <v>0</v>
      </c>
      <c r="H11" s="588">
        <v>0</v>
      </c>
      <c r="I11" s="588">
        <v>0</v>
      </c>
      <c r="J11" s="582"/>
    </row>
    <row r="12" spans="1:11" s="581" customFormat="1" ht="24.75" customHeight="1">
      <c r="A12" s="587" t="s">
        <v>269</v>
      </c>
      <c r="B12" s="588">
        <f ca="1">ROUND(SUM(C12:I12),0)</f>
        <v>0</v>
      </c>
      <c r="C12" s="588">
        <f ca="1">IF(ISNA(VLOOKUP($E6,INDIRECT("DSSP"&amp;$K$2),5,0)),0,VLOOKUP($E6,INDIRECT("DSSP"&amp;$K$2),5,0))</f>
        <v>0</v>
      </c>
      <c r="D12" s="588">
        <f ca="1">IF(ISNA(VLOOKUP($E6,INDIRECT("DSSP"&amp;$K$2),6,0)),0,VLOOKUP($E6,INDIRECT("DSSP"&amp;$K$2),6,0))</f>
        <v>0</v>
      </c>
      <c r="E12" s="588">
        <f ca="1">IF(ISNA(VLOOKUP($E6,INDIRECT("DSSP"&amp;$K$2),7,0)),0,VLOOKUP($E6,INDIRECT("DSSP"&amp;$K$2),7,0))</f>
        <v>0</v>
      </c>
      <c r="F12" s="588">
        <f ca="1">IF(ISNA(VLOOKUP($E6,INDIRECT("DSSP"&amp;$K$2),8,0)),0,VLOOKUP($E6,INDIRECT("DSSP"&amp;$K$2),8,0))</f>
        <v>0</v>
      </c>
      <c r="G12" s="588">
        <f ca="1">IF(ISNA(VLOOKUP($E6,INDIRECT("DSSP"&amp;$K$2),9,0)),0,VLOOKUP($E6,INDIRECT("DSSP"&amp;$K$2),9,0))</f>
        <v>0</v>
      </c>
      <c r="H12" s="588">
        <f ca="1">IF(ISNA(VLOOKUP($E6,INDIRECT("DSSP"&amp;$K$2),10,0)),0,VLOOKUP($E6,INDIRECT("DSSP"&amp;$K$2),10,0))</f>
        <v>0</v>
      </c>
      <c r="I12" s="588">
        <f ca="1">IF(ISNA(VLOOKUP($E6,INDIRECT("DSSP"&amp;$K$2),11,0)),0,VLOOKUP($E6,INDIRECT("DSSP"&amp;$K$2),11,0))</f>
        <v>0</v>
      </c>
      <c r="J12" s="582"/>
    </row>
    <row r="13" spans="1:11" s="581" customFormat="1" ht="24.75" customHeight="1">
      <c r="A13" s="587" t="s">
        <v>270</v>
      </c>
      <c r="B13" s="588">
        <f ca="1">ROUND(IF(ISNA(VLOOKUP($E6,INDIRECT("DSSP"&amp;$K$2),13,0)),0,VLOOKUP($E6,INDIRECT("DSSP"&amp;$K$2),13,0)),0)</f>
        <v>0</v>
      </c>
      <c r="C13" s="588">
        <f t="shared" ref="C13:I13" ca="1" si="0">C12</f>
        <v>0</v>
      </c>
      <c r="D13" s="588">
        <f t="shared" ca="1" si="0"/>
        <v>0</v>
      </c>
      <c r="E13" s="588">
        <f t="shared" ca="1" si="0"/>
        <v>0</v>
      </c>
      <c r="F13" s="588"/>
      <c r="G13" s="588">
        <f t="shared" ca="1" si="0"/>
        <v>0</v>
      </c>
      <c r="H13" s="588"/>
      <c r="I13" s="588">
        <f t="shared" ca="1" si="0"/>
        <v>0</v>
      </c>
      <c r="J13" s="582"/>
    </row>
    <row r="14" spans="1:11" s="581" customFormat="1" ht="24.75" customHeight="1">
      <c r="A14" s="587" t="s">
        <v>271</v>
      </c>
      <c r="B14" s="588">
        <f ca="1">B12-B13</f>
        <v>0</v>
      </c>
      <c r="C14" s="588">
        <f t="shared" ref="C14:I14" ca="1" si="1">C12-C13</f>
        <v>0</v>
      </c>
      <c r="D14" s="588">
        <f t="shared" ca="1" si="1"/>
        <v>0</v>
      </c>
      <c r="E14" s="588">
        <f t="shared" ca="1" si="1"/>
        <v>0</v>
      </c>
      <c r="F14" s="588"/>
      <c r="G14" s="588">
        <f t="shared" ca="1" si="1"/>
        <v>0</v>
      </c>
      <c r="H14" s="588"/>
      <c r="I14" s="588">
        <f t="shared" ca="1" si="1"/>
        <v>0</v>
      </c>
      <c r="J14" s="582"/>
    </row>
    <row r="15" spans="1:11" s="581" customFormat="1" ht="15">
      <c r="B15" s="582"/>
      <c r="C15" s="582"/>
      <c r="D15" s="582"/>
      <c r="E15" s="582"/>
      <c r="F15" s="582"/>
      <c r="G15" s="582"/>
      <c r="H15" s="582"/>
      <c r="I15" s="582"/>
      <c r="J15" s="582"/>
    </row>
    <row r="16" spans="1:11" s="581" customFormat="1" ht="15">
      <c r="B16" s="582"/>
      <c r="C16" s="582"/>
      <c r="D16" s="582"/>
      <c r="E16" s="105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51"/>
      <c r="G16" s="1051"/>
      <c r="H16" s="1051"/>
      <c r="I16" s="1051"/>
      <c r="J16" s="582"/>
    </row>
    <row r="17" spans="2:10" s="581" customFormat="1" ht="15">
      <c r="B17" s="468" t="s">
        <v>272</v>
      </c>
      <c r="C17" s="582"/>
      <c r="D17" s="582"/>
      <c r="E17" s="1051" t="s">
        <v>12</v>
      </c>
      <c r="F17" s="1051"/>
      <c r="G17" s="1051"/>
      <c r="H17" s="1051"/>
      <c r="I17" s="1051"/>
      <c r="J17" s="582"/>
    </row>
    <row r="19" spans="2:10" ht="15">
      <c r="E19" s="590"/>
      <c r="F19" s="590"/>
    </row>
    <row r="26" spans="2:10">
      <c r="B26" s="56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9" customWidth="1"/>
    <col min="2" max="2" width="9.140625" style="499" customWidth="1"/>
    <col min="3" max="3" width="9" style="500" customWidth="1"/>
    <col min="4" max="4" width="28.140625" style="499" customWidth="1"/>
    <col min="5" max="5" width="9.140625" style="499" customWidth="1"/>
    <col min="6" max="6" width="9.28515625" style="500" customWidth="1"/>
    <col min="7" max="7" width="9" style="499" customWidth="1"/>
    <col min="8" max="8" width="14.5703125" style="499" customWidth="1"/>
    <col min="9" max="9" width="6" style="499" customWidth="1"/>
    <col min="10" max="10" width="14.140625" style="499" customWidth="1"/>
    <col min="11" max="11" width="14.85546875" style="501" customWidth="1"/>
    <col min="12" max="12" width="14.42578125" style="499" customWidth="1"/>
    <col min="13" max="13" width="5.85546875" style="499" customWidth="1"/>
    <col min="14" max="14" width="7.42578125" style="499" customWidth="1"/>
    <col min="15" max="15" width="11.7109375" style="499" customWidth="1"/>
    <col min="16" max="16" width="4.5703125" style="565" customWidth="1"/>
    <col min="17" max="17" width="11.140625" style="499" bestFit="1" customWidth="1"/>
    <col min="18" max="18" width="12" style="499" bestFit="1" customWidth="1"/>
    <col min="19" max="16384" width="9.140625" style="499"/>
  </cols>
  <sheetData>
    <row r="1" spans="1:18" ht="15" customHeight="1">
      <c r="A1" s="626" t="str">
        <f>TH!A1</f>
        <v>Đơn vị: CÔNG TY TNHH MỘT THÀNH VIÊN KHỞI NGUYÊN AN</v>
      </c>
      <c r="L1" s="1069" t="s">
        <v>299</v>
      </c>
      <c r="M1" s="1069"/>
      <c r="N1" s="1069"/>
      <c r="O1" s="1069"/>
    </row>
    <row r="2" spans="1:18" ht="15" customHeight="1">
      <c r="A2" s="498" t="str">
        <f>TH!A2</f>
        <v>Địa chỉ: Thửa đất số 144, tờ bản đồ số 12TĐH.1, tổ 1, khu phố Đông Tác, Phường Tân Đông Hiệp, Thị Xã Dĩ An, Tỉnh Bình Dương, Việt Nam</v>
      </c>
      <c r="L2" s="106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68"/>
      <c r="N2" s="1068"/>
      <c r="O2" s="1068"/>
    </row>
    <row r="3" spans="1:18" ht="15" customHeight="1">
      <c r="L3" s="1068"/>
      <c r="M3" s="1068"/>
      <c r="N3" s="1068"/>
      <c r="O3" s="1068"/>
    </row>
    <row r="5" spans="1:18" s="504" customFormat="1" ht="24" customHeight="1">
      <c r="A5" s="1070" t="s">
        <v>300</v>
      </c>
      <c r="B5" s="1070"/>
      <c r="C5" s="1070"/>
      <c r="D5" s="1070"/>
      <c r="E5" s="1070"/>
      <c r="F5" s="1070"/>
      <c r="G5" s="1070"/>
      <c r="H5" s="1070"/>
      <c r="I5" s="1070"/>
      <c r="J5" s="1070"/>
      <c r="K5" s="1070"/>
      <c r="L5" s="1070"/>
      <c r="M5" s="1070"/>
      <c r="N5" s="1070"/>
      <c r="O5" s="1070"/>
      <c r="P5" s="566"/>
    </row>
    <row r="6" spans="1:18" s="504" customFormat="1" ht="21" customHeight="1">
      <c r="A6" s="1071" t="s">
        <v>559</v>
      </c>
      <c r="B6" s="1071"/>
      <c r="C6" s="1071"/>
      <c r="D6" s="1071"/>
      <c r="E6" s="1071"/>
      <c r="F6" s="1071"/>
      <c r="G6" s="1071"/>
      <c r="H6" s="1071"/>
      <c r="I6" s="1071"/>
      <c r="J6" s="1071"/>
      <c r="K6" s="1071"/>
      <c r="L6" s="1071"/>
      <c r="M6" s="1071"/>
      <c r="N6" s="1071"/>
      <c r="O6" s="1071"/>
      <c r="P6" s="566"/>
    </row>
    <row r="7" spans="1:18" s="504" customFormat="1" ht="21" customHeight="1">
      <c r="A7" s="1072" t="s">
        <v>342</v>
      </c>
      <c r="B7" s="1072"/>
      <c r="C7" s="1072"/>
      <c r="D7" s="1072"/>
      <c r="E7" s="1072"/>
      <c r="F7" s="1072"/>
      <c r="G7" s="1072"/>
      <c r="H7" s="1072"/>
      <c r="I7" s="1072"/>
      <c r="J7" s="1072"/>
      <c r="K7" s="1072"/>
      <c r="L7" s="1072"/>
      <c r="M7" s="1072"/>
      <c r="N7" s="1072"/>
      <c r="O7" s="1072"/>
      <c r="P7" s="566"/>
    </row>
    <row r="8" spans="1:18">
      <c r="D8" s="500"/>
    </row>
    <row r="9" spans="1:18" s="505" customFormat="1" ht="24" customHeight="1">
      <c r="A9" s="1059" t="s">
        <v>239</v>
      </c>
      <c r="B9" s="1062" t="s">
        <v>301</v>
      </c>
      <c r="C9" s="1063"/>
      <c r="D9" s="1063"/>
      <c r="E9" s="1063"/>
      <c r="F9" s="1063"/>
      <c r="G9" s="1063"/>
      <c r="H9" s="1064"/>
      <c r="I9" s="1062" t="s">
        <v>302</v>
      </c>
      <c r="J9" s="1063"/>
      <c r="K9" s="1063"/>
      <c r="L9" s="1064"/>
      <c r="M9" s="1065" t="s">
        <v>303</v>
      </c>
      <c r="N9" s="1065"/>
      <c r="O9" s="1065"/>
      <c r="P9" s="567"/>
    </row>
    <row r="10" spans="1:18" s="505" customFormat="1" ht="24" customHeight="1">
      <c r="A10" s="1060"/>
      <c r="B10" s="1062" t="s">
        <v>304</v>
      </c>
      <c r="C10" s="1064"/>
      <c r="D10" s="1059" t="s">
        <v>305</v>
      </c>
      <c r="E10" s="1059" t="s">
        <v>306</v>
      </c>
      <c r="F10" s="1059" t="s">
        <v>307</v>
      </c>
      <c r="G10" s="1059" t="s">
        <v>308</v>
      </c>
      <c r="H10" s="1059" t="s">
        <v>309</v>
      </c>
      <c r="I10" s="1062" t="s">
        <v>310</v>
      </c>
      <c r="J10" s="1064"/>
      <c r="K10" s="1066" t="s">
        <v>311</v>
      </c>
      <c r="L10" s="1059" t="s">
        <v>312</v>
      </c>
      <c r="M10" s="1065" t="s">
        <v>304</v>
      </c>
      <c r="N10" s="1065"/>
      <c r="O10" s="1065" t="s">
        <v>313</v>
      </c>
      <c r="P10" s="567"/>
    </row>
    <row r="11" spans="1:18" s="505" customFormat="1" ht="55.5" customHeight="1">
      <c r="A11" s="1061"/>
      <c r="B11" s="506" t="s">
        <v>314</v>
      </c>
      <c r="C11" s="506" t="s">
        <v>240</v>
      </c>
      <c r="D11" s="1061"/>
      <c r="E11" s="1061"/>
      <c r="F11" s="1061"/>
      <c r="G11" s="1061"/>
      <c r="H11" s="1061"/>
      <c r="I11" s="506" t="s">
        <v>315</v>
      </c>
      <c r="J11" s="506" t="s">
        <v>316</v>
      </c>
      <c r="K11" s="1067"/>
      <c r="L11" s="1061"/>
      <c r="M11" s="506" t="s">
        <v>15</v>
      </c>
      <c r="N11" s="506" t="s">
        <v>240</v>
      </c>
      <c r="O11" s="1065"/>
      <c r="P11" s="567"/>
    </row>
    <row r="12" spans="1:18" s="509" customFormat="1" ht="13.5">
      <c r="A12" s="507" t="s">
        <v>2</v>
      </c>
      <c r="B12" s="507" t="s">
        <v>3</v>
      </c>
      <c r="C12" s="507" t="s">
        <v>4</v>
      </c>
      <c r="D12" s="507" t="s">
        <v>5</v>
      </c>
      <c r="E12" s="507" t="s">
        <v>6</v>
      </c>
      <c r="F12" s="507" t="s">
        <v>131</v>
      </c>
      <c r="G12" s="507" t="s">
        <v>317</v>
      </c>
      <c r="H12" s="507">
        <v>1</v>
      </c>
      <c r="I12" s="507">
        <v>2</v>
      </c>
      <c r="J12" s="507">
        <v>3</v>
      </c>
      <c r="K12" s="508"/>
      <c r="L12" s="507">
        <v>4</v>
      </c>
      <c r="M12" s="507" t="s">
        <v>318</v>
      </c>
      <c r="N12" s="507" t="s">
        <v>319</v>
      </c>
      <c r="O12" s="507" t="s">
        <v>320</v>
      </c>
      <c r="P12" s="568"/>
    </row>
    <row r="13" spans="1:18" s="509" customFormat="1" ht="21.75" customHeight="1">
      <c r="A13" s="529" t="s">
        <v>318</v>
      </c>
      <c r="B13" s="531" t="s">
        <v>341</v>
      </c>
      <c r="C13" s="529"/>
      <c r="D13" s="529"/>
      <c r="E13" s="529"/>
      <c r="F13" s="529"/>
      <c r="G13" s="569"/>
      <c r="H13" s="536"/>
      <c r="I13" s="536"/>
      <c r="J13" s="536"/>
      <c r="K13" s="536"/>
      <c r="L13" s="8"/>
      <c r="M13" s="529"/>
      <c r="N13" s="529"/>
      <c r="O13" s="181"/>
      <c r="P13" s="568" t="str">
        <f>IF(D13='THE-TS'!$D$11,"x","")</f>
        <v/>
      </c>
    </row>
    <row r="14" spans="1:18" ht="21.75" customHeight="1">
      <c r="A14" s="530">
        <v>1</v>
      </c>
      <c r="B14" s="540" t="s">
        <v>517</v>
      </c>
      <c r="C14" s="510">
        <v>40682</v>
      </c>
      <c r="D14" s="204" t="s">
        <v>390</v>
      </c>
      <c r="E14" s="451" t="s">
        <v>321</v>
      </c>
      <c r="F14" s="539" t="s">
        <v>563</v>
      </c>
      <c r="G14" s="569" t="s">
        <v>519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26"/>
      <c r="N14" s="451"/>
      <c r="O14" s="181"/>
      <c r="P14" s="568" t="str">
        <f>IF(D14='THE-TS'!$D$11,"x","")</f>
        <v>x</v>
      </c>
      <c r="Q14" s="289"/>
      <c r="R14" s="289"/>
    </row>
    <row r="15" spans="1:18" ht="21.75" customHeight="1">
      <c r="A15" s="530">
        <v>2</v>
      </c>
      <c r="B15" s="539" t="s">
        <v>518</v>
      </c>
      <c r="C15" s="510">
        <v>40686</v>
      </c>
      <c r="D15" s="204" t="s">
        <v>391</v>
      </c>
      <c r="E15" s="451" t="s">
        <v>321</v>
      </c>
      <c r="F15" s="539" t="s">
        <v>563</v>
      </c>
      <c r="G15" s="569" t="s">
        <v>520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26"/>
      <c r="N15" s="451"/>
      <c r="O15" s="181"/>
      <c r="P15" s="568" t="str">
        <f>IF(D15='THE-TS'!$D$11,"x","")</f>
        <v/>
      </c>
      <c r="Q15" s="289"/>
      <c r="R15" s="289"/>
    </row>
    <row r="16" spans="1:18" ht="21.75" customHeight="1">
      <c r="A16" s="530">
        <v>3</v>
      </c>
      <c r="B16" s="539" t="s">
        <v>355</v>
      </c>
      <c r="C16" s="510">
        <v>40710</v>
      </c>
      <c r="D16" s="204" t="s">
        <v>427</v>
      </c>
      <c r="E16" s="451" t="s">
        <v>321</v>
      </c>
      <c r="F16" s="539" t="s">
        <v>564</v>
      </c>
      <c r="G16" s="569" t="s">
        <v>521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26"/>
      <c r="N16" s="181"/>
      <c r="O16" s="181"/>
      <c r="P16" s="568" t="str">
        <f>IF(D16='THE-TS'!$D$11,"x","")</f>
        <v/>
      </c>
      <c r="Q16" s="289"/>
      <c r="R16" s="289"/>
    </row>
    <row r="17" spans="1:18" ht="21.75" customHeight="1">
      <c r="A17" s="511"/>
      <c r="B17" s="532"/>
      <c r="C17" s="533"/>
      <c r="D17" s="534"/>
      <c r="E17" s="512"/>
      <c r="F17" s="533"/>
      <c r="G17" s="532"/>
      <c r="H17" s="537"/>
      <c r="I17" s="537"/>
      <c r="J17" s="296"/>
      <c r="K17" s="296"/>
      <c r="L17" s="296"/>
      <c r="M17" s="512"/>
      <c r="N17" s="512"/>
      <c r="O17" s="512"/>
      <c r="P17" s="568" t="str">
        <f>IF(D17='THE-TS'!$D$11,"x","")</f>
        <v/>
      </c>
      <c r="R17" s="527"/>
    </row>
    <row r="18" spans="1:18" s="515" customFormat="1" ht="21.75" customHeight="1">
      <c r="A18" s="513"/>
      <c r="B18" s="514"/>
      <c r="C18" s="513"/>
      <c r="D18" s="513" t="s">
        <v>322</v>
      </c>
      <c r="E18" s="513" t="s">
        <v>19</v>
      </c>
      <c r="F18" s="513" t="s">
        <v>19</v>
      </c>
      <c r="G18" s="513" t="s">
        <v>19</v>
      </c>
      <c r="H18" s="538">
        <f>SUM(H13:H17)</f>
        <v>365000000</v>
      </c>
      <c r="I18" s="538"/>
      <c r="J18" s="538">
        <f>SUM(J13:J17)</f>
        <v>37250000</v>
      </c>
      <c r="K18" s="538">
        <f>SUM(K13:K17)</f>
        <v>0</v>
      </c>
      <c r="L18" s="538">
        <f>SUM(L13:L17)</f>
        <v>37250000</v>
      </c>
      <c r="M18" s="574" t="s">
        <v>19</v>
      </c>
      <c r="N18" s="574" t="s">
        <v>19</v>
      </c>
      <c r="O18" s="574" t="s">
        <v>19</v>
      </c>
      <c r="P18" s="568" t="str">
        <f>IF(D18='THE-TS'!$D$11,"x","")</f>
        <v/>
      </c>
    </row>
    <row r="19" spans="1:18" ht="6.75" customHeight="1">
      <c r="A19" s="454"/>
      <c r="B19" s="454"/>
      <c r="C19" s="516"/>
      <c r="D19" s="454"/>
      <c r="E19" s="516"/>
      <c r="F19" s="516"/>
      <c r="G19" s="516"/>
      <c r="H19" s="454"/>
      <c r="I19" s="454"/>
      <c r="J19" s="454"/>
      <c r="K19" s="517"/>
      <c r="L19" s="454"/>
      <c r="M19" s="454"/>
      <c r="N19" s="454"/>
      <c r="O19" s="454"/>
      <c r="P19" s="568" t="str">
        <f>IF(D19='THE-TS'!$D$11,"x","")</f>
        <v/>
      </c>
    </row>
    <row r="20" spans="1:18" ht="13.5" customHeight="1">
      <c r="A20" s="454"/>
      <c r="B20" s="454"/>
      <c r="C20" s="516"/>
      <c r="D20" s="454" t="s">
        <v>323</v>
      </c>
      <c r="E20" s="454"/>
      <c r="F20" s="516"/>
      <c r="G20" s="454"/>
      <c r="H20" s="501"/>
      <c r="I20" s="501"/>
      <c r="J20" s="575"/>
      <c r="L20" s="501"/>
      <c r="M20" s="454"/>
      <c r="N20" s="454"/>
      <c r="O20" s="454"/>
      <c r="P20" s="568" t="str">
        <f>IF(D20='THE-TS'!$D$11,"x","")</f>
        <v/>
      </c>
    </row>
    <row r="21" spans="1:18" ht="13.5" customHeight="1">
      <c r="A21" s="454"/>
      <c r="B21" s="454"/>
      <c r="C21" s="516"/>
      <c r="D21" s="454" t="s">
        <v>561</v>
      </c>
      <c r="E21" s="454"/>
      <c r="F21" s="516"/>
      <c r="G21" s="454"/>
      <c r="H21" s="527"/>
      <c r="I21" s="454"/>
      <c r="J21" s="535"/>
      <c r="K21" s="517"/>
      <c r="L21" s="454"/>
      <c r="M21" s="454"/>
      <c r="N21" s="454"/>
      <c r="O21" s="454"/>
      <c r="P21" s="568" t="str">
        <f>IF(D21='THE-TS'!$D$11,"x","")</f>
        <v/>
      </c>
    </row>
    <row r="22" spans="1:18" ht="13.5" customHeight="1">
      <c r="K22" s="518"/>
      <c r="L22" s="503" t="s">
        <v>560</v>
      </c>
      <c r="P22" s="568" t="str">
        <f>IF(D22='THE-TS'!$D$11,"x","")</f>
        <v/>
      </c>
    </row>
    <row r="23" spans="1:18" ht="13.5" customHeight="1">
      <c r="B23" s="500"/>
      <c r="D23" s="500" t="s">
        <v>11</v>
      </c>
      <c r="F23" s="500" t="s">
        <v>324</v>
      </c>
      <c r="I23" s="519"/>
      <c r="K23" s="516"/>
      <c r="L23" s="516" t="s">
        <v>109</v>
      </c>
      <c r="P23" s="568" t="str">
        <f>IF(D23='THE-TS'!$D$11,"x","")</f>
        <v/>
      </c>
    </row>
    <row r="24" spans="1:18" ht="13.5" customHeight="1">
      <c r="B24" s="500"/>
      <c r="D24" s="500"/>
      <c r="P24" s="568" t="str">
        <f>IF(D24='THE-TS'!$D$11,"x","")</f>
        <v/>
      </c>
    </row>
    <row r="25" spans="1:18" ht="13.5" customHeight="1">
      <c r="H25" s="520"/>
      <c r="J25" s="520"/>
      <c r="L25" s="520"/>
      <c r="P25" s="568" t="str">
        <f>IF(D25='THE-TS'!$D$11,"x","")</f>
        <v/>
      </c>
    </row>
    <row r="26" spans="1:18" ht="13.5" customHeight="1">
      <c r="H26" s="521"/>
      <c r="P26" s="568" t="str">
        <f>IF(D26='THE-TS'!$D$11,"x","")</f>
        <v/>
      </c>
    </row>
    <row r="27" spans="1:18" ht="13.5" customHeight="1">
      <c r="H27" s="521"/>
      <c r="J27" s="520"/>
      <c r="P27" s="568" t="str">
        <f>IF(D27='THE-TS'!$D$11,"x","")</f>
        <v/>
      </c>
    </row>
    <row r="28" spans="1:18" ht="13.5" customHeight="1">
      <c r="H28" s="521"/>
      <c r="P28" s="568" t="str">
        <f>IF(D28='THE-TS'!$D$11,"x","")</f>
        <v/>
      </c>
    </row>
    <row r="29" spans="1:18" ht="13.5" customHeight="1">
      <c r="H29" s="521"/>
      <c r="P29" s="568" t="str">
        <f>IF(D29='THE-TS'!$D$11,"x","")</f>
        <v/>
      </c>
    </row>
    <row r="30" spans="1:18" s="522" customFormat="1" ht="13.5" customHeight="1">
      <c r="C30" s="523"/>
      <c r="D30" s="523"/>
      <c r="F30" s="523"/>
      <c r="H30" s="524"/>
      <c r="K30" s="525"/>
      <c r="P30" s="568"/>
    </row>
    <row r="31" spans="1:18" ht="13.5">
      <c r="P31" s="568" t="str">
        <f>IF(D31='THE-TS'!$D$11,"x","")</f>
        <v/>
      </c>
    </row>
    <row r="32" spans="1:18" ht="13.5" customHeight="1">
      <c r="H32" s="521"/>
      <c r="P32" s="568" t="str">
        <f>IF(D32='THE-TS'!$D$11,"x","")</f>
        <v/>
      </c>
    </row>
    <row r="33" spans="16:16" ht="13.5">
      <c r="P33" s="568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42" customWidth="1"/>
    <col min="2" max="2" width="10.140625" style="542" customWidth="1"/>
    <col min="3" max="3" width="11.5703125" style="542" customWidth="1"/>
    <col min="4" max="4" width="28.7109375" style="542" customWidth="1"/>
    <col min="5" max="5" width="13.28515625" style="542" customWidth="1"/>
    <col min="6" max="6" width="9.140625" style="542"/>
    <col min="7" max="7" width="14" style="542" customWidth="1"/>
    <col min="8" max="8" width="14.7109375" style="542" customWidth="1"/>
    <col min="9" max="10" width="9.140625" style="542"/>
    <col min="11" max="11" width="13.85546875" style="542" customWidth="1"/>
    <col min="12" max="16384" width="9.140625" style="542"/>
  </cols>
  <sheetData>
    <row r="1" spans="1:11" hidden="1"/>
    <row r="2" spans="1:11">
      <c r="A2" s="627" t="str">
        <f>TH!A1</f>
        <v>Đơn vị: CÔNG TY TNHH MỘT THÀNH VIÊN KHỞI NGUYÊN AN</v>
      </c>
      <c r="B2" s="541"/>
      <c r="C2" s="541"/>
      <c r="D2" s="541"/>
      <c r="E2" s="502"/>
      <c r="F2" s="1069" t="s">
        <v>325</v>
      </c>
      <c r="G2" s="1069"/>
      <c r="H2" s="1069"/>
    </row>
    <row r="3" spans="1:11">
      <c r="A3" s="558" t="str">
        <f>TH!A2</f>
        <v>Địa chỉ: Thửa đất số 144, tờ bản đồ số 12TĐH.1, tổ 1, khu phố Đông Tác, Phường Tân Đông Hiệp, Thị Xã Dĩ An, Tỉnh Bình Dương, Việt Nam</v>
      </c>
      <c r="B3" s="541"/>
      <c r="C3" s="541"/>
      <c r="D3" s="541"/>
      <c r="E3" s="503"/>
      <c r="F3" s="1068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68"/>
      <c r="H3" s="1068"/>
    </row>
    <row r="4" spans="1:11">
      <c r="A4" s="500"/>
      <c r="B4" s="500"/>
      <c r="C4" s="503"/>
      <c r="D4" s="503"/>
      <c r="E4" s="503"/>
      <c r="F4" s="1068"/>
      <c r="G4" s="1068"/>
      <c r="H4" s="1068"/>
    </row>
    <row r="5" spans="1:11">
      <c r="A5" s="500"/>
      <c r="B5" s="500"/>
      <c r="C5" s="503"/>
      <c r="D5" s="503"/>
      <c r="E5" s="503"/>
      <c r="F5" s="503"/>
      <c r="G5" s="503"/>
      <c r="H5" s="503"/>
    </row>
    <row r="6" spans="1:11" ht="23.25" customHeight="1" thickBot="1">
      <c r="A6" s="1074" t="s">
        <v>326</v>
      </c>
      <c r="B6" s="1074"/>
      <c r="C6" s="1074"/>
      <c r="D6" s="1074"/>
      <c r="E6" s="1074"/>
      <c r="F6" s="1074"/>
      <c r="G6" s="1074"/>
      <c r="H6" s="1074"/>
    </row>
    <row r="7" spans="1:11" ht="17.25" customHeight="1" thickBot="1">
      <c r="A7" s="1073" t="str">
        <f ca="1" xml:space="preserve"> IF(ROWS($1:1)&gt;COUNT(Dong3),"","Số: "&amp;OFFSET('SO-TS'!$G$1,SMALL(Dong3,ROWS($1:1)),))</f>
        <v>Số: SX01/11</v>
      </c>
      <c r="B7" s="1073"/>
      <c r="C7" s="1073"/>
      <c r="D7" s="1073"/>
      <c r="E7" s="1073"/>
      <c r="F7" s="1073"/>
      <c r="G7" s="1073"/>
      <c r="H7" s="1073"/>
      <c r="J7" s="559" t="s">
        <v>343</v>
      </c>
      <c r="K7" s="560" t="s">
        <v>349</v>
      </c>
    </row>
    <row r="8" spans="1:11" ht="17.25" customHeight="1">
      <c r="A8" s="107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75"/>
      <c r="C8" s="1075"/>
      <c r="D8" s="1075"/>
      <c r="E8" s="1075"/>
      <c r="F8" s="1075"/>
      <c r="G8" s="1075"/>
      <c r="H8" s="1075"/>
    </row>
    <row r="9" spans="1:11" ht="12" customHeight="1">
      <c r="A9" s="500"/>
      <c r="B9" s="500"/>
      <c r="C9" s="500"/>
      <c r="D9" s="500"/>
      <c r="E9" s="500"/>
      <c r="F9" s="500"/>
      <c r="G9" s="503"/>
      <c r="H9" s="503"/>
    </row>
    <row r="10" spans="1:11" ht="15" customHeight="1">
      <c r="A10" s="499" t="str">
        <f ca="1">"Căn cứ vào biên bản giao nhận TSCĐ "&amp;"  "&amp;A7&amp;"  "&amp;A8</f>
        <v>Căn cứ vào biên bản giao nhận TSCĐ   Số: SX01/11  Ngày   19   tháng   5  năm   2011</v>
      </c>
      <c r="B10" s="499"/>
      <c r="C10" s="499"/>
      <c r="D10" s="499"/>
      <c r="E10" s="499"/>
      <c r="F10" s="499"/>
      <c r="G10" s="499"/>
      <c r="H10" s="499"/>
    </row>
    <row r="11" spans="1:11" ht="15" customHeight="1">
      <c r="A11" s="499" t="s">
        <v>344</v>
      </c>
      <c r="B11" s="499"/>
      <c r="C11" s="499"/>
      <c r="D11" s="499" t="s">
        <v>390</v>
      </c>
      <c r="E11" s="499" t="str">
        <f ca="1" xml:space="preserve"> IF(ROWS($1:1)&gt;COUNT(Dong3),"","Số hiệu TSCĐ:   "&amp;OFFSET('SO-TS'!$G$1,SMALL(Dong3,ROWS($1:1)),))</f>
        <v>Số hiệu TSCĐ:   SX01/11</v>
      </c>
      <c r="F11" s="499"/>
      <c r="H11" s="499"/>
    </row>
    <row r="12" spans="1:11" ht="15" customHeight="1">
      <c r="A12" s="499" t="str">
        <f ca="1" xml:space="preserve"> IF(ROWS($1:1)&gt;COUNT(Dong3),"","Nước sản xuất:   "&amp;OFFSET('SO-TS'!$E$1,SMALL(Dong3,ROWS($1:1)),))</f>
        <v>Nước sản xuất:   Việt Nam</v>
      </c>
      <c r="B12" s="499"/>
      <c r="C12" s="499"/>
      <c r="D12" s="499"/>
      <c r="E12" s="499" t="s">
        <v>345</v>
      </c>
      <c r="F12" s="499"/>
      <c r="G12" s="499"/>
      <c r="H12" s="499"/>
    </row>
    <row r="13" spans="1:11" ht="15" customHeight="1">
      <c r="A13" s="49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9"/>
      <c r="C13" s="499"/>
      <c r="D13" s="499"/>
      <c r="E13" s="499" t="str">
        <f ca="1" xml:space="preserve"> IF(ROWS($1:1)&gt;COUNT(Dong3),"","Tháng, năm đưa vào sử dụng:    "&amp;OFFSET('SO-TS'!$F$1,SMALL(Dong3,ROWS($1:1)),))</f>
        <v>Tháng, năm đưa vào sử dụng:    06/2011</v>
      </c>
      <c r="F13" s="499"/>
      <c r="G13" s="499"/>
      <c r="H13" s="499"/>
    </row>
    <row r="14" spans="1:11" ht="15" customHeight="1">
      <c r="A14" s="499" t="s">
        <v>327</v>
      </c>
      <c r="B14" s="499"/>
      <c r="C14" s="499"/>
      <c r="D14" s="499"/>
      <c r="E14" s="499"/>
      <c r="F14" s="499"/>
      <c r="G14" s="499"/>
      <c r="H14" s="499"/>
    </row>
    <row r="15" spans="1:11" ht="15" customHeight="1">
      <c r="A15" s="499" t="s">
        <v>347</v>
      </c>
      <c r="B15" s="499"/>
      <c r="C15" s="499"/>
      <c r="D15" s="499"/>
      <c r="E15" s="499"/>
      <c r="F15" s="499"/>
      <c r="G15" s="499"/>
      <c r="H15" s="499"/>
    </row>
    <row r="16" spans="1:11" ht="15" customHeight="1">
      <c r="A16" s="561" t="s">
        <v>346</v>
      </c>
      <c r="B16" s="561"/>
      <c r="C16" s="561"/>
      <c r="D16" s="561"/>
      <c r="E16" s="561"/>
      <c r="F16" s="561"/>
      <c r="G16" s="561"/>
      <c r="H16" s="561"/>
    </row>
    <row r="17" spans="1:8" s="555" customFormat="1" ht="18" customHeight="1">
      <c r="A17" s="1078" t="s">
        <v>125</v>
      </c>
      <c r="B17" s="1079"/>
      <c r="C17" s="1082" t="s">
        <v>328</v>
      </c>
      <c r="D17" s="1083"/>
      <c r="E17" s="1084"/>
      <c r="F17" s="1085" t="s">
        <v>329</v>
      </c>
      <c r="G17" s="1086"/>
      <c r="H17" s="1087"/>
    </row>
    <row r="18" spans="1:8" s="555" customFormat="1" ht="28.5" customHeight="1">
      <c r="A18" s="1080"/>
      <c r="B18" s="1081"/>
      <c r="C18" s="528" t="s">
        <v>330</v>
      </c>
      <c r="D18" s="528" t="s">
        <v>0</v>
      </c>
      <c r="E18" s="528" t="s">
        <v>331</v>
      </c>
      <c r="F18" s="528" t="s">
        <v>332</v>
      </c>
      <c r="G18" s="528" t="s">
        <v>333</v>
      </c>
      <c r="H18" s="528" t="s">
        <v>334</v>
      </c>
    </row>
    <row r="19" spans="1:8" s="557" customFormat="1">
      <c r="A19" s="1088" t="s">
        <v>2</v>
      </c>
      <c r="B19" s="1089"/>
      <c r="C19" s="556" t="s">
        <v>3</v>
      </c>
      <c r="D19" s="556" t="s">
        <v>4</v>
      </c>
      <c r="E19" s="556">
        <v>1</v>
      </c>
      <c r="F19" s="556">
        <v>2</v>
      </c>
      <c r="G19" s="556">
        <v>3</v>
      </c>
      <c r="H19" s="556">
        <v>4</v>
      </c>
    </row>
    <row r="20" spans="1:8" ht="17.25" customHeight="1">
      <c r="A20" s="471">
        <f ca="1">IF(B20&lt;&gt;"",ROW()-19,"")</f>
        <v>1</v>
      </c>
      <c r="B20" s="543" t="str">
        <f ca="1" xml:space="preserve"> IF(ROWS($1:1)&gt;COUNT(Dong3),"",OFFSET('SO-TS'!G$1,SMALL(Dong3,ROWS($1:1)),))</f>
        <v>SX01/11</v>
      </c>
      <c r="C20" s="543" t="str">
        <f ca="1" xml:space="preserve"> IF(ROWS($1:1)&gt;COUNT(Dong3),"",OFFSET('SO-TS'!F$1,SMALL(Dong3,ROWS($1:1)),))</f>
        <v>06/2011</v>
      </c>
      <c r="D20" s="570" t="str">
        <f ca="1" xml:space="preserve"> IF(ROWS($1:1)&gt;COUNT(Dong3),"",OFFSET('SO-TS'!D$1,SMALL(Dong3,ROWS($1:1)),))</f>
        <v>Máy chap khe khổ 2m</v>
      </c>
      <c r="E20" s="571">
        <f ca="1" xml:space="preserve"> IF(ROWS($1:1)&gt;COUNT(Dong3),"",OFFSET('SO-TS'!H$1,SMALL(Dong3,ROWS($1:1)),))</f>
        <v>18000000</v>
      </c>
      <c r="F20" s="57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1" t="str">
        <f t="shared" ref="A21" si="0">IF(B21&lt;&gt;"",ROW()-19,"")</f>
        <v/>
      </c>
      <c r="B21" s="511"/>
      <c r="C21" s="544"/>
      <c r="D21" s="544"/>
      <c r="E21" s="573"/>
      <c r="F21" s="572"/>
      <c r="G21" s="573"/>
      <c r="H21" s="573"/>
    </row>
    <row r="22" spans="1:8" ht="17.25" customHeight="1">
      <c r="A22" s="513"/>
      <c r="B22" s="513" t="s">
        <v>335</v>
      </c>
      <c r="C22" s="545"/>
      <c r="D22" s="545"/>
      <c r="E22" s="574">
        <f ca="1">SUM(E20:E21)</f>
        <v>18000000</v>
      </c>
      <c r="F22" s="545"/>
      <c r="G22" s="574">
        <f ca="1">SUM(G20:G21)</f>
        <v>2100000</v>
      </c>
      <c r="H22" s="574"/>
    </row>
    <row r="23" spans="1:8" ht="17.25" customHeight="1">
      <c r="A23" s="546"/>
      <c r="B23" s="546"/>
      <c r="C23" s="547"/>
      <c r="D23" s="547"/>
      <c r="E23" s="547"/>
      <c r="F23" s="547"/>
      <c r="G23" s="548"/>
      <c r="H23" s="548"/>
    </row>
    <row r="24" spans="1:8" ht="17.25" customHeight="1">
      <c r="A24" s="546"/>
      <c r="B24" s="546"/>
      <c r="C24" s="547"/>
      <c r="D24" s="547"/>
      <c r="E24" s="547"/>
      <c r="F24" s="547"/>
      <c r="G24" s="548"/>
      <c r="H24" s="548"/>
    </row>
    <row r="25" spans="1:8" ht="17.25" customHeight="1">
      <c r="A25" s="1090" t="s">
        <v>336</v>
      </c>
      <c r="B25" s="1090"/>
      <c r="C25" s="1090"/>
      <c r="D25" s="1090"/>
      <c r="E25" s="1090"/>
      <c r="F25" s="1090"/>
      <c r="G25" s="1090"/>
      <c r="H25" s="1090"/>
    </row>
    <row r="26" spans="1:8" ht="27" customHeight="1">
      <c r="A26" s="513" t="s">
        <v>35</v>
      </c>
      <c r="B26" s="1062" t="s">
        <v>337</v>
      </c>
      <c r="C26" s="1064"/>
      <c r="D26" s="545" t="s">
        <v>200</v>
      </c>
      <c r="E26" s="545" t="s">
        <v>338</v>
      </c>
      <c r="F26" s="545" t="s">
        <v>339</v>
      </c>
      <c r="G26" s="548"/>
      <c r="H26" s="548"/>
    </row>
    <row r="27" spans="1:8" ht="17.25" customHeight="1">
      <c r="A27" s="513" t="s">
        <v>2</v>
      </c>
      <c r="B27" s="513" t="s">
        <v>3</v>
      </c>
      <c r="C27" s="545"/>
      <c r="D27" s="545" t="s">
        <v>4</v>
      </c>
      <c r="E27" s="545">
        <v>1</v>
      </c>
      <c r="F27" s="545">
        <v>2</v>
      </c>
      <c r="G27" s="548"/>
      <c r="H27" s="548"/>
    </row>
    <row r="28" spans="1:8" ht="17.25" customHeight="1">
      <c r="A28" s="549"/>
      <c r="B28" s="549"/>
      <c r="C28" s="550"/>
      <c r="D28" s="550"/>
      <c r="E28" s="550"/>
      <c r="F28" s="550"/>
      <c r="G28" s="548"/>
      <c r="H28" s="548"/>
    </row>
    <row r="29" spans="1:8" ht="17.25" customHeight="1">
      <c r="A29" s="551"/>
      <c r="B29" s="551"/>
      <c r="C29" s="552"/>
      <c r="D29" s="552"/>
      <c r="E29" s="552"/>
      <c r="F29" s="552"/>
      <c r="G29" s="548"/>
      <c r="H29" s="548"/>
    </row>
    <row r="30" spans="1:8" ht="17.25" customHeight="1">
      <c r="A30" s="551"/>
      <c r="B30" s="551"/>
      <c r="C30" s="552"/>
      <c r="D30" s="552"/>
      <c r="E30" s="552"/>
      <c r="F30" s="552"/>
      <c r="G30" s="548"/>
      <c r="H30" s="548"/>
    </row>
    <row r="31" spans="1:8" ht="17.25" customHeight="1">
      <c r="A31" s="551"/>
      <c r="B31" s="551"/>
      <c r="C31" s="552"/>
      <c r="D31" s="552"/>
      <c r="E31" s="552"/>
      <c r="F31" s="552"/>
      <c r="G31" s="548"/>
      <c r="H31" s="548"/>
    </row>
    <row r="32" spans="1:8" ht="17.25" customHeight="1">
      <c r="A32" s="553"/>
      <c r="B32" s="553"/>
      <c r="C32" s="554"/>
      <c r="D32" s="554"/>
      <c r="E32" s="554"/>
      <c r="F32" s="554"/>
      <c r="G32" s="548"/>
      <c r="H32" s="548"/>
    </row>
    <row r="33" spans="1:8">
      <c r="A33" s="546"/>
      <c r="B33" s="546"/>
      <c r="C33" s="547"/>
      <c r="D33" s="547"/>
      <c r="E33" s="547"/>
      <c r="F33" s="547"/>
      <c r="G33" s="548"/>
      <c r="H33" s="548"/>
    </row>
    <row r="34" spans="1:8">
      <c r="A34" s="1091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91"/>
      <c r="C34" s="1091"/>
      <c r="D34" s="1091"/>
      <c r="E34" s="1091"/>
      <c r="F34" s="1091"/>
      <c r="G34" s="1091"/>
      <c r="H34" s="1091"/>
    </row>
    <row r="35" spans="1:8">
      <c r="A35" s="1091" t="str">
        <f ca="1" xml:space="preserve"> IF(ROWS($1:1)&gt;COUNT(Dong3),"","Lý do giảm:   "&amp;OFFSET('SO-TS'!$O$1,SMALL(Dong3,ROWS($1:1)),))</f>
        <v xml:space="preserve">Lý do giảm:   </v>
      </c>
      <c r="B35" s="1091"/>
      <c r="C35" s="1091"/>
      <c r="D35" s="1091"/>
      <c r="E35" s="1091"/>
      <c r="F35" s="1091"/>
      <c r="G35" s="1091"/>
      <c r="H35" s="1091"/>
    </row>
    <row r="36" spans="1:8">
      <c r="A36" s="523"/>
      <c r="B36" s="523"/>
      <c r="C36" s="518"/>
      <c r="D36" s="518"/>
      <c r="E36" s="1077" t="s">
        <v>522</v>
      </c>
      <c r="F36" s="1077"/>
      <c r="G36" s="1077"/>
      <c r="H36" s="1077"/>
    </row>
    <row r="37" spans="1:8">
      <c r="A37" s="1073" t="s">
        <v>340</v>
      </c>
      <c r="B37" s="1073"/>
      <c r="C37" s="1073" t="s">
        <v>12</v>
      </c>
      <c r="D37" s="1073"/>
      <c r="E37" s="1069" t="s">
        <v>109</v>
      </c>
      <c r="F37" s="1069"/>
      <c r="G37" s="1069"/>
      <c r="H37" s="1069"/>
    </row>
    <row r="38" spans="1:8">
      <c r="A38" s="500"/>
      <c r="B38" s="500"/>
      <c r="C38" s="503"/>
      <c r="D38" s="503"/>
      <c r="E38" s="503"/>
      <c r="F38" s="503"/>
      <c r="G38" s="503"/>
      <c r="H38" s="503"/>
    </row>
    <row r="39" spans="1:8">
      <c r="A39" s="500"/>
      <c r="B39" s="500"/>
      <c r="C39" s="503"/>
      <c r="D39" s="503"/>
      <c r="E39" s="503"/>
      <c r="F39" s="503"/>
      <c r="G39" s="503"/>
      <c r="H39" s="503"/>
    </row>
    <row r="40" spans="1:8">
      <c r="A40" s="500"/>
      <c r="B40" s="500"/>
      <c r="C40" s="503"/>
      <c r="D40" s="503"/>
      <c r="E40" s="503"/>
      <c r="F40" s="503"/>
      <c r="G40" s="503"/>
      <c r="H40" s="503"/>
    </row>
    <row r="41" spans="1:8">
      <c r="A41" s="500"/>
      <c r="B41" s="500"/>
      <c r="C41" s="503"/>
      <c r="D41" s="503"/>
      <c r="E41" s="503"/>
      <c r="F41" s="503"/>
      <c r="G41" s="503"/>
      <c r="H41" s="503"/>
    </row>
    <row r="42" spans="1:8">
      <c r="A42" s="500"/>
      <c r="B42" s="500"/>
      <c r="C42" s="503"/>
      <c r="D42" s="503"/>
      <c r="E42" s="503"/>
      <c r="F42" s="503"/>
      <c r="G42" s="503"/>
      <c r="H42" s="503"/>
    </row>
    <row r="43" spans="1:8">
      <c r="A43" s="500"/>
      <c r="B43" s="500"/>
      <c r="C43" s="503"/>
      <c r="D43" s="503"/>
      <c r="E43" s="503"/>
      <c r="F43" s="503"/>
      <c r="G43" s="503"/>
      <c r="H43" s="503"/>
    </row>
    <row r="44" spans="1:8">
      <c r="A44" s="500"/>
      <c r="B44" s="500"/>
      <c r="C44" s="503"/>
      <c r="D44" s="503"/>
      <c r="E44" s="503"/>
      <c r="F44" s="503"/>
      <c r="G44" s="503"/>
      <c r="H44" s="503"/>
    </row>
    <row r="45" spans="1:8">
      <c r="A45" s="1076" t="s">
        <v>151</v>
      </c>
      <c r="B45" s="1076"/>
      <c r="C45" s="518"/>
      <c r="D45" s="518"/>
      <c r="E45" s="1077" t="s">
        <v>103</v>
      </c>
      <c r="F45" s="1077"/>
      <c r="G45" s="1077"/>
      <c r="H45" s="1077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43.42578125" style="708" customWidth="1"/>
    <col min="5" max="5" width="7.140625" style="708" customWidth="1"/>
    <col min="6" max="6" width="14.140625" style="708" customWidth="1"/>
    <col min="7" max="7" width="14.85546875" style="708" customWidth="1"/>
    <col min="8" max="9" width="12" style="708" customWidth="1"/>
    <col min="10" max="10" width="12.85546875" style="708" customWidth="1"/>
    <col min="11" max="12" width="13.5703125" style="708" customWidth="1"/>
    <col min="13" max="13" width="12.7109375" style="708" customWidth="1"/>
    <col min="14" max="14" width="6.28515625" style="708" customWidth="1"/>
    <col min="15" max="15" width="8.42578125" style="708" customWidth="1"/>
    <col min="16" max="16384" width="9.140625" style="708"/>
  </cols>
  <sheetData>
    <row r="2" spans="1:16">
      <c r="A2" s="707" t="str">
        <f>'IN-NX'!A2</f>
        <v>Đơn vị: CÔNG TY TNHH MỘT THÀNH VIÊN KHỞI NGUYÊN AN</v>
      </c>
      <c r="F2" s="709"/>
      <c r="G2" s="709"/>
      <c r="H2" s="709"/>
      <c r="I2" s="709"/>
      <c r="J2" s="1096" t="s">
        <v>565</v>
      </c>
      <c r="K2" s="1096"/>
      <c r="L2" s="1096"/>
      <c r="M2" s="1096"/>
    </row>
    <row r="3" spans="1:16" ht="15" customHeight="1">
      <c r="A3" s="737" t="str">
        <f>'IN-NX'!A3</f>
        <v>Địa chỉ: Thửa đất số 144, tờ bản đồ số 12TĐH.1, tổ 1, khu phố Đông Tác, Phường Tân Đông Hiệp, Thị Xã Dĩ An, Tỉnh Bình Dương, Việt Nam</v>
      </c>
      <c r="J3" s="109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099"/>
      <c r="L3" s="1099"/>
      <c r="M3" s="1099"/>
    </row>
    <row r="4" spans="1:16">
      <c r="J4" s="1099"/>
      <c r="K4" s="1099"/>
      <c r="L4" s="1099"/>
      <c r="M4" s="1099"/>
    </row>
    <row r="5" spans="1:16" ht="19.5" customHeight="1">
      <c r="A5" s="1097" t="s">
        <v>566</v>
      </c>
      <c r="B5" s="1097"/>
      <c r="C5" s="1097"/>
      <c r="D5" s="1097"/>
      <c r="E5" s="1097"/>
      <c r="F5" s="1097"/>
      <c r="G5" s="1097"/>
      <c r="H5" s="1097"/>
      <c r="I5" s="1097"/>
      <c r="J5" s="1097"/>
      <c r="K5" s="1097"/>
      <c r="L5" s="1097"/>
      <c r="M5" s="1097"/>
      <c r="N5" s="710" t="s">
        <v>167</v>
      </c>
      <c r="O5" s="636">
        <f>IF(O13="Quý I",1,IF(O13="Quý II",4,IF(O13="Quý III",7,IF(O13="Quý IV",10,""))))</f>
        <v>4</v>
      </c>
      <c r="P5" s="636">
        <f>IF(O13="Quý I",3,IF(O13="Quý II",6,IF(O13="Quý III",9,IF(O13="Quý IV",12,""))))</f>
        <v>6</v>
      </c>
    </row>
    <row r="6" spans="1:16">
      <c r="A6" s="1098" t="s">
        <v>567</v>
      </c>
      <c r="B6" s="1098"/>
      <c r="C6" s="1098"/>
      <c r="D6" s="1098"/>
      <c r="E6" s="1098"/>
      <c r="F6" s="1098"/>
      <c r="G6" s="1098"/>
      <c r="H6" s="1098"/>
      <c r="I6" s="1098"/>
      <c r="J6" s="1098"/>
      <c r="K6" s="1098"/>
      <c r="L6" s="1098"/>
      <c r="M6" s="1098"/>
      <c r="N6" s="735"/>
    </row>
    <row r="7" spans="1:16">
      <c r="B7" s="711"/>
      <c r="C7" s="711"/>
      <c r="D7" s="711"/>
      <c r="E7" s="712" t="s">
        <v>568</v>
      </c>
      <c r="G7" s="711"/>
      <c r="H7" s="711"/>
      <c r="I7" s="711"/>
      <c r="J7" s="711"/>
      <c r="K7" s="711"/>
      <c r="L7" s="711"/>
      <c r="M7" s="711"/>
    </row>
    <row r="8" spans="1:16">
      <c r="B8" s="711"/>
      <c r="C8" s="711"/>
      <c r="D8" s="711"/>
      <c r="E8" s="712" t="s">
        <v>569</v>
      </c>
      <c r="G8" s="711"/>
      <c r="H8" s="711"/>
      <c r="I8" s="711"/>
      <c r="J8" s="711"/>
      <c r="K8" s="711"/>
      <c r="L8" s="711"/>
      <c r="M8" s="711"/>
    </row>
    <row r="9" spans="1:16">
      <c r="B9" s="713"/>
      <c r="C9" s="713"/>
      <c r="D9" s="713"/>
      <c r="E9" s="712" t="s">
        <v>570</v>
      </c>
      <c r="G9" s="713"/>
      <c r="H9" s="713"/>
      <c r="I9" s="713"/>
      <c r="J9" s="713"/>
      <c r="K9" s="713"/>
      <c r="L9" s="713"/>
      <c r="M9" s="713"/>
    </row>
    <row r="10" spans="1:16">
      <c r="C10" s="1095"/>
      <c r="D10" s="1095"/>
      <c r="E10" s="1095"/>
      <c r="F10" s="1095"/>
      <c r="G10" s="1095"/>
      <c r="H10" s="1095"/>
      <c r="I10" s="1095"/>
      <c r="J10" s="1095"/>
      <c r="K10" s="1095"/>
      <c r="L10" s="1095"/>
      <c r="M10" s="1095"/>
    </row>
    <row r="11" spans="1:16" ht="15.75" customHeight="1">
      <c r="A11" s="1092" t="s">
        <v>20</v>
      </c>
      <c r="B11" s="1093" t="s">
        <v>1</v>
      </c>
      <c r="C11" s="1093"/>
      <c r="D11" s="1092" t="s">
        <v>0</v>
      </c>
      <c r="E11" s="1092" t="s">
        <v>223</v>
      </c>
      <c r="F11" s="1093" t="s">
        <v>571</v>
      </c>
      <c r="G11" s="1093"/>
      <c r="H11" s="1093"/>
      <c r="I11" s="1093"/>
      <c r="J11" s="1093"/>
      <c r="K11" s="1093"/>
      <c r="L11" s="1093"/>
      <c r="M11" s="1093"/>
    </row>
    <row r="12" spans="1:16" ht="15.75" customHeight="1" thickBot="1">
      <c r="A12" s="1092"/>
      <c r="B12" s="1094" t="s">
        <v>15</v>
      </c>
      <c r="C12" s="1094" t="s">
        <v>32</v>
      </c>
      <c r="D12" s="1092"/>
      <c r="E12" s="1092"/>
      <c r="F12" s="1094" t="s">
        <v>572</v>
      </c>
      <c r="G12" s="1094" t="s">
        <v>573</v>
      </c>
      <c r="H12" s="1094"/>
      <c r="I12" s="1094"/>
      <c r="J12" s="1094"/>
      <c r="K12" s="1094"/>
      <c r="L12" s="1094"/>
      <c r="M12" s="1094"/>
    </row>
    <row r="13" spans="1:16" ht="31.5" customHeight="1" thickBot="1">
      <c r="A13" s="1092"/>
      <c r="B13" s="1094"/>
      <c r="C13" s="1094"/>
      <c r="D13" s="1092"/>
      <c r="E13" s="1092"/>
      <c r="F13" s="1094"/>
      <c r="G13" s="714" t="s">
        <v>555</v>
      </c>
      <c r="H13" s="714" t="s">
        <v>556</v>
      </c>
      <c r="I13" s="714" t="s">
        <v>557</v>
      </c>
      <c r="J13" s="714" t="s">
        <v>574</v>
      </c>
      <c r="K13" s="714" t="s">
        <v>575</v>
      </c>
      <c r="L13" s="714" t="s">
        <v>549</v>
      </c>
      <c r="M13" s="714" t="s">
        <v>576</v>
      </c>
      <c r="O13" s="736" t="s">
        <v>376</v>
      </c>
    </row>
    <row r="14" spans="1:16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/>
      <c r="J14" s="715">
        <v>4</v>
      </c>
      <c r="K14" s="715">
        <v>5</v>
      </c>
      <c r="L14" s="715"/>
      <c r="M14" s="715">
        <v>6</v>
      </c>
    </row>
    <row r="15" spans="1:16" ht="22.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  <c r="M15" s="718"/>
    </row>
    <row r="16" spans="1:16" ht="22.5" customHeight="1">
      <c r="A16" s="719" t="str">
        <f ca="1">IF(ROWS($1:1)&gt;COUNT(Dong9),"",OFFSET(TH!C$1,SMALL(Dong9,ROWS($1:1)),))</f>
        <v/>
      </c>
      <c r="B16" s="719" t="str">
        <f ca="1">IF(ROWS($1:1)&gt;COUNT(Dong9),"",OFFSET(TH!D$1,SMALL(Dong9,ROWS($1:1)),))</f>
        <v/>
      </c>
      <c r="C16" s="719" t="str">
        <f ca="1">IF(ROWS($1:1)&gt;COUNT(Dong9),"",OFFSET(TH!E$1,SMALL(Dong9,ROWS($1:1)),))</f>
        <v/>
      </c>
      <c r="D16" s="720" t="str">
        <f ca="1">IF(ROWS($1:1)&gt;COUNT(Dong9),"",OFFSET(TH!F$1,SMALL(Dong9,ROWS($1:1)),))</f>
        <v/>
      </c>
      <c r="E16" s="719" t="str">
        <f ca="1">IF(ROWS($1:1)&gt;COUNT(Dong9),"",OFFSET(TH!M$1,SMALL(Dong9,ROWS($1:1)),))</f>
        <v/>
      </c>
      <c r="F16" s="721" t="str">
        <f ca="1">IF(ROWS($1:1)&gt;COUNT(Dong9),"",OFFSET(TH!K$1,SMALL(Dong9,ROWS($1:1)),))</f>
        <v/>
      </c>
      <c r="G16" s="721">
        <f ca="1">IF($E16="1521",$F16,0)</f>
        <v>0</v>
      </c>
      <c r="H16" s="721">
        <f ca="1">IF($E16="1522",$F16,0)</f>
        <v>0</v>
      </c>
      <c r="I16" s="721">
        <f ca="1">IF(LEFT(D16,6)="Mực in",F16,0)</f>
        <v>0</v>
      </c>
      <c r="J16" s="721">
        <f ca="1">IF(OR(LEFT($E16,3)="334",LEFT($E16,3)="338"),$F16,0)</f>
        <v>0</v>
      </c>
      <c r="K16" s="721">
        <f ca="1">IF(OR(LEFT($E16,3)="331",AND(LEFT($E16,3)="111",$D16="Tiền điện")),$F16,0)</f>
        <v>0</v>
      </c>
      <c r="L16" s="721">
        <f ca="1">IF($E16="142",$F16,0)</f>
        <v>0</v>
      </c>
      <c r="M16" s="72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19" t="str">
        <f ca="1">IF(ROWS($1:2)&gt;COUNT(Dong9),"",OFFSET(TH!C$1,SMALL(Dong9,ROWS($1:2)),))</f>
        <v/>
      </c>
      <c r="B17" s="719" t="str">
        <f ca="1">IF(ROWS($1:2)&gt;COUNT(Dong9),"",OFFSET(TH!D$1,SMALL(Dong9,ROWS($1:2)),))</f>
        <v/>
      </c>
      <c r="C17" s="719" t="str">
        <f ca="1">IF(ROWS($1:2)&gt;COUNT(Dong9),"",OFFSET(TH!E$1,SMALL(Dong9,ROWS($1:2)),))</f>
        <v/>
      </c>
      <c r="D17" s="720" t="str">
        <f ca="1">IF(ROWS($1:2)&gt;COUNT(Dong9),"",OFFSET(TH!F$1,SMALL(Dong9,ROWS($1:2)),))</f>
        <v/>
      </c>
      <c r="E17" s="719" t="str">
        <f ca="1">IF(ROWS($1:2)&gt;COUNT(Dong9),"",OFFSET(TH!M$1,SMALL(Dong9,ROWS($1:2)),))</f>
        <v/>
      </c>
      <c r="F17" s="721" t="str">
        <f ca="1">IF(ROWS($1:2)&gt;COUNT(Dong9),"",OFFSET(TH!K$1,SMALL(Dong9,ROWS($1:2)),))</f>
        <v/>
      </c>
      <c r="G17" s="721">
        <f t="shared" ref="G17:G33" ca="1" si="0">IF($E17="1521",$F17,0)</f>
        <v>0</v>
      </c>
      <c r="H17" s="721">
        <f t="shared" ref="H17:H33" ca="1" si="1">IF($E17="1522",$F17,0)</f>
        <v>0</v>
      </c>
      <c r="I17" s="721">
        <f t="shared" ref="I17:I33" ca="1" si="2">IF(LEFT(D17,6)="Mực in",F17,0)</f>
        <v>0</v>
      </c>
      <c r="J17" s="721">
        <f t="shared" ref="J17:J33" ca="1" si="3">IF(OR(LEFT($E17,3)="334",LEFT($E17,3)="338"),$F17,0)</f>
        <v>0</v>
      </c>
      <c r="K17" s="721">
        <f t="shared" ref="K17:K33" ca="1" si="4">IF(OR(LEFT($E17,3)="331",AND(LEFT($E17,3)="111",$D17="Tiền điện")),$F17,0)</f>
        <v>0</v>
      </c>
      <c r="L17" s="721">
        <f t="shared" ref="L17:L33" ca="1" si="5">IF($E17="142",$F17,0)</f>
        <v>0</v>
      </c>
      <c r="M17" s="72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19" t="str">
        <f ca="1">IF(ROWS($1:3)&gt;COUNT(Dong9),"",OFFSET(TH!C$1,SMALL(Dong9,ROWS($1:3)),))</f>
        <v/>
      </c>
      <c r="B18" s="719" t="str">
        <f ca="1">IF(ROWS($1:3)&gt;COUNT(Dong9),"",OFFSET(TH!D$1,SMALL(Dong9,ROWS($1:3)),))</f>
        <v/>
      </c>
      <c r="C18" s="719" t="str">
        <f ca="1">IF(ROWS($1:3)&gt;COUNT(Dong9),"",OFFSET(TH!E$1,SMALL(Dong9,ROWS($1:3)),))</f>
        <v/>
      </c>
      <c r="D18" s="720" t="str">
        <f ca="1">IF(ROWS($1:3)&gt;COUNT(Dong9),"",OFFSET(TH!F$1,SMALL(Dong9,ROWS($1:3)),))</f>
        <v/>
      </c>
      <c r="E18" s="719" t="str">
        <f ca="1">IF(ROWS($1:3)&gt;COUNT(Dong9),"",OFFSET(TH!M$1,SMALL(Dong9,ROWS($1:3)),))</f>
        <v/>
      </c>
      <c r="F18" s="721" t="str">
        <f ca="1">IF(ROWS($1:3)&gt;COUNT(Dong9),"",OFFSET(TH!K$1,SMALL(Dong9,ROWS($1:3)),))</f>
        <v/>
      </c>
      <c r="G18" s="721">
        <f t="shared" ca="1" si="0"/>
        <v>0</v>
      </c>
      <c r="H18" s="721">
        <f t="shared" ca="1" si="1"/>
        <v>0</v>
      </c>
      <c r="I18" s="721">
        <f t="shared" ca="1" si="2"/>
        <v>0</v>
      </c>
      <c r="J18" s="721">
        <f t="shared" ca="1" si="3"/>
        <v>0</v>
      </c>
      <c r="K18" s="721">
        <f t="shared" ca="1" si="4"/>
        <v>0</v>
      </c>
      <c r="L18" s="721">
        <f t="shared" ca="1" si="5"/>
        <v>0</v>
      </c>
      <c r="M18" s="721">
        <f t="shared" ca="1" si="6"/>
        <v>0</v>
      </c>
    </row>
    <row r="19" spans="1:13" ht="22.5" customHeight="1">
      <c r="A19" s="719" t="str">
        <f ca="1">IF(ROWS($1:4)&gt;COUNT(Dong9),"",OFFSET(TH!C$1,SMALL(Dong9,ROWS($1:4)),))</f>
        <v/>
      </c>
      <c r="B19" s="719" t="str">
        <f ca="1">IF(ROWS($1:4)&gt;COUNT(Dong9),"",OFFSET(TH!D$1,SMALL(Dong9,ROWS($1:4)),))</f>
        <v/>
      </c>
      <c r="C19" s="719" t="str">
        <f ca="1">IF(ROWS($1:4)&gt;COUNT(Dong9),"",OFFSET(TH!E$1,SMALL(Dong9,ROWS($1:4)),))</f>
        <v/>
      </c>
      <c r="D19" s="720" t="str">
        <f ca="1">IF(ROWS($1:4)&gt;COUNT(Dong9),"",OFFSET(TH!F$1,SMALL(Dong9,ROWS($1:4)),))</f>
        <v/>
      </c>
      <c r="E19" s="719" t="str">
        <f ca="1">IF(ROWS($1:4)&gt;COUNT(Dong9),"",OFFSET(TH!M$1,SMALL(Dong9,ROWS($1:4)),))</f>
        <v/>
      </c>
      <c r="F19" s="721" t="str">
        <f ca="1">IF(ROWS($1:4)&gt;COUNT(Dong9),"",OFFSET(TH!K$1,SMALL(Dong9,ROWS($1:4)),))</f>
        <v/>
      </c>
      <c r="G19" s="721">
        <f t="shared" ca="1" si="0"/>
        <v>0</v>
      </c>
      <c r="H19" s="721">
        <f t="shared" ca="1" si="1"/>
        <v>0</v>
      </c>
      <c r="I19" s="721">
        <f t="shared" ca="1" si="2"/>
        <v>0</v>
      </c>
      <c r="J19" s="721">
        <f t="shared" ca="1" si="3"/>
        <v>0</v>
      </c>
      <c r="K19" s="721">
        <f t="shared" ca="1" si="4"/>
        <v>0</v>
      </c>
      <c r="L19" s="721">
        <f t="shared" ca="1" si="5"/>
        <v>0</v>
      </c>
      <c r="M19" s="721">
        <f t="shared" ca="1" si="6"/>
        <v>0</v>
      </c>
    </row>
    <row r="20" spans="1:13" ht="22.5" customHeight="1">
      <c r="A20" s="719" t="str">
        <f ca="1">IF(ROWS($1:5)&gt;COUNT(Dong9),"",OFFSET(TH!C$1,SMALL(Dong9,ROWS($1:5)),))</f>
        <v/>
      </c>
      <c r="B20" s="719" t="str">
        <f ca="1">IF(ROWS($1:5)&gt;COUNT(Dong9),"",OFFSET(TH!D$1,SMALL(Dong9,ROWS($1:5)),))</f>
        <v/>
      </c>
      <c r="C20" s="719" t="str">
        <f ca="1">IF(ROWS($1:5)&gt;COUNT(Dong9),"",OFFSET(TH!E$1,SMALL(Dong9,ROWS($1:5)),))</f>
        <v/>
      </c>
      <c r="D20" s="720" t="str">
        <f ca="1">IF(ROWS($1:5)&gt;COUNT(Dong9),"",OFFSET(TH!F$1,SMALL(Dong9,ROWS($1:5)),))</f>
        <v/>
      </c>
      <c r="E20" s="719" t="str">
        <f ca="1">IF(ROWS($1:5)&gt;COUNT(Dong9),"",OFFSET(TH!M$1,SMALL(Dong9,ROWS($1:5)),))</f>
        <v/>
      </c>
      <c r="F20" s="721" t="str">
        <f ca="1">IF(ROWS($1:5)&gt;COUNT(Dong9),"",OFFSET(TH!K$1,SMALL(Dong9,ROWS($1:5)),))</f>
        <v/>
      </c>
      <c r="G20" s="721">
        <f t="shared" ca="1" si="0"/>
        <v>0</v>
      </c>
      <c r="H20" s="721">
        <f t="shared" ca="1" si="1"/>
        <v>0</v>
      </c>
      <c r="I20" s="721">
        <f t="shared" ca="1" si="2"/>
        <v>0</v>
      </c>
      <c r="J20" s="721">
        <f t="shared" ca="1" si="3"/>
        <v>0</v>
      </c>
      <c r="K20" s="721">
        <f t="shared" ca="1" si="4"/>
        <v>0</v>
      </c>
      <c r="L20" s="721">
        <f t="shared" ca="1" si="5"/>
        <v>0</v>
      </c>
      <c r="M20" s="721">
        <f t="shared" ca="1" si="6"/>
        <v>0</v>
      </c>
    </row>
    <row r="21" spans="1:13" ht="22.5" customHeight="1">
      <c r="A21" s="719" t="str">
        <f ca="1">IF(ROWS($1:6)&gt;COUNT(Dong9),"",OFFSET(TH!C$1,SMALL(Dong9,ROWS($1:6)),))</f>
        <v/>
      </c>
      <c r="B21" s="719" t="str">
        <f ca="1">IF(ROWS($1:6)&gt;COUNT(Dong9),"",OFFSET(TH!D$1,SMALL(Dong9,ROWS($1:6)),))</f>
        <v/>
      </c>
      <c r="C21" s="719" t="str">
        <f ca="1">IF(ROWS($1:6)&gt;COUNT(Dong9),"",OFFSET(TH!E$1,SMALL(Dong9,ROWS($1:6)),))</f>
        <v/>
      </c>
      <c r="D21" s="720" t="str">
        <f ca="1">IF(ROWS($1:6)&gt;COUNT(Dong9),"",OFFSET(TH!F$1,SMALL(Dong9,ROWS($1:6)),))</f>
        <v/>
      </c>
      <c r="E21" s="719" t="str">
        <f ca="1">IF(ROWS($1:6)&gt;COUNT(Dong9),"",OFFSET(TH!M$1,SMALL(Dong9,ROWS($1:6)),))</f>
        <v/>
      </c>
      <c r="F21" s="721" t="str">
        <f ca="1">IF(ROWS($1:6)&gt;COUNT(Dong9),"",OFFSET(TH!K$1,SMALL(Dong9,ROWS($1:6)),))</f>
        <v/>
      </c>
      <c r="G21" s="721">
        <f t="shared" ca="1" si="0"/>
        <v>0</v>
      </c>
      <c r="H21" s="721">
        <f t="shared" ca="1" si="1"/>
        <v>0</v>
      </c>
      <c r="I21" s="721">
        <f t="shared" ca="1" si="2"/>
        <v>0</v>
      </c>
      <c r="J21" s="721">
        <f t="shared" ca="1" si="3"/>
        <v>0</v>
      </c>
      <c r="K21" s="721">
        <f t="shared" ca="1" si="4"/>
        <v>0</v>
      </c>
      <c r="L21" s="721">
        <f t="shared" ca="1" si="5"/>
        <v>0</v>
      </c>
      <c r="M21" s="721">
        <f t="shared" ca="1" si="6"/>
        <v>0</v>
      </c>
    </row>
    <row r="22" spans="1:13" ht="22.5" customHeight="1">
      <c r="A22" s="719" t="str">
        <f ca="1">IF(ROWS($1:7)&gt;COUNT(Dong9),"",OFFSET(TH!C$1,SMALL(Dong9,ROWS($1:7)),))</f>
        <v/>
      </c>
      <c r="B22" s="719" t="str">
        <f ca="1">IF(ROWS($1:7)&gt;COUNT(Dong9),"",OFFSET(TH!D$1,SMALL(Dong9,ROWS($1:7)),))</f>
        <v/>
      </c>
      <c r="C22" s="719" t="str">
        <f ca="1">IF(ROWS($1:7)&gt;COUNT(Dong9),"",OFFSET(TH!E$1,SMALL(Dong9,ROWS($1:7)),))</f>
        <v/>
      </c>
      <c r="D22" s="720" t="str">
        <f ca="1">IF(ROWS($1:7)&gt;COUNT(Dong9),"",OFFSET(TH!F$1,SMALL(Dong9,ROWS($1:7)),))</f>
        <v/>
      </c>
      <c r="E22" s="719" t="str">
        <f ca="1">IF(ROWS($1:7)&gt;COUNT(Dong9),"",OFFSET(TH!M$1,SMALL(Dong9,ROWS($1:7)),))</f>
        <v/>
      </c>
      <c r="F22" s="721" t="str">
        <f ca="1">IF(ROWS($1:7)&gt;COUNT(Dong9),"",OFFSET(TH!K$1,SMALL(Dong9,ROWS($1:7)),))</f>
        <v/>
      </c>
      <c r="G22" s="721">
        <f t="shared" ca="1" si="0"/>
        <v>0</v>
      </c>
      <c r="H22" s="721">
        <f t="shared" ca="1" si="1"/>
        <v>0</v>
      </c>
      <c r="I22" s="721">
        <f t="shared" ca="1" si="2"/>
        <v>0</v>
      </c>
      <c r="J22" s="721">
        <f t="shared" ca="1" si="3"/>
        <v>0</v>
      </c>
      <c r="K22" s="721">
        <f t="shared" ca="1" si="4"/>
        <v>0</v>
      </c>
      <c r="L22" s="721">
        <f t="shared" ca="1" si="5"/>
        <v>0</v>
      </c>
      <c r="M22" s="721">
        <f t="shared" ca="1" si="6"/>
        <v>0</v>
      </c>
    </row>
    <row r="23" spans="1:13" ht="22.5" customHeight="1">
      <c r="A23" s="719" t="str">
        <f ca="1">IF(ROWS($1:8)&gt;COUNT(Dong9),"",OFFSET(TH!C$1,SMALL(Dong9,ROWS($1:8)),))</f>
        <v/>
      </c>
      <c r="B23" s="719" t="str">
        <f ca="1">IF(ROWS($1:8)&gt;COUNT(Dong9),"",OFFSET(TH!D$1,SMALL(Dong9,ROWS($1:8)),))</f>
        <v/>
      </c>
      <c r="C23" s="719" t="str">
        <f ca="1">IF(ROWS($1:8)&gt;COUNT(Dong9),"",OFFSET(TH!E$1,SMALL(Dong9,ROWS($1:8)),))</f>
        <v/>
      </c>
      <c r="D23" s="720" t="str">
        <f ca="1">IF(ROWS($1:8)&gt;COUNT(Dong9),"",OFFSET(TH!F$1,SMALL(Dong9,ROWS($1:8)),))</f>
        <v/>
      </c>
      <c r="E23" s="719" t="str">
        <f ca="1">IF(ROWS($1:8)&gt;COUNT(Dong9),"",OFFSET(TH!M$1,SMALL(Dong9,ROWS($1:8)),))</f>
        <v/>
      </c>
      <c r="F23" s="721" t="str">
        <f ca="1">IF(ROWS($1:8)&gt;COUNT(Dong9),"",OFFSET(TH!K$1,SMALL(Dong9,ROWS($1:8)),))</f>
        <v/>
      </c>
      <c r="G23" s="721">
        <f t="shared" ca="1" si="0"/>
        <v>0</v>
      </c>
      <c r="H23" s="721">
        <f t="shared" ca="1" si="1"/>
        <v>0</v>
      </c>
      <c r="I23" s="721">
        <f t="shared" ca="1" si="2"/>
        <v>0</v>
      </c>
      <c r="J23" s="721">
        <f t="shared" ca="1" si="3"/>
        <v>0</v>
      </c>
      <c r="K23" s="721">
        <f t="shared" ca="1" si="4"/>
        <v>0</v>
      </c>
      <c r="L23" s="721">
        <f t="shared" ca="1" si="5"/>
        <v>0</v>
      </c>
      <c r="M23" s="721">
        <f t="shared" ca="1" si="6"/>
        <v>0</v>
      </c>
    </row>
    <row r="24" spans="1:13" ht="22.5" customHeight="1">
      <c r="A24" s="719" t="str">
        <f ca="1">IF(ROWS($1:9)&gt;COUNT(Dong9),"",OFFSET(TH!C$1,SMALL(Dong9,ROWS($1:9)),))</f>
        <v/>
      </c>
      <c r="B24" s="719" t="str">
        <f ca="1">IF(ROWS($1:9)&gt;COUNT(Dong9),"",OFFSET(TH!D$1,SMALL(Dong9,ROWS($1:9)),))</f>
        <v/>
      </c>
      <c r="C24" s="719" t="str">
        <f ca="1">IF(ROWS($1:9)&gt;COUNT(Dong9),"",OFFSET(TH!E$1,SMALL(Dong9,ROWS($1:9)),))</f>
        <v/>
      </c>
      <c r="D24" s="720" t="str">
        <f ca="1">IF(ROWS($1:9)&gt;COUNT(Dong9),"",OFFSET(TH!F$1,SMALL(Dong9,ROWS($1:9)),))</f>
        <v/>
      </c>
      <c r="E24" s="719" t="str">
        <f ca="1">IF(ROWS($1:9)&gt;COUNT(Dong9),"",OFFSET(TH!M$1,SMALL(Dong9,ROWS($1:9)),))</f>
        <v/>
      </c>
      <c r="F24" s="721" t="str">
        <f ca="1">IF(ROWS($1:9)&gt;COUNT(Dong9),"",OFFSET(TH!K$1,SMALL(Dong9,ROWS($1:9)),))</f>
        <v/>
      </c>
      <c r="G24" s="721">
        <f t="shared" ca="1" si="0"/>
        <v>0</v>
      </c>
      <c r="H24" s="721">
        <f t="shared" ca="1" si="1"/>
        <v>0</v>
      </c>
      <c r="I24" s="721">
        <f t="shared" ca="1" si="2"/>
        <v>0</v>
      </c>
      <c r="J24" s="721">
        <f t="shared" ca="1" si="3"/>
        <v>0</v>
      </c>
      <c r="K24" s="721">
        <f t="shared" ca="1" si="4"/>
        <v>0</v>
      </c>
      <c r="L24" s="721">
        <f t="shared" ca="1" si="5"/>
        <v>0</v>
      </c>
      <c r="M24" s="721">
        <f t="shared" ca="1" si="6"/>
        <v>0</v>
      </c>
    </row>
    <row r="25" spans="1:13" ht="22.5" customHeight="1">
      <c r="A25" s="719" t="str">
        <f ca="1">IF(ROWS($1:10)&gt;COUNT(Dong9),"",OFFSET(TH!C$1,SMALL(Dong9,ROWS($1:10)),))</f>
        <v/>
      </c>
      <c r="B25" s="719" t="str">
        <f ca="1">IF(ROWS($1:10)&gt;COUNT(Dong9),"",OFFSET(TH!D$1,SMALL(Dong9,ROWS($1:10)),))</f>
        <v/>
      </c>
      <c r="C25" s="719" t="str">
        <f ca="1">IF(ROWS($1:10)&gt;COUNT(Dong9),"",OFFSET(TH!E$1,SMALL(Dong9,ROWS($1:10)),))</f>
        <v/>
      </c>
      <c r="D25" s="720" t="str">
        <f ca="1">IF(ROWS($1:10)&gt;COUNT(Dong9),"",OFFSET(TH!F$1,SMALL(Dong9,ROWS($1:10)),))</f>
        <v/>
      </c>
      <c r="E25" s="719" t="str">
        <f ca="1">IF(ROWS($1:10)&gt;COUNT(Dong9),"",OFFSET(TH!M$1,SMALL(Dong9,ROWS($1:10)),))</f>
        <v/>
      </c>
      <c r="F25" s="721" t="str">
        <f ca="1">IF(ROWS($1:10)&gt;COUNT(Dong9),"",OFFSET(TH!K$1,SMALL(Dong9,ROWS($1:10)),))</f>
        <v/>
      </c>
      <c r="G25" s="721">
        <f t="shared" ca="1" si="0"/>
        <v>0</v>
      </c>
      <c r="H25" s="721">
        <f t="shared" ca="1" si="1"/>
        <v>0</v>
      </c>
      <c r="I25" s="721">
        <f t="shared" ca="1" si="2"/>
        <v>0</v>
      </c>
      <c r="J25" s="721">
        <f t="shared" ca="1" si="3"/>
        <v>0</v>
      </c>
      <c r="K25" s="721">
        <f t="shared" ca="1" si="4"/>
        <v>0</v>
      </c>
      <c r="L25" s="721">
        <f t="shared" ca="1" si="5"/>
        <v>0</v>
      </c>
      <c r="M25" s="721">
        <f t="shared" ca="1" si="6"/>
        <v>0</v>
      </c>
    </row>
    <row r="26" spans="1:13" ht="22.5" customHeight="1">
      <c r="A26" s="719" t="str">
        <f ca="1">IF(ROWS($1:11)&gt;COUNT(Dong9),"",OFFSET(TH!C$1,SMALL(Dong9,ROWS($1:11)),))</f>
        <v/>
      </c>
      <c r="B26" s="719" t="str">
        <f ca="1">IF(ROWS($1:11)&gt;COUNT(Dong9),"",OFFSET(TH!D$1,SMALL(Dong9,ROWS($1:11)),))</f>
        <v/>
      </c>
      <c r="C26" s="719" t="str">
        <f ca="1">IF(ROWS($1:11)&gt;COUNT(Dong9),"",OFFSET(TH!E$1,SMALL(Dong9,ROWS($1:11)),))</f>
        <v/>
      </c>
      <c r="D26" s="720" t="str">
        <f ca="1">IF(ROWS($1:11)&gt;COUNT(Dong9),"",OFFSET(TH!F$1,SMALL(Dong9,ROWS($1:11)),))</f>
        <v/>
      </c>
      <c r="E26" s="719" t="str">
        <f ca="1">IF(ROWS($1:11)&gt;COUNT(Dong9),"",OFFSET(TH!M$1,SMALL(Dong9,ROWS($1:11)),))</f>
        <v/>
      </c>
      <c r="F26" s="721" t="str">
        <f ca="1">IF(ROWS($1:11)&gt;COUNT(Dong9),"",OFFSET(TH!K$1,SMALL(Dong9,ROWS($1:11)),))</f>
        <v/>
      </c>
      <c r="G26" s="721">
        <f t="shared" ca="1" si="0"/>
        <v>0</v>
      </c>
      <c r="H26" s="721">
        <f t="shared" ca="1" si="1"/>
        <v>0</v>
      </c>
      <c r="I26" s="721">
        <f t="shared" ca="1" si="2"/>
        <v>0</v>
      </c>
      <c r="J26" s="721">
        <f t="shared" ca="1" si="3"/>
        <v>0</v>
      </c>
      <c r="K26" s="721">
        <f t="shared" ca="1" si="4"/>
        <v>0</v>
      </c>
      <c r="L26" s="721">
        <f t="shared" ca="1" si="5"/>
        <v>0</v>
      </c>
      <c r="M26" s="721">
        <f t="shared" ca="1" si="6"/>
        <v>0</v>
      </c>
    </row>
    <row r="27" spans="1:13" ht="22.5" customHeight="1">
      <c r="A27" s="719" t="str">
        <f ca="1">IF(ROWS($1:12)&gt;COUNT(Dong9),"",OFFSET(TH!C$1,SMALL(Dong9,ROWS($1:12)),))</f>
        <v/>
      </c>
      <c r="B27" s="719" t="str">
        <f ca="1">IF(ROWS($1:12)&gt;COUNT(Dong9),"",OFFSET(TH!D$1,SMALL(Dong9,ROWS($1:12)),))</f>
        <v/>
      </c>
      <c r="C27" s="719" t="str">
        <f ca="1">IF(ROWS($1:12)&gt;COUNT(Dong9),"",OFFSET(TH!E$1,SMALL(Dong9,ROWS($1:12)),))</f>
        <v/>
      </c>
      <c r="D27" s="720" t="str">
        <f ca="1">IF(ROWS($1:12)&gt;COUNT(Dong9),"",OFFSET(TH!F$1,SMALL(Dong9,ROWS($1:12)),))</f>
        <v/>
      </c>
      <c r="E27" s="719" t="str">
        <f ca="1">IF(ROWS($1:12)&gt;COUNT(Dong9),"",OFFSET(TH!M$1,SMALL(Dong9,ROWS($1:12)),))</f>
        <v/>
      </c>
      <c r="F27" s="721" t="str">
        <f ca="1">IF(ROWS($1:12)&gt;COUNT(Dong9),"",OFFSET(TH!K$1,SMALL(Dong9,ROWS($1:12)),))</f>
        <v/>
      </c>
      <c r="G27" s="721">
        <f t="shared" ca="1" si="0"/>
        <v>0</v>
      </c>
      <c r="H27" s="721">
        <f t="shared" ca="1" si="1"/>
        <v>0</v>
      </c>
      <c r="I27" s="721">
        <f t="shared" ca="1" si="2"/>
        <v>0</v>
      </c>
      <c r="J27" s="721">
        <f t="shared" ca="1" si="3"/>
        <v>0</v>
      </c>
      <c r="K27" s="721">
        <f t="shared" ca="1" si="4"/>
        <v>0</v>
      </c>
      <c r="L27" s="721">
        <f t="shared" ca="1" si="5"/>
        <v>0</v>
      </c>
      <c r="M27" s="721">
        <f t="shared" ca="1" si="6"/>
        <v>0</v>
      </c>
    </row>
    <row r="28" spans="1:13" ht="22.5" customHeight="1">
      <c r="A28" s="719" t="str">
        <f ca="1">IF(ROWS($1:13)&gt;COUNT(Dong9),"",OFFSET(TH!C$1,SMALL(Dong9,ROWS($1:13)),))</f>
        <v/>
      </c>
      <c r="B28" s="719" t="str">
        <f ca="1">IF(ROWS($1:13)&gt;COUNT(Dong9),"",OFFSET(TH!D$1,SMALL(Dong9,ROWS($1:13)),))</f>
        <v/>
      </c>
      <c r="C28" s="719" t="str">
        <f ca="1">IF(ROWS($1:13)&gt;COUNT(Dong9),"",OFFSET(TH!E$1,SMALL(Dong9,ROWS($1:13)),))</f>
        <v/>
      </c>
      <c r="D28" s="720" t="str">
        <f ca="1">IF(ROWS($1:13)&gt;COUNT(Dong9),"",OFFSET(TH!F$1,SMALL(Dong9,ROWS($1:13)),))</f>
        <v/>
      </c>
      <c r="E28" s="719" t="str">
        <f ca="1">IF(ROWS($1:13)&gt;COUNT(Dong9),"",OFFSET(TH!M$1,SMALL(Dong9,ROWS($1:13)),))</f>
        <v/>
      </c>
      <c r="F28" s="721" t="str">
        <f ca="1">IF(ROWS($1:13)&gt;COUNT(Dong9),"",OFFSET(TH!K$1,SMALL(Dong9,ROWS($1:13)),))</f>
        <v/>
      </c>
      <c r="G28" s="721">
        <f t="shared" ca="1" si="0"/>
        <v>0</v>
      </c>
      <c r="H28" s="721">
        <f t="shared" ca="1" si="1"/>
        <v>0</v>
      </c>
      <c r="I28" s="721">
        <f t="shared" ca="1" si="2"/>
        <v>0</v>
      </c>
      <c r="J28" s="721">
        <f t="shared" ca="1" si="3"/>
        <v>0</v>
      </c>
      <c r="K28" s="721">
        <f t="shared" ca="1" si="4"/>
        <v>0</v>
      </c>
      <c r="L28" s="721">
        <f t="shared" ca="1" si="5"/>
        <v>0</v>
      </c>
      <c r="M28" s="721">
        <f t="shared" ca="1" si="6"/>
        <v>0</v>
      </c>
    </row>
    <row r="29" spans="1:13" ht="22.5" customHeight="1">
      <c r="A29" s="719" t="str">
        <f ca="1">IF(ROWS($1:14)&gt;COUNT(Dong9),"",OFFSET(TH!C$1,SMALL(Dong9,ROWS($1:14)),))</f>
        <v/>
      </c>
      <c r="B29" s="719" t="str">
        <f ca="1">IF(ROWS($1:14)&gt;COUNT(Dong9),"",OFFSET(TH!D$1,SMALL(Dong9,ROWS($1:14)),))</f>
        <v/>
      </c>
      <c r="C29" s="719" t="str">
        <f ca="1">IF(ROWS($1:14)&gt;COUNT(Dong9),"",OFFSET(TH!E$1,SMALL(Dong9,ROWS($1:14)),))</f>
        <v/>
      </c>
      <c r="D29" s="720" t="str">
        <f ca="1">IF(ROWS($1:14)&gt;COUNT(Dong9),"",OFFSET(TH!F$1,SMALL(Dong9,ROWS($1:14)),))</f>
        <v/>
      </c>
      <c r="E29" s="719" t="str">
        <f ca="1">IF(ROWS($1:14)&gt;COUNT(Dong9),"",OFFSET(TH!M$1,SMALL(Dong9,ROWS($1:14)),))</f>
        <v/>
      </c>
      <c r="F29" s="721" t="str">
        <f ca="1">IF(ROWS($1:14)&gt;COUNT(Dong9),"",OFFSET(TH!K$1,SMALL(Dong9,ROWS($1:14)),))</f>
        <v/>
      </c>
      <c r="G29" s="721">
        <f t="shared" ca="1" si="0"/>
        <v>0</v>
      </c>
      <c r="H29" s="721">
        <f t="shared" ca="1" si="1"/>
        <v>0</v>
      </c>
      <c r="I29" s="721">
        <f t="shared" ca="1" si="2"/>
        <v>0</v>
      </c>
      <c r="J29" s="721">
        <f t="shared" ca="1" si="3"/>
        <v>0</v>
      </c>
      <c r="K29" s="721">
        <f t="shared" ca="1" si="4"/>
        <v>0</v>
      </c>
      <c r="L29" s="721">
        <f t="shared" ca="1" si="5"/>
        <v>0</v>
      </c>
      <c r="M29" s="721">
        <f t="shared" ca="1" si="6"/>
        <v>0</v>
      </c>
    </row>
    <row r="30" spans="1:13" ht="22.5" customHeight="1">
      <c r="A30" s="719" t="str">
        <f ca="1">IF(ROWS($1:15)&gt;COUNT(Dong9),"",OFFSET(TH!C$1,SMALL(Dong9,ROWS($1:15)),))</f>
        <v/>
      </c>
      <c r="B30" s="719" t="str">
        <f ca="1">IF(ROWS($1:15)&gt;COUNT(Dong9),"",OFFSET(TH!D$1,SMALL(Dong9,ROWS($1:15)),))</f>
        <v/>
      </c>
      <c r="C30" s="719" t="str">
        <f ca="1">IF(ROWS($1:15)&gt;COUNT(Dong9),"",OFFSET(TH!E$1,SMALL(Dong9,ROWS($1:15)),))</f>
        <v/>
      </c>
      <c r="D30" s="720" t="str">
        <f ca="1">IF(ROWS($1:15)&gt;COUNT(Dong9),"",OFFSET(TH!F$1,SMALL(Dong9,ROWS($1:15)),))</f>
        <v/>
      </c>
      <c r="E30" s="719" t="str">
        <f ca="1">IF(ROWS($1:15)&gt;COUNT(Dong9),"",OFFSET(TH!M$1,SMALL(Dong9,ROWS($1:15)),))</f>
        <v/>
      </c>
      <c r="F30" s="721" t="str">
        <f ca="1">IF(ROWS($1:15)&gt;COUNT(Dong9),"",OFFSET(TH!K$1,SMALL(Dong9,ROWS($1:15)),))</f>
        <v/>
      </c>
      <c r="G30" s="721">
        <f t="shared" ca="1" si="0"/>
        <v>0</v>
      </c>
      <c r="H30" s="721">
        <f t="shared" ca="1" si="1"/>
        <v>0</v>
      </c>
      <c r="I30" s="721">
        <f t="shared" ca="1" si="2"/>
        <v>0</v>
      </c>
      <c r="J30" s="721">
        <f t="shared" ca="1" si="3"/>
        <v>0</v>
      </c>
      <c r="K30" s="721">
        <f t="shared" ca="1" si="4"/>
        <v>0</v>
      </c>
      <c r="L30" s="721">
        <f t="shared" ca="1" si="5"/>
        <v>0</v>
      </c>
      <c r="M30" s="721">
        <f t="shared" ca="1" si="6"/>
        <v>0</v>
      </c>
    </row>
    <row r="31" spans="1:13" ht="22.5" customHeight="1">
      <c r="A31" s="719" t="str">
        <f ca="1">IF(ROWS($1:16)&gt;COUNT(Dong9),"",OFFSET(TH!C$1,SMALL(Dong9,ROWS($1:16)),))</f>
        <v/>
      </c>
      <c r="B31" s="719" t="str">
        <f ca="1">IF(ROWS($1:16)&gt;COUNT(Dong9),"",OFFSET(TH!D$1,SMALL(Dong9,ROWS($1:16)),))</f>
        <v/>
      </c>
      <c r="C31" s="719" t="str">
        <f ca="1">IF(ROWS($1:16)&gt;COUNT(Dong9),"",OFFSET(TH!E$1,SMALL(Dong9,ROWS($1:16)),))</f>
        <v/>
      </c>
      <c r="D31" s="720" t="str">
        <f ca="1">IF(ROWS($1:16)&gt;COUNT(Dong9),"",OFFSET(TH!F$1,SMALL(Dong9,ROWS($1:16)),))</f>
        <v/>
      </c>
      <c r="E31" s="719" t="str">
        <f ca="1">IF(ROWS($1:16)&gt;COUNT(Dong9),"",OFFSET(TH!M$1,SMALL(Dong9,ROWS($1:16)),))</f>
        <v/>
      </c>
      <c r="F31" s="721" t="str">
        <f ca="1">IF(ROWS($1:16)&gt;COUNT(Dong9),"",OFFSET(TH!K$1,SMALL(Dong9,ROWS($1:16)),))</f>
        <v/>
      </c>
      <c r="G31" s="721">
        <f t="shared" ca="1" si="0"/>
        <v>0</v>
      </c>
      <c r="H31" s="721">
        <f t="shared" ca="1" si="1"/>
        <v>0</v>
      </c>
      <c r="I31" s="721">
        <f t="shared" ca="1" si="2"/>
        <v>0</v>
      </c>
      <c r="J31" s="721">
        <f t="shared" ca="1" si="3"/>
        <v>0</v>
      </c>
      <c r="K31" s="721">
        <f t="shared" ca="1" si="4"/>
        <v>0</v>
      </c>
      <c r="L31" s="721">
        <f t="shared" ca="1" si="5"/>
        <v>0</v>
      </c>
      <c r="M31" s="721">
        <f t="shared" ca="1" si="6"/>
        <v>0</v>
      </c>
    </row>
    <row r="32" spans="1:13" ht="22.5" customHeight="1">
      <c r="A32" s="719" t="str">
        <f ca="1">IF(ROWS($1:17)&gt;COUNT(Dong9),"",OFFSET(TH!C$1,SMALL(Dong9,ROWS($1:17)),))</f>
        <v/>
      </c>
      <c r="B32" s="719" t="str">
        <f ca="1">IF(ROWS($1:17)&gt;COUNT(Dong9),"",OFFSET(TH!D$1,SMALL(Dong9,ROWS($1:17)),))</f>
        <v/>
      </c>
      <c r="C32" s="719" t="str">
        <f ca="1">IF(ROWS($1:17)&gt;COUNT(Dong9),"",OFFSET(TH!E$1,SMALL(Dong9,ROWS($1:17)),))</f>
        <v/>
      </c>
      <c r="D32" s="720" t="str">
        <f ca="1">IF(ROWS($1:17)&gt;COUNT(Dong9),"",OFFSET(TH!F$1,SMALL(Dong9,ROWS($1:17)),))</f>
        <v/>
      </c>
      <c r="E32" s="719" t="str">
        <f ca="1">IF(ROWS($1:17)&gt;COUNT(Dong9),"",OFFSET(TH!M$1,SMALL(Dong9,ROWS($1:17)),))</f>
        <v/>
      </c>
      <c r="F32" s="721" t="str">
        <f ca="1">IF(ROWS($1:17)&gt;COUNT(Dong9),"",OFFSET(TH!K$1,SMALL(Dong9,ROWS($1:17)),))</f>
        <v/>
      </c>
      <c r="G32" s="721">
        <f t="shared" ca="1" si="0"/>
        <v>0</v>
      </c>
      <c r="H32" s="721">
        <f t="shared" ca="1" si="1"/>
        <v>0</v>
      </c>
      <c r="I32" s="721">
        <f t="shared" ca="1" si="2"/>
        <v>0</v>
      </c>
      <c r="J32" s="721">
        <f t="shared" ca="1" si="3"/>
        <v>0</v>
      </c>
      <c r="K32" s="721">
        <f t="shared" ca="1" si="4"/>
        <v>0</v>
      </c>
      <c r="L32" s="721">
        <f t="shared" ca="1" si="5"/>
        <v>0</v>
      </c>
      <c r="M32" s="721">
        <f t="shared" ca="1" si="6"/>
        <v>0</v>
      </c>
    </row>
    <row r="33" spans="1:13" ht="22.5" customHeight="1">
      <c r="A33" s="719" t="str">
        <f ca="1">IF(ROWS($1:18)&gt;COUNT(Dong9),"",OFFSET(TH!C$1,SMALL(Dong9,ROWS($1:18)),))</f>
        <v/>
      </c>
      <c r="B33" s="719" t="str">
        <f ca="1">IF(ROWS($1:18)&gt;COUNT(Dong9),"",OFFSET(TH!D$1,SMALL(Dong9,ROWS($1:18)),))</f>
        <v/>
      </c>
      <c r="C33" s="719" t="str">
        <f ca="1">IF(ROWS($1:18)&gt;COUNT(Dong9),"",OFFSET(TH!E$1,SMALL(Dong9,ROWS($1:18)),))</f>
        <v/>
      </c>
      <c r="D33" s="720" t="str">
        <f ca="1">IF(ROWS($1:18)&gt;COUNT(Dong9),"",OFFSET(TH!F$1,SMALL(Dong9,ROWS($1:18)),))</f>
        <v/>
      </c>
      <c r="E33" s="719" t="str">
        <f ca="1">IF(ROWS($1:18)&gt;COUNT(Dong9),"",OFFSET(TH!M$1,SMALL(Dong9,ROWS($1:18)),))</f>
        <v/>
      </c>
      <c r="F33" s="721" t="str">
        <f ca="1">IF(ROWS($1:18)&gt;COUNT(Dong9),"",OFFSET(TH!K$1,SMALL(Dong9,ROWS($1:18)),))</f>
        <v/>
      </c>
      <c r="G33" s="721">
        <f t="shared" ca="1" si="0"/>
        <v>0</v>
      </c>
      <c r="H33" s="721">
        <f t="shared" ca="1" si="1"/>
        <v>0</v>
      </c>
      <c r="I33" s="721">
        <f t="shared" ca="1" si="2"/>
        <v>0</v>
      </c>
      <c r="J33" s="721">
        <f t="shared" ca="1" si="3"/>
        <v>0</v>
      </c>
      <c r="K33" s="721">
        <f t="shared" ca="1" si="4"/>
        <v>0</v>
      </c>
      <c r="L33" s="721">
        <f t="shared" ca="1" si="5"/>
        <v>0</v>
      </c>
      <c r="M33" s="721">
        <f t="shared" ca="1" si="6"/>
        <v>0</v>
      </c>
    </row>
    <row r="34" spans="1:13" ht="22.5" customHeight="1">
      <c r="A34" s="719"/>
      <c r="B34" s="722"/>
      <c r="C34" s="719"/>
      <c r="D34" s="723"/>
      <c r="E34" s="724"/>
      <c r="F34" s="725"/>
      <c r="G34" s="725"/>
      <c r="H34" s="725"/>
      <c r="I34" s="725"/>
      <c r="J34" s="725"/>
      <c r="K34" s="725"/>
      <c r="L34" s="725"/>
      <c r="M34" s="725"/>
    </row>
    <row r="35" spans="1:13" ht="22.5" customHeight="1">
      <c r="A35" s="719"/>
      <c r="B35" s="722"/>
      <c r="C35" s="719"/>
      <c r="D35" s="717" t="s">
        <v>133</v>
      </c>
      <c r="E35" s="716" t="s">
        <v>19</v>
      </c>
      <c r="F35" s="718">
        <f t="shared" ref="F35:M35" ca="1" si="7">SUM(F15:F34)</f>
        <v>0</v>
      </c>
      <c r="G35" s="718">
        <f t="shared" ca="1" si="7"/>
        <v>0</v>
      </c>
      <c r="H35" s="718">
        <f t="shared" ca="1" si="7"/>
        <v>0</v>
      </c>
      <c r="I35" s="718">
        <f t="shared" ca="1" si="7"/>
        <v>0</v>
      </c>
      <c r="J35" s="718">
        <f t="shared" ca="1" si="7"/>
        <v>0</v>
      </c>
      <c r="K35" s="718">
        <f t="shared" ca="1" si="7"/>
        <v>0</v>
      </c>
      <c r="L35" s="718">
        <f t="shared" ca="1" si="7"/>
        <v>0</v>
      </c>
      <c r="M35" s="718">
        <f t="shared" ca="1" si="7"/>
        <v>0</v>
      </c>
    </row>
    <row r="36" spans="1:13" ht="22.5" customHeight="1">
      <c r="A36" s="726"/>
      <c r="B36" s="724"/>
      <c r="C36" s="726"/>
      <c r="D36" s="727" t="s">
        <v>577</v>
      </c>
      <c r="E36" s="722"/>
      <c r="F36" s="728">
        <f ca="1">SUM(G36:M36)</f>
        <v>0</v>
      </c>
      <c r="G36" s="728">
        <f t="shared" ref="G36:M36" ca="1" si="8">G35</f>
        <v>0</v>
      </c>
      <c r="H36" s="728">
        <f t="shared" ca="1" si="8"/>
        <v>0</v>
      </c>
      <c r="I36" s="728">
        <f t="shared" ref="I36" ca="1" si="9">I35</f>
        <v>0</v>
      </c>
      <c r="J36" s="728">
        <f t="shared" ca="1" si="8"/>
        <v>0</v>
      </c>
      <c r="K36" s="728">
        <f t="shared" ca="1" si="8"/>
        <v>0</v>
      </c>
      <c r="L36" s="728">
        <f t="shared" ref="L36" ca="1" si="10">L35</f>
        <v>0</v>
      </c>
      <c r="M36" s="728">
        <f t="shared" ca="1" si="8"/>
        <v>0</v>
      </c>
    </row>
    <row r="37" spans="1:13" ht="22.5" customHeight="1">
      <c r="A37" s="729"/>
      <c r="B37" s="729"/>
      <c r="C37" s="729"/>
      <c r="D37" s="730" t="s">
        <v>10</v>
      </c>
      <c r="E37" s="729" t="s">
        <v>19</v>
      </c>
      <c r="F37" s="731">
        <f t="shared" ref="F37:M37" ca="1" si="11">F15+F35-F36</f>
        <v>0</v>
      </c>
      <c r="G37" s="731">
        <f t="shared" ca="1" si="11"/>
        <v>0</v>
      </c>
      <c r="H37" s="731">
        <f t="shared" ca="1" si="11"/>
        <v>0</v>
      </c>
      <c r="I37" s="731">
        <f t="shared" ca="1" si="11"/>
        <v>0</v>
      </c>
      <c r="J37" s="731">
        <f t="shared" ca="1" si="11"/>
        <v>0</v>
      </c>
      <c r="K37" s="731">
        <f t="shared" ca="1" si="11"/>
        <v>0</v>
      </c>
      <c r="L37" s="731">
        <f t="shared" ca="1" si="11"/>
        <v>0</v>
      </c>
      <c r="M37" s="731">
        <f t="shared" ca="1" si="11"/>
        <v>0</v>
      </c>
    </row>
    <row r="39" spans="1:13">
      <c r="B39" s="732"/>
      <c r="C39" s="712" t="s">
        <v>578</v>
      </c>
    </row>
    <row r="40" spans="1:13">
      <c r="C40" s="712" t="e">
        <f ca="1">"Ngày mở sổ: "&amp;"01/"&amp;MONTH(A16)&amp;"/ "&amp;YEAR(A16)</f>
        <v>#VALUE!</v>
      </c>
    </row>
    <row r="41" spans="1:13">
      <c r="E41" s="711"/>
      <c r="F41" s="711"/>
      <c r="G41" s="711"/>
      <c r="H41" s="711"/>
      <c r="I41" s="711"/>
      <c r="J41" s="1051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51"/>
      <c r="L41" s="1051"/>
      <c r="M41" s="1051"/>
    </row>
    <row r="42" spans="1:13">
      <c r="B42" s="711"/>
      <c r="C42" s="708" t="s">
        <v>11</v>
      </c>
      <c r="D42" s="711"/>
      <c r="E42" s="711"/>
      <c r="F42" s="711"/>
      <c r="G42" s="711"/>
      <c r="H42" s="711"/>
      <c r="I42" s="711"/>
      <c r="J42" s="1051" t="s">
        <v>12</v>
      </c>
      <c r="K42" s="1051"/>
      <c r="L42" s="1051"/>
      <c r="M42" s="1051"/>
    </row>
    <row r="43" spans="1:13">
      <c r="B43" s="711"/>
      <c r="C43" s="708" t="s">
        <v>13</v>
      </c>
      <c r="D43" s="711"/>
      <c r="E43" s="711"/>
      <c r="F43" s="711"/>
      <c r="G43" s="711"/>
      <c r="H43" s="711"/>
      <c r="I43" s="711"/>
      <c r="J43" s="711"/>
      <c r="K43" s="711" t="s">
        <v>13</v>
      </c>
      <c r="L43" s="71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31.85546875" style="708" customWidth="1"/>
    <col min="5" max="5" width="10.28515625" style="708" customWidth="1"/>
    <col min="6" max="6" width="15.28515625" style="708" customWidth="1"/>
    <col min="7" max="7" width="9.42578125" style="708" customWidth="1"/>
    <col min="8" max="8" width="15.140625" style="708" customWidth="1"/>
    <col min="9" max="9" width="9.140625" style="708"/>
    <col min="10" max="10" width="16.28515625" style="708" customWidth="1"/>
    <col min="11" max="11" width="6" style="708" customWidth="1"/>
    <col min="12" max="16384" width="9.140625" style="708"/>
  </cols>
  <sheetData>
    <row r="2" spans="1:13">
      <c r="A2" s="707" t="str">
        <f>'154'!A2</f>
        <v>Đơn vị: CÔNG TY TNHH MỘT THÀNH VIÊN KHỞI NGUYÊN AN</v>
      </c>
      <c r="F2" s="709"/>
      <c r="G2" s="1096" t="s">
        <v>565</v>
      </c>
      <c r="H2" s="1096"/>
      <c r="I2" s="1096"/>
      <c r="J2" s="1096"/>
    </row>
    <row r="3" spans="1:13" ht="15" customHeight="1">
      <c r="A3" s="737" t="str">
        <f>'154'!A3</f>
        <v>Địa chỉ: Thửa đất số 144, tờ bản đồ số 12TĐH.1, tổ 1, khu phố Đông Tác, Phường Tân Đông Hiệp, Thị Xã Dĩ An, Tỉnh Bình Dương, Việt Nam</v>
      </c>
      <c r="G3" s="109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99"/>
      <c r="I3" s="1099"/>
      <c r="J3" s="1099"/>
    </row>
    <row r="4" spans="1:13">
      <c r="G4" s="1099"/>
      <c r="H4" s="1099"/>
      <c r="I4" s="1099"/>
      <c r="J4" s="1099"/>
    </row>
    <row r="5" spans="1:13" ht="27" customHeight="1">
      <c r="A5" s="1097" t="s">
        <v>566</v>
      </c>
      <c r="B5" s="1097"/>
      <c r="C5" s="1097"/>
      <c r="D5" s="1097"/>
      <c r="E5" s="1097"/>
      <c r="F5" s="1097"/>
      <c r="G5" s="1097"/>
      <c r="H5" s="1097"/>
      <c r="I5" s="1097"/>
      <c r="J5" s="1097"/>
      <c r="K5" s="710" t="s">
        <v>179</v>
      </c>
      <c r="L5" s="636">
        <f>IF(L13="Quý I",1,IF(L13="Quý II",4,IF(L13="Quý III",7,IF(L13="Quý IV",10,""))))</f>
        <v>4</v>
      </c>
      <c r="M5" s="636">
        <f>IF(L13="Quý I",3,IF(L13="Quý II",6,IF(L13="Quý III",9,IF(L13="Quý IV",12,""))))</f>
        <v>6</v>
      </c>
    </row>
    <row r="6" spans="1:13">
      <c r="A6" s="1098" t="s">
        <v>567</v>
      </c>
      <c r="B6" s="1098"/>
      <c r="C6" s="1098"/>
      <c r="D6" s="1098"/>
      <c r="E6" s="1098"/>
      <c r="F6" s="1098"/>
      <c r="G6" s="1098"/>
      <c r="H6" s="1098"/>
      <c r="I6" s="1098"/>
      <c r="J6" s="1098"/>
    </row>
    <row r="7" spans="1:13">
      <c r="B7" s="711"/>
      <c r="C7" s="711"/>
      <c r="D7" s="711"/>
      <c r="E7" s="712" t="s">
        <v>579</v>
      </c>
      <c r="G7" s="711"/>
      <c r="H7" s="711"/>
      <c r="I7" s="711"/>
      <c r="J7" s="711"/>
    </row>
    <row r="8" spans="1:13">
      <c r="B8" s="711"/>
      <c r="C8" s="711"/>
      <c r="D8" s="711"/>
      <c r="E8" s="712" t="s">
        <v>569</v>
      </c>
      <c r="G8" s="711"/>
      <c r="H8" s="711"/>
      <c r="I8" s="711"/>
      <c r="J8" s="711"/>
    </row>
    <row r="9" spans="1:13">
      <c r="B9" s="713"/>
      <c r="C9" s="713"/>
      <c r="D9" s="713"/>
      <c r="E9" s="712" t="s">
        <v>570</v>
      </c>
      <c r="G9" s="713"/>
      <c r="H9" s="713"/>
      <c r="I9" s="713"/>
      <c r="J9" s="713"/>
    </row>
    <row r="10" spans="1:13" ht="9.75" customHeight="1">
      <c r="C10" s="1095"/>
      <c r="D10" s="1095"/>
      <c r="E10" s="1095"/>
      <c r="F10" s="1095"/>
      <c r="G10" s="1095"/>
      <c r="H10" s="1095"/>
      <c r="I10" s="1095"/>
      <c r="J10" s="1095"/>
    </row>
    <row r="11" spans="1:13" ht="15.75" customHeight="1">
      <c r="A11" s="1092" t="s">
        <v>20</v>
      </c>
      <c r="B11" s="1093" t="s">
        <v>1</v>
      </c>
      <c r="C11" s="1093"/>
      <c r="D11" s="1092" t="s">
        <v>0</v>
      </c>
      <c r="E11" s="1092" t="s">
        <v>223</v>
      </c>
      <c r="F11" s="1093" t="s">
        <v>580</v>
      </c>
      <c r="G11" s="1093"/>
      <c r="H11" s="1093"/>
      <c r="I11" s="1093"/>
      <c r="J11" s="1093"/>
    </row>
    <row r="12" spans="1:13" ht="15.75" customHeight="1" thickBot="1">
      <c r="A12" s="1092"/>
      <c r="B12" s="1094" t="s">
        <v>15</v>
      </c>
      <c r="C12" s="1094" t="s">
        <v>32</v>
      </c>
      <c r="D12" s="1092"/>
      <c r="E12" s="1092"/>
      <c r="F12" s="1094" t="s">
        <v>572</v>
      </c>
      <c r="G12" s="1094" t="s">
        <v>573</v>
      </c>
      <c r="H12" s="1094"/>
      <c r="I12" s="1094"/>
      <c r="J12" s="1094"/>
    </row>
    <row r="13" spans="1:13" ht="30.75" customHeight="1" thickBot="1">
      <c r="A13" s="1092"/>
      <c r="B13" s="1094"/>
      <c r="C13" s="1094"/>
      <c r="D13" s="1092"/>
      <c r="E13" s="1092"/>
      <c r="F13" s="1094"/>
      <c r="G13" s="714">
        <v>154</v>
      </c>
      <c r="H13" s="714">
        <v>155</v>
      </c>
      <c r="I13" s="714">
        <v>156</v>
      </c>
      <c r="J13" s="714">
        <v>157</v>
      </c>
      <c r="L13" s="736" t="s">
        <v>376</v>
      </c>
    </row>
    <row r="14" spans="1:13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</row>
    <row r="15" spans="1:13" ht="20.2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</row>
    <row r="16" spans="1:13" ht="20.25" customHeight="1">
      <c r="A16" s="719" t="str">
        <f ca="1">IF(ROWS($1:1)&gt;COUNT(Dong8),"",OFFSET(TH!C$1,SMALL(Dong8,ROWS($1:1)),))</f>
        <v/>
      </c>
      <c r="B16" s="719" t="str">
        <f ca="1">IF(ROWS($1:1)&gt;COUNT(Dong8),"",OFFSET(TH!D$1,SMALL(Dong8,ROWS($1:1)),))</f>
        <v/>
      </c>
      <c r="C16" s="719" t="str">
        <f ca="1">IF(ROWS($1:1)&gt;COUNT(Dong8),"",OFFSET(TH!E$1,SMALL(Dong8,ROWS($1:1)),))</f>
        <v/>
      </c>
      <c r="D16" s="720" t="str">
        <f ca="1">IF(ROWS($1:1)&gt;COUNT(Dong8),"",OFFSET(TH!F$1,SMALL(Dong8,ROWS($1:1)),))</f>
        <v/>
      </c>
      <c r="E16" s="719" t="str">
        <f ca="1">IF(ROWS($1:1)&gt;COUNT(Dong8),"",OFFSET(TH!M$1,SMALL(Dong8,ROWS($1:1)),))</f>
        <v/>
      </c>
      <c r="F16" s="721" t="str">
        <f ca="1">IF(ROWS($1:1)&gt;COUNT(Dong8),"",OFFSET(TH!K$1,SMALL(Dong8,ROWS($1:1)),))</f>
        <v/>
      </c>
      <c r="G16" s="721">
        <f ca="1">IF($E16="154",$F16,0)</f>
        <v>0</v>
      </c>
      <c r="H16" s="721">
        <f ca="1">IF($E16="155",$F16,0)</f>
        <v>0</v>
      </c>
      <c r="I16" s="721">
        <f ca="1">IF($E16="156",$F16,0)</f>
        <v>0</v>
      </c>
      <c r="J16" s="721">
        <f ca="1">IF($E16="157",$F16,0)</f>
        <v>0</v>
      </c>
    </row>
    <row r="17" spans="1:10" ht="20.25" customHeight="1">
      <c r="A17" s="719" t="str">
        <f ca="1">IF(ROWS($1:2)&gt;COUNT(Dong8),"",OFFSET(TH!C$1,SMALL(Dong8,ROWS($1:2)),))</f>
        <v/>
      </c>
      <c r="B17" s="719" t="str">
        <f ca="1">IF(ROWS($1:2)&gt;COUNT(Dong8),"",OFFSET(TH!D$1,SMALL(Dong8,ROWS($1:2)),))</f>
        <v/>
      </c>
      <c r="C17" s="719" t="str">
        <f ca="1">IF(ROWS($1:2)&gt;COUNT(Dong8),"",OFFSET(TH!E$1,SMALL(Dong8,ROWS($1:2)),))</f>
        <v/>
      </c>
      <c r="D17" s="720" t="str">
        <f ca="1">IF(ROWS($1:2)&gt;COUNT(Dong8),"",OFFSET(TH!F$1,SMALL(Dong8,ROWS($1:2)),))</f>
        <v/>
      </c>
      <c r="E17" s="719" t="str">
        <f ca="1">IF(ROWS($1:2)&gt;COUNT(Dong8),"",OFFSET(TH!M$1,SMALL(Dong8,ROWS($1:2)),))</f>
        <v/>
      </c>
      <c r="F17" s="721" t="str">
        <f ca="1">IF(ROWS($1:2)&gt;COUNT(Dong8),"",OFFSET(TH!K$1,SMALL(Dong8,ROWS($1:2)),))</f>
        <v/>
      </c>
      <c r="G17" s="721">
        <f t="shared" ref="G17:G20" ca="1" si="0">IF($E17="154",$F17,0)</f>
        <v>0</v>
      </c>
      <c r="H17" s="721">
        <f t="shared" ref="H17:H20" ca="1" si="1">IF($E17="155",$F17,0)</f>
        <v>0</v>
      </c>
      <c r="I17" s="721">
        <f t="shared" ref="I17:I20" ca="1" si="2">IF($E17="156",$F17,0)</f>
        <v>0</v>
      </c>
      <c r="J17" s="721">
        <f t="shared" ref="J17:J20" ca="1" si="3">IF($E17="157",$F17,0)</f>
        <v>0</v>
      </c>
    </row>
    <row r="18" spans="1:10" ht="20.25" customHeight="1">
      <c r="A18" s="719" t="str">
        <f ca="1">IF(ROWS($1:3)&gt;COUNT(Dong8),"",OFFSET(TH!C$1,SMALL(Dong8,ROWS($1:3)),))</f>
        <v/>
      </c>
      <c r="B18" s="719" t="str">
        <f ca="1">IF(ROWS($1:3)&gt;COUNT(Dong8),"",OFFSET(TH!D$1,SMALL(Dong8,ROWS($1:3)),))</f>
        <v/>
      </c>
      <c r="C18" s="719" t="str">
        <f ca="1">IF(ROWS($1:3)&gt;COUNT(Dong8),"",OFFSET(TH!E$1,SMALL(Dong8,ROWS($1:3)),))</f>
        <v/>
      </c>
      <c r="D18" s="720" t="str">
        <f ca="1">IF(ROWS($1:3)&gt;COUNT(Dong8),"",OFFSET(TH!F$1,SMALL(Dong8,ROWS($1:3)),))</f>
        <v/>
      </c>
      <c r="E18" s="719" t="str">
        <f ca="1">IF(ROWS($1:3)&gt;COUNT(Dong8),"",OFFSET(TH!M$1,SMALL(Dong8,ROWS($1:3)),))</f>
        <v/>
      </c>
      <c r="F18" s="721" t="str">
        <f ca="1">IF(ROWS($1:3)&gt;COUNT(Dong8),"",OFFSET(TH!K$1,SMALL(Dong8,ROWS($1:3)),))</f>
        <v/>
      </c>
      <c r="G18" s="721">
        <f t="shared" ca="1" si="0"/>
        <v>0</v>
      </c>
      <c r="H18" s="721">
        <f t="shared" ca="1" si="1"/>
        <v>0</v>
      </c>
      <c r="I18" s="721">
        <f t="shared" ca="1" si="2"/>
        <v>0</v>
      </c>
      <c r="J18" s="721">
        <f t="shared" ca="1" si="3"/>
        <v>0</v>
      </c>
    </row>
    <row r="19" spans="1:10" ht="20.25" customHeight="1">
      <c r="A19" s="719" t="str">
        <f ca="1">IF(ROWS($1:4)&gt;COUNT(Dong8),"",OFFSET(TH!C$1,SMALL(Dong8,ROWS($1:4)),))</f>
        <v/>
      </c>
      <c r="B19" s="719" t="str">
        <f ca="1">IF(ROWS($1:4)&gt;COUNT(Dong8),"",OFFSET(TH!D$1,SMALL(Dong8,ROWS($1:4)),))</f>
        <v/>
      </c>
      <c r="C19" s="719" t="str">
        <f ca="1">IF(ROWS($1:4)&gt;COUNT(Dong8),"",OFFSET(TH!E$1,SMALL(Dong8,ROWS($1:4)),))</f>
        <v/>
      </c>
      <c r="D19" s="720" t="str">
        <f ca="1">IF(ROWS($1:4)&gt;COUNT(Dong8),"",OFFSET(TH!F$1,SMALL(Dong8,ROWS($1:4)),))</f>
        <v/>
      </c>
      <c r="E19" s="719" t="str">
        <f ca="1">IF(ROWS($1:4)&gt;COUNT(Dong8),"",OFFSET(TH!M$1,SMALL(Dong8,ROWS($1:4)),))</f>
        <v/>
      </c>
      <c r="F19" s="721" t="str">
        <f ca="1">IF(ROWS($1:4)&gt;COUNT(Dong8),"",OFFSET(TH!K$1,SMALL(Dong8,ROWS($1:4)),))</f>
        <v/>
      </c>
      <c r="G19" s="721">
        <f t="shared" ca="1" si="0"/>
        <v>0</v>
      </c>
      <c r="H19" s="721">
        <f t="shared" ca="1" si="1"/>
        <v>0</v>
      </c>
      <c r="I19" s="721">
        <f t="shared" ca="1" si="2"/>
        <v>0</v>
      </c>
      <c r="J19" s="721">
        <f t="shared" ca="1" si="3"/>
        <v>0</v>
      </c>
    </row>
    <row r="20" spans="1:10" ht="20.25" customHeight="1">
      <c r="A20" s="719" t="str">
        <f ca="1">IF(ROWS($1:5)&gt;COUNT(Dong8),"",OFFSET(TH!C$1,SMALL(Dong8,ROWS($1:5)),))</f>
        <v/>
      </c>
      <c r="B20" s="719" t="str">
        <f ca="1">IF(ROWS($1:5)&gt;COUNT(Dong8),"",OFFSET(TH!D$1,SMALL(Dong8,ROWS($1:5)),))</f>
        <v/>
      </c>
      <c r="C20" s="719" t="str">
        <f ca="1">IF(ROWS($1:5)&gt;COUNT(Dong8),"",OFFSET(TH!E$1,SMALL(Dong8,ROWS($1:5)),))</f>
        <v/>
      </c>
      <c r="D20" s="720" t="str">
        <f ca="1">IF(ROWS($1:5)&gt;COUNT(Dong8),"",OFFSET(TH!F$1,SMALL(Dong8,ROWS($1:5)),))</f>
        <v/>
      </c>
      <c r="E20" s="719" t="str">
        <f ca="1">IF(ROWS($1:5)&gt;COUNT(Dong8),"",OFFSET(TH!M$1,SMALL(Dong8,ROWS($1:5)),))</f>
        <v/>
      </c>
      <c r="F20" s="721" t="str">
        <f ca="1">IF(ROWS($1:5)&gt;COUNT(Dong8),"",OFFSET(TH!K$1,SMALL(Dong8,ROWS($1:5)),))</f>
        <v/>
      </c>
      <c r="G20" s="721">
        <f t="shared" ca="1" si="0"/>
        <v>0</v>
      </c>
      <c r="H20" s="721">
        <f t="shared" ca="1" si="1"/>
        <v>0</v>
      </c>
      <c r="I20" s="721">
        <f t="shared" ca="1" si="2"/>
        <v>0</v>
      </c>
      <c r="J20" s="721">
        <f t="shared" ca="1" si="3"/>
        <v>0</v>
      </c>
    </row>
    <row r="21" spans="1:10" ht="20.25" customHeight="1">
      <c r="A21" s="719"/>
      <c r="B21" s="722"/>
      <c r="C21" s="719"/>
      <c r="D21" s="723"/>
      <c r="E21" s="724"/>
      <c r="F21" s="725"/>
      <c r="G21" s="725"/>
      <c r="H21" s="725"/>
      <c r="I21" s="725"/>
      <c r="J21" s="725"/>
    </row>
    <row r="22" spans="1:10" ht="20.25" customHeight="1">
      <c r="A22" s="719"/>
      <c r="B22" s="722"/>
      <c r="C22" s="719"/>
      <c r="D22" s="717" t="s">
        <v>133</v>
      </c>
      <c r="E22" s="716" t="s">
        <v>19</v>
      </c>
      <c r="F22" s="718">
        <f ca="1">SUM(F15:F21)</f>
        <v>0</v>
      </c>
      <c r="G22" s="718">
        <f ca="1">SUM(G15:G21)</f>
        <v>0</v>
      </c>
      <c r="H22" s="718">
        <f ca="1">SUM(H15:H21)</f>
        <v>0</v>
      </c>
      <c r="I22" s="718">
        <f ca="1">SUM(I15:I21)</f>
        <v>0</v>
      </c>
      <c r="J22" s="718">
        <f ca="1">SUM(J15:J21)</f>
        <v>0</v>
      </c>
    </row>
    <row r="23" spans="1:10" ht="20.25" customHeight="1">
      <c r="A23" s="726"/>
      <c r="B23" s="724"/>
      <c r="C23" s="726"/>
      <c r="D23" s="727" t="s">
        <v>581</v>
      </c>
      <c r="E23" s="722"/>
      <c r="F23" s="728">
        <f ca="1">SUM(G23:J23)</f>
        <v>0</v>
      </c>
      <c r="G23" s="728">
        <f ca="1">G22</f>
        <v>0</v>
      </c>
      <c r="H23" s="728">
        <f ca="1">H22</f>
        <v>0</v>
      </c>
      <c r="I23" s="728">
        <f ca="1">I22</f>
        <v>0</v>
      </c>
      <c r="J23" s="728">
        <f ca="1">J22</f>
        <v>0</v>
      </c>
    </row>
    <row r="24" spans="1:10" ht="20.25" customHeight="1">
      <c r="A24" s="729"/>
      <c r="B24" s="729"/>
      <c r="C24" s="729"/>
      <c r="D24" s="730" t="s">
        <v>10</v>
      </c>
      <c r="E24" s="729" t="s">
        <v>19</v>
      </c>
      <c r="F24" s="731">
        <f ca="1">F15+F22-F23</f>
        <v>0</v>
      </c>
      <c r="G24" s="731">
        <f ca="1">G15+G22-G23</f>
        <v>0</v>
      </c>
      <c r="H24" s="731">
        <f ca="1">H15+H22-H23</f>
        <v>0</v>
      </c>
      <c r="I24" s="731">
        <f ca="1">I15+I22-I23</f>
        <v>0</v>
      </c>
      <c r="J24" s="731">
        <f ca="1">J15+J22-J23</f>
        <v>0</v>
      </c>
    </row>
    <row r="26" spans="1:10">
      <c r="B26" s="732"/>
      <c r="C26" s="712" t="s">
        <v>582</v>
      </c>
    </row>
    <row r="27" spans="1:10">
      <c r="C27" s="712" t="e">
        <f ca="1">"- Ngày mở sổ: "&amp;"01/"&amp;MONTH(A16)&amp;"/ "&amp;YEAR(A16)</f>
        <v>#VALUE!</v>
      </c>
    </row>
    <row r="28" spans="1:10">
      <c r="E28" s="711"/>
      <c r="F28" s="711"/>
      <c r="G28" s="711"/>
      <c r="H28" s="711"/>
      <c r="I28" s="1051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51"/>
    </row>
    <row r="29" spans="1:10">
      <c r="B29" s="711"/>
      <c r="C29" s="708" t="s">
        <v>11</v>
      </c>
      <c r="D29" s="711"/>
      <c r="E29" s="711"/>
      <c r="F29" s="711"/>
      <c r="G29" s="711"/>
      <c r="H29" s="711"/>
      <c r="I29" s="1051" t="s">
        <v>12</v>
      </c>
      <c r="J29" s="1051"/>
    </row>
    <row r="30" spans="1:10">
      <c r="B30" s="711"/>
      <c r="C30" s="708" t="s">
        <v>13</v>
      </c>
      <c r="D30" s="711"/>
      <c r="E30" s="711"/>
      <c r="F30" s="711"/>
      <c r="G30" s="711"/>
      <c r="H30" s="711"/>
      <c r="I30" s="711"/>
      <c r="J30" s="71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8" customWidth="1"/>
    <col min="3" max="3" width="8.5703125" style="708" customWidth="1"/>
    <col min="4" max="4" width="51.42578125" style="708" customWidth="1"/>
    <col min="5" max="5" width="8" style="708" customWidth="1"/>
    <col min="6" max="6" width="12.28515625" style="708" bestFit="1" customWidth="1"/>
    <col min="7" max="7" width="10.140625" style="708" customWidth="1"/>
    <col min="8" max="8" width="10.7109375" style="708" customWidth="1"/>
    <col min="9" max="9" width="11.42578125" style="708" customWidth="1"/>
    <col min="10" max="10" width="11.5703125" style="708" customWidth="1"/>
    <col min="11" max="11" width="11.42578125" style="708" customWidth="1"/>
    <col min="12" max="12" width="9.42578125" style="708" customWidth="1"/>
    <col min="13" max="13" width="6.7109375" style="708" customWidth="1"/>
    <col min="14" max="16384" width="9.140625" style="708"/>
  </cols>
  <sheetData>
    <row r="2" spans="1:15">
      <c r="A2" s="707" t="str">
        <f>'632'!A2</f>
        <v>Đơn vị: CÔNG TY TNHH MỘT THÀNH VIÊN KHỞI NGUYÊN AN</v>
      </c>
      <c r="F2" s="709"/>
      <c r="G2" s="709"/>
      <c r="H2" s="1096" t="s">
        <v>565</v>
      </c>
      <c r="I2" s="1096"/>
      <c r="J2" s="1096"/>
      <c r="K2" s="1096"/>
      <c r="L2" s="733"/>
    </row>
    <row r="3" spans="1:15" ht="15" customHeight="1">
      <c r="A3" s="737" t="str">
        <f>'632'!A3</f>
        <v>Địa chỉ: Thửa đất số 144, tờ bản đồ số 12TĐH.1, tổ 1, khu phố Đông Tác, Phường Tân Đông Hiệp, Thị Xã Dĩ An, Tỉnh Bình Dương, Việt Nam</v>
      </c>
      <c r="H3" s="109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99"/>
      <c r="J3" s="1099"/>
      <c r="K3" s="1099"/>
      <c r="L3" s="711"/>
    </row>
    <row r="4" spans="1:15">
      <c r="H4" s="1099"/>
      <c r="I4" s="1099"/>
      <c r="J4" s="1099"/>
      <c r="K4" s="1099"/>
      <c r="L4" s="711"/>
    </row>
    <row r="5" spans="1:15" ht="19.5" customHeight="1">
      <c r="A5" s="1097" t="s">
        <v>566</v>
      </c>
      <c r="B5" s="1097"/>
      <c r="C5" s="1097"/>
      <c r="D5" s="1097"/>
      <c r="E5" s="1097"/>
      <c r="F5" s="1097"/>
      <c r="G5" s="1097"/>
      <c r="H5" s="1097"/>
      <c r="I5" s="1097"/>
      <c r="J5" s="1097"/>
      <c r="K5" s="1097"/>
      <c r="L5" s="1097"/>
      <c r="M5" s="710" t="s">
        <v>83</v>
      </c>
      <c r="N5" s="636">
        <f>IF(N13="Quý I",1,IF(N13="Quý II",4,IF(N13="Quý III",7,IF(N13="Quý IV",10,""))))</f>
        <v>4</v>
      </c>
      <c r="O5" s="636">
        <f>IF(N13="Quý I",3,IF(N13="Quý II",6,IF(N13="Quý III",9,IF(N13="Quý IV",12,""))))</f>
        <v>6</v>
      </c>
    </row>
    <row r="6" spans="1:15">
      <c r="A6" s="1098" t="s">
        <v>567</v>
      </c>
      <c r="B6" s="1098"/>
      <c r="C6" s="1098"/>
      <c r="D6" s="1098"/>
      <c r="E6" s="1098"/>
      <c r="F6" s="1098"/>
      <c r="G6" s="1098"/>
      <c r="H6" s="1098"/>
      <c r="I6" s="1098"/>
      <c r="J6" s="1098"/>
      <c r="K6" s="1098"/>
      <c r="L6" s="1098"/>
    </row>
    <row r="7" spans="1:15">
      <c r="B7" s="711"/>
      <c r="C7" s="711"/>
      <c r="D7" s="711"/>
      <c r="E7" s="712" t="s">
        <v>583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569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570</v>
      </c>
      <c r="G9" s="713"/>
      <c r="H9" s="713"/>
      <c r="I9" s="713"/>
      <c r="J9" s="713"/>
      <c r="K9" s="713"/>
      <c r="L9" s="713"/>
    </row>
    <row r="10" spans="1:15" ht="9" customHeight="1">
      <c r="C10" s="1095"/>
      <c r="D10" s="1095"/>
      <c r="E10" s="1095"/>
      <c r="F10" s="1095"/>
      <c r="G10" s="1095"/>
      <c r="H10" s="1095"/>
      <c r="I10" s="1095"/>
      <c r="J10" s="1095"/>
      <c r="K10" s="1095"/>
      <c r="L10" s="1095"/>
    </row>
    <row r="11" spans="1:15" ht="15.75" customHeight="1">
      <c r="A11" s="1092" t="s">
        <v>20</v>
      </c>
      <c r="B11" s="1093" t="s">
        <v>1</v>
      </c>
      <c r="C11" s="1093"/>
      <c r="D11" s="1092" t="s">
        <v>0</v>
      </c>
      <c r="E11" s="1092" t="s">
        <v>223</v>
      </c>
      <c r="F11" s="1093" t="s">
        <v>584</v>
      </c>
      <c r="G11" s="1093"/>
      <c r="H11" s="1093"/>
      <c r="I11" s="1093"/>
      <c r="J11" s="1093"/>
      <c r="K11" s="1093"/>
      <c r="L11" s="1093"/>
    </row>
    <row r="12" spans="1:15" ht="15.75" customHeight="1" thickBot="1">
      <c r="A12" s="1092"/>
      <c r="B12" s="1094" t="s">
        <v>15</v>
      </c>
      <c r="C12" s="1094" t="s">
        <v>32</v>
      </c>
      <c r="D12" s="1092"/>
      <c r="E12" s="1092"/>
      <c r="F12" s="1094" t="s">
        <v>572</v>
      </c>
      <c r="G12" s="1094" t="s">
        <v>573</v>
      </c>
      <c r="H12" s="1094"/>
      <c r="I12" s="1094"/>
      <c r="J12" s="1094"/>
      <c r="K12" s="1094"/>
      <c r="L12" s="1094"/>
    </row>
    <row r="13" spans="1:15" ht="29.25" customHeight="1" thickBot="1">
      <c r="A13" s="1092"/>
      <c r="B13" s="1094"/>
      <c r="C13" s="1094"/>
      <c r="D13" s="1092"/>
      <c r="E13" s="1092"/>
      <c r="F13" s="1094"/>
      <c r="G13" s="734" t="s">
        <v>47</v>
      </c>
      <c r="H13" s="734" t="s">
        <v>24</v>
      </c>
      <c r="I13" s="734" t="s">
        <v>63</v>
      </c>
      <c r="J13" s="734" t="s">
        <v>278</v>
      </c>
      <c r="K13" s="734"/>
      <c r="L13" s="734"/>
      <c r="N13" s="736" t="s">
        <v>376</v>
      </c>
    </row>
    <row r="14" spans="1:15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  <c r="K14" s="715">
        <v>6</v>
      </c>
      <c r="L14" s="715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 t="str">
        <f ca="1">IF(ROWS($1:1)&gt;COUNT(Dong7),"",OFFSET(TH!C$1,SMALL(Dong7,ROWS($1:1)),))</f>
        <v/>
      </c>
      <c r="B16" s="719" t="str">
        <f ca="1">IF(ROWS($1:1)&gt;COUNT(Dong7),"",OFFSET(TH!D$1,SMALL(Dong7,ROWS($1:1)),))</f>
        <v/>
      </c>
      <c r="C16" s="719" t="str">
        <f ca="1">IF(ROWS($1:1)&gt;COUNT(Dong7),"",OFFSET(TH!E$1,SMALL(Dong7,ROWS($1:1)),))</f>
        <v/>
      </c>
      <c r="D16" s="720" t="str">
        <f ca="1">IF(ROWS($1:1)&gt;COUNT(Dong7),"",OFFSET(TH!F$1,SMALL(Dong7,ROWS($1:1)),))</f>
        <v/>
      </c>
      <c r="E16" s="719" t="str">
        <f ca="1">IF(ROWS($1:1)&gt;COUNT(Dong7),"",OFFSET(TH!M$1,SMALL(Dong7,ROWS($1:1)),))</f>
        <v/>
      </c>
      <c r="F16" s="721" t="str">
        <f ca="1">IF(ROWS($1:1)&gt;COUNT(Dong7),"",OFFSET(TH!K$1,SMALL(Dong7,ROWS($1:1)),))</f>
        <v/>
      </c>
      <c r="G16" s="721">
        <f t="shared" ref="G16:J30" ca="1" si="0">IF($E16=G$13,$F16,0)</f>
        <v>0</v>
      </c>
      <c r="H16" s="721">
        <f t="shared" ca="1" si="0"/>
        <v>0</v>
      </c>
      <c r="I16" s="721">
        <f t="shared" ca="1" si="0"/>
        <v>0</v>
      </c>
      <c r="J16" s="721">
        <f t="shared" ca="1" si="0"/>
        <v>0</v>
      </c>
      <c r="K16" s="721" t="str">
        <f ca="1">IF(LEFT($E16,3)=K$13,$F16,0)</f>
        <v/>
      </c>
      <c r="L16" s="721" t="str">
        <f ca="1">IF(LEFT($E16,3)=L$13,$F16,0)</f>
        <v/>
      </c>
    </row>
    <row r="17" spans="1:12" ht="21.75" customHeight="1">
      <c r="A17" s="719" t="str">
        <f ca="1">IF(ROWS($1:2)&gt;COUNT(Dong7),"",OFFSET(TH!C$1,SMALL(Dong7,ROWS($1:2)),))</f>
        <v/>
      </c>
      <c r="B17" s="719" t="str">
        <f ca="1">IF(ROWS($1:2)&gt;COUNT(Dong7),"",OFFSET(TH!D$1,SMALL(Dong7,ROWS($1:2)),))</f>
        <v/>
      </c>
      <c r="C17" s="719" t="str">
        <f ca="1">IF(ROWS($1:2)&gt;COUNT(Dong7),"",OFFSET(TH!E$1,SMALL(Dong7,ROWS($1:2)),))</f>
        <v/>
      </c>
      <c r="D17" s="720" t="str">
        <f ca="1">IF(ROWS($1:2)&gt;COUNT(Dong7),"",OFFSET(TH!F$1,SMALL(Dong7,ROWS($1:2)),))</f>
        <v/>
      </c>
      <c r="E17" s="719" t="str">
        <f ca="1">IF(ROWS($1:2)&gt;COUNT(Dong7),"",OFFSET(TH!M$1,SMALL(Dong7,ROWS($1:2)),))</f>
        <v/>
      </c>
      <c r="F17" s="721" t="str">
        <f ca="1">IF(ROWS($1:2)&gt;COUNT(Dong7),"",OFFSET(TH!K$1,SMALL(Dong7,ROWS($1:2)),))</f>
        <v/>
      </c>
      <c r="G17" s="721">
        <f t="shared" ca="1" si="0"/>
        <v>0</v>
      </c>
      <c r="H17" s="721">
        <f t="shared" ca="1" si="0"/>
        <v>0</v>
      </c>
      <c r="I17" s="721">
        <f t="shared" ca="1" si="0"/>
        <v>0</v>
      </c>
      <c r="J17" s="721">
        <f t="shared" ca="1" si="0"/>
        <v>0</v>
      </c>
      <c r="K17" s="721" t="str">
        <f t="shared" ref="K17:L30" ca="1" si="1">IF(LEFT($E17,3)=K$13,$F17,0)</f>
        <v/>
      </c>
      <c r="L17" s="721" t="str">
        <f t="shared" ca="1" si="1"/>
        <v/>
      </c>
    </row>
    <row r="18" spans="1:12" ht="21.75" customHeight="1">
      <c r="A18" s="719" t="str">
        <f ca="1">IF(ROWS($1:3)&gt;COUNT(Dong7),"",OFFSET(TH!C$1,SMALL(Dong7,ROWS($1:3)),))</f>
        <v/>
      </c>
      <c r="B18" s="719" t="str">
        <f ca="1">IF(ROWS($1:3)&gt;COUNT(Dong7),"",OFFSET(TH!D$1,SMALL(Dong7,ROWS($1:3)),))</f>
        <v/>
      </c>
      <c r="C18" s="719" t="str">
        <f ca="1">IF(ROWS($1:3)&gt;COUNT(Dong7),"",OFFSET(TH!E$1,SMALL(Dong7,ROWS($1:3)),))</f>
        <v/>
      </c>
      <c r="D18" s="720" t="str">
        <f ca="1">IF(ROWS($1:3)&gt;COUNT(Dong7),"",OFFSET(TH!F$1,SMALL(Dong7,ROWS($1:3)),))</f>
        <v/>
      </c>
      <c r="E18" s="719" t="str">
        <f ca="1">IF(ROWS($1:3)&gt;COUNT(Dong7),"",OFFSET(TH!M$1,SMALL(Dong7,ROWS($1:3)),))</f>
        <v/>
      </c>
      <c r="F18" s="721" t="str">
        <f ca="1">IF(ROWS($1:3)&gt;COUNT(Dong7),"",OFFSET(TH!K$1,SMALL(Dong7,ROWS($1:3)),))</f>
        <v/>
      </c>
      <c r="G18" s="721">
        <f t="shared" ca="1" si="0"/>
        <v>0</v>
      </c>
      <c r="H18" s="721">
        <f t="shared" ca="1" si="0"/>
        <v>0</v>
      </c>
      <c r="I18" s="721">
        <f t="shared" ca="1" si="0"/>
        <v>0</v>
      </c>
      <c r="J18" s="721">
        <f t="shared" ca="1" si="0"/>
        <v>0</v>
      </c>
      <c r="K18" s="721" t="str">
        <f t="shared" ca="1" si="1"/>
        <v/>
      </c>
      <c r="L18" s="721" t="str">
        <f t="shared" ca="1" si="1"/>
        <v/>
      </c>
    </row>
    <row r="19" spans="1:12" ht="21.75" customHeight="1">
      <c r="A19" s="719" t="str">
        <f ca="1">IF(ROWS($1:4)&gt;COUNT(Dong7),"",OFFSET(TH!C$1,SMALL(Dong7,ROWS($1:4)),))</f>
        <v/>
      </c>
      <c r="B19" s="719" t="str">
        <f ca="1">IF(ROWS($1:4)&gt;COUNT(Dong7),"",OFFSET(TH!D$1,SMALL(Dong7,ROWS($1:4)),))</f>
        <v/>
      </c>
      <c r="C19" s="719" t="str">
        <f ca="1">IF(ROWS($1:4)&gt;COUNT(Dong7),"",OFFSET(TH!E$1,SMALL(Dong7,ROWS($1:4)),))</f>
        <v/>
      </c>
      <c r="D19" s="720" t="str">
        <f ca="1">IF(ROWS($1:4)&gt;COUNT(Dong7),"",OFFSET(TH!F$1,SMALL(Dong7,ROWS($1:4)),))</f>
        <v/>
      </c>
      <c r="E19" s="719" t="str">
        <f ca="1">IF(ROWS($1:4)&gt;COUNT(Dong7),"",OFFSET(TH!M$1,SMALL(Dong7,ROWS($1:4)),))</f>
        <v/>
      </c>
      <c r="F19" s="721" t="str">
        <f ca="1">IF(ROWS($1:4)&gt;COUNT(Dong7),"",OFFSET(TH!K$1,SMALL(Dong7,ROWS($1:4)),))</f>
        <v/>
      </c>
      <c r="G19" s="721">
        <f t="shared" ca="1" si="0"/>
        <v>0</v>
      </c>
      <c r="H19" s="721">
        <f t="shared" ca="1" si="0"/>
        <v>0</v>
      </c>
      <c r="I19" s="721">
        <f t="shared" ca="1" si="0"/>
        <v>0</v>
      </c>
      <c r="J19" s="721">
        <f t="shared" ca="1" si="0"/>
        <v>0</v>
      </c>
      <c r="K19" s="721" t="str">
        <f t="shared" ca="1" si="1"/>
        <v/>
      </c>
      <c r="L19" s="721" t="str">
        <f t="shared" ca="1" si="1"/>
        <v/>
      </c>
    </row>
    <row r="20" spans="1:12" ht="21.75" customHeight="1">
      <c r="A20" s="719" t="str">
        <f ca="1">IF(ROWS($1:5)&gt;COUNT(Dong7),"",OFFSET(TH!C$1,SMALL(Dong7,ROWS($1:5)),))</f>
        <v/>
      </c>
      <c r="B20" s="719" t="str">
        <f ca="1">IF(ROWS($1:5)&gt;COUNT(Dong7),"",OFFSET(TH!D$1,SMALL(Dong7,ROWS($1:5)),))</f>
        <v/>
      </c>
      <c r="C20" s="719" t="str">
        <f ca="1">IF(ROWS($1:5)&gt;COUNT(Dong7),"",OFFSET(TH!E$1,SMALL(Dong7,ROWS($1:5)),))</f>
        <v/>
      </c>
      <c r="D20" s="720" t="str">
        <f ca="1">IF(ROWS($1:5)&gt;COUNT(Dong7),"",OFFSET(TH!F$1,SMALL(Dong7,ROWS($1:5)),))</f>
        <v/>
      </c>
      <c r="E20" s="719" t="str">
        <f ca="1">IF(ROWS($1:5)&gt;COUNT(Dong7),"",OFFSET(TH!M$1,SMALL(Dong7,ROWS($1:5)),))</f>
        <v/>
      </c>
      <c r="F20" s="721" t="str">
        <f ca="1">IF(ROWS($1:5)&gt;COUNT(Dong7),"",OFFSET(TH!K$1,SMALL(Dong7,ROWS($1:5)),))</f>
        <v/>
      </c>
      <c r="G20" s="721">
        <f t="shared" ca="1" si="0"/>
        <v>0</v>
      </c>
      <c r="H20" s="721">
        <f t="shared" ca="1" si="0"/>
        <v>0</v>
      </c>
      <c r="I20" s="721">
        <f t="shared" ca="1" si="0"/>
        <v>0</v>
      </c>
      <c r="J20" s="721">
        <f t="shared" ca="1" si="0"/>
        <v>0</v>
      </c>
      <c r="K20" s="721" t="str">
        <f t="shared" ca="1" si="1"/>
        <v/>
      </c>
      <c r="L20" s="721" t="str">
        <f t="shared" ca="1" si="1"/>
        <v/>
      </c>
    </row>
    <row r="21" spans="1:12" ht="21.75" customHeight="1">
      <c r="A21" s="719" t="str">
        <f ca="1">IF(ROWS($1:6)&gt;COUNT(Dong7),"",OFFSET(TH!C$1,SMALL(Dong7,ROWS($1:6)),))</f>
        <v/>
      </c>
      <c r="B21" s="719" t="str">
        <f ca="1">IF(ROWS($1:6)&gt;COUNT(Dong7),"",OFFSET(TH!D$1,SMALL(Dong7,ROWS($1:6)),))</f>
        <v/>
      </c>
      <c r="C21" s="719" t="str">
        <f ca="1">IF(ROWS($1:6)&gt;COUNT(Dong7),"",OFFSET(TH!E$1,SMALL(Dong7,ROWS($1:6)),))</f>
        <v/>
      </c>
      <c r="D21" s="720" t="str">
        <f ca="1">IF(ROWS($1:6)&gt;COUNT(Dong7),"",OFFSET(TH!F$1,SMALL(Dong7,ROWS($1:6)),))</f>
        <v/>
      </c>
      <c r="E21" s="719" t="str">
        <f ca="1">IF(ROWS($1:6)&gt;COUNT(Dong7),"",OFFSET(TH!M$1,SMALL(Dong7,ROWS($1:6)),))</f>
        <v/>
      </c>
      <c r="F21" s="721" t="str">
        <f ca="1">IF(ROWS($1:6)&gt;COUNT(Dong7),"",OFFSET(TH!K$1,SMALL(Dong7,ROWS($1:6)),))</f>
        <v/>
      </c>
      <c r="G21" s="721">
        <f t="shared" ca="1" si="0"/>
        <v>0</v>
      </c>
      <c r="H21" s="721">
        <f t="shared" ca="1" si="0"/>
        <v>0</v>
      </c>
      <c r="I21" s="721">
        <f t="shared" ca="1" si="0"/>
        <v>0</v>
      </c>
      <c r="J21" s="721">
        <f t="shared" ca="1" si="0"/>
        <v>0</v>
      </c>
      <c r="K21" s="721" t="str">
        <f t="shared" ca="1" si="1"/>
        <v/>
      </c>
      <c r="L21" s="721" t="str">
        <f t="shared" ca="1" si="1"/>
        <v/>
      </c>
    </row>
    <row r="22" spans="1:12" ht="21.75" customHeight="1">
      <c r="A22" s="719" t="str">
        <f ca="1">IF(ROWS($1:7)&gt;COUNT(Dong7),"",OFFSET(TH!C$1,SMALL(Dong7,ROWS($1:7)),))</f>
        <v/>
      </c>
      <c r="B22" s="719" t="str">
        <f ca="1">IF(ROWS($1:7)&gt;COUNT(Dong7),"",OFFSET(TH!D$1,SMALL(Dong7,ROWS($1:7)),))</f>
        <v/>
      </c>
      <c r="C22" s="719" t="str">
        <f ca="1">IF(ROWS($1:7)&gt;COUNT(Dong7),"",OFFSET(TH!E$1,SMALL(Dong7,ROWS($1:7)),))</f>
        <v/>
      </c>
      <c r="D22" s="720" t="str">
        <f ca="1">IF(ROWS($1:7)&gt;COUNT(Dong7),"",OFFSET(TH!F$1,SMALL(Dong7,ROWS($1:7)),))</f>
        <v/>
      </c>
      <c r="E22" s="719" t="str">
        <f ca="1">IF(ROWS($1:7)&gt;COUNT(Dong7),"",OFFSET(TH!M$1,SMALL(Dong7,ROWS($1:7)),))</f>
        <v/>
      </c>
      <c r="F22" s="721" t="str">
        <f ca="1">IF(ROWS($1:7)&gt;COUNT(Dong7),"",OFFSET(TH!K$1,SMALL(Dong7,ROWS($1:7)),))</f>
        <v/>
      </c>
      <c r="G22" s="721">
        <f t="shared" ca="1" si="0"/>
        <v>0</v>
      </c>
      <c r="H22" s="721">
        <f t="shared" ca="1" si="0"/>
        <v>0</v>
      </c>
      <c r="I22" s="721">
        <f t="shared" ca="1" si="0"/>
        <v>0</v>
      </c>
      <c r="J22" s="721">
        <f t="shared" ca="1" si="0"/>
        <v>0</v>
      </c>
      <c r="K22" s="721" t="str">
        <f t="shared" ca="1" si="1"/>
        <v/>
      </c>
      <c r="L22" s="721" t="str">
        <f t="shared" ca="1" si="1"/>
        <v/>
      </c>
    </row>
    <row r="23" spans="1:12" ht="21.75" customHeight="1">
      <c r="A23" s="719" t="str">
        <f ca="1">IF(ROWS($1:8)&gt;COUNT(Dong7),"",OFFSET(TH!C$1,SMALL(Dong7,ROWS($1:8)),))</f>
        <v/>
      </c>
      <c r="B23" s="719" t="str">
        <f ca="1">IF(ROWS($1:8)&gt;COUNT(Dong7),"",OFFSET(TH!D$1,SMALL(Dong7,ROWS($1:8)),))</f>
        <v/>
      </c>
      <c r="C23" s="719" t="str">
        <f ca="1">IF(ROWS($1:8)&gt;COUNT(Dong7),"",OFFSET(TH!E$1,SMALL(Dong7,ROWS($1:8)),))</f>
        <v/>
      </c>
      <c r="D23" s="720" t="str">
        <f ca="1">IF(ROWS($1:8)&gt;COUNT(Dong7),"",OFFSET(TH!F$1,SMALL(Dong7,ROWS($1:8)),))</f>
        <v/>
      </c>
      <c r="E23" s="719" t="str">
        <f ca="1">IF(ROWS($1:8)&gt;COUNT(Dong7),"",OFFSET(TH!M$1,SMALL(Dong7,ROWS($1:8)),))</f>
        <v/>
      </c>
      <c r="F23" s="721" t="str">
        <f ca="1">IF(ROWS($1:8)&gt;COUNT(Dong7),"",OFFSET(TH!K$1,SMALL(Dong7,ROWS($1:8)),))</f>
        <v/>
      </c>
      <c r="G23" s="721">
        <f t="shared" ca="1" si="0"/>
        <v>0</v>
      </c>
      <c r="H23" s="721">
        <f t="shared" ca="1" si="0"/>
        <v>0</v>
      </c>
      <c r="I23" s="721">
        <f t="shared" ca="1" si="0"/>
        <v>0</v>
      </c>
      <c r="J23" s="721">
        <f t="shared" ca="1" si="0"/>
        <v>0</v>
      </c>
      <c r="K23" s="721" t="str">
        <f t="shared" ca="1" si="1"/>
        <v/>
      </c>
      <c r="L23" s="721" t="str">
        <f t="shared" ca="1" si="1"/>
        <v/>
      </c>
    </row>
    <row r="24" spans="1:12" ht="21.75" customHeight="1">
      <c r="A24" s="719" t="str">
        <f ca="1">IF(ROWS($1:9)&gt;COUNT(Dong7),"",OFFSET(TH!C$1,SMALL(Dong7,ROWS($1:9)),))</f>
        <v/>
      </c>
      <c r="B24" s="719" t="str">
        <f ca="1">IF(ROWS($1:9)&gt;COUNT(Dong7),"",OFFSET(TH!D$1,SMALL(Dong7,ROWS($1:9)),))</f>
        <v/>
      </c>
      <c r="C24" s="719" t="str">
        <f ca="1">IF(ROWS($1:9)&gt;COUNT(Dong7),"",OFFSET(TH!E$1,SMALL(Dong7,ROWS($1:9)),))</f>
        <v/>
      </c>
      <c r="D24" s="720" t="str">
        <f ca="1">IF(ROWS($1:9)&gt;COUNT(Dong7),"",OFFSET(TH!F$1,SMALL(Dong7,ROWS($1:9)),))</f>
        <v/>
      </c>
      <c r="E24" s="719" t="str">
        <f ca="1">IF(ROWS($1:9)&gt;COUNT(Dong7),"",OFFSET(TH!M$1,SMALL(Dong7,ROWS($1:9)),))</f>
        <v/>
      </c>
      <c r="F24" s="721" t="str">
        <f ca="1">IF(ROWS($1:9)&gt;COUNT(Dong7),"",OFFSET(TH!K$1,SMALL(Dong7,ROWS($1:9)),))</f>
        <v/>
      </c>
      <c r="G24" s="721">
        <f t="shared" ca="1" si="0"/>
        <v>0</v>
      </c>
      <c r="H24" s="721">
        <f t="shared" ca="1" si="0"/>
        <v>0</v>
      </c>
      <c r="I24" s="721">
        <f t="shared" ca="1" si="0"/>
        <v>0</v>
      </c>
      <c r="J24" s="721">
        <f t="shared" ca="1" si="0"/>
        <v>0</v>
      </c>
      <c r="K24" s="721" t="str">
        <f t="shared" ca="1" si="1"/>
        <v/>
      </c>
      <c r="L24" s="721" t="str">
        <f t="shared" ca="1" si="1"/>
        <v/>
      </c>
    </row>
    <row r="25" spans="1:12" ht="21.75" customHeight="1">
      <c r="A25" s="719" t="str">
        <f ca="1">IF(ROWS($1:10)&gt;COUNT(Dong7),"",OFFSET(TH!C$1,SMALL(Dong7,ROWS($1:10)),))</f>
        <v/>
      </c>
      <c r="B25" s="719" t="str">
        <f ca="1">IF(ROWS($1:10)&gt;COUNT(Dong7),"",OFFSET(TH!D$1,SMALL(Dong7,ROWS($1:10)),))</f>
        <v/>
      </c>
      <c r="C25" s="719" t="str">
        <f ca="1">IF(ROWS($1:10)&gt;COUNT(Dong7),"",OFFSET(TH!E$1,SMALL(Dong7,ROWS($1:10)),))</f>
        <v/>
      </c>
      <c r="D25" s="720" t="str">
        <f ca="1">IF(ROWS($1:10)&gt;COUNT(Dong7),"",OFFSET(TH!F$1,SMALL(Dong7,ROWS($1:10)),))</f>
        <v/>
      </c>
      <c r="E25" s="719" t="str">
        <f ca="1">IF(ROWS($1:10)&gt;COUNT(Dong7),"",OFFSET(TH!M$1,SMALL(Dong7,ROWS($1:10)),))</f>
        <v/>
      </c>
      <c r="F25" s="721" t="str">
        <f ca="1">IF(ROWS($1:10)&gt;COUNT(Dong7),"",OFFSET(TH!K$1,SMALL(Dong7,ROWS($1:10)),))</f>
        <v/>
      </c>
      <c r="G25" s="721">
        <f t="shared" ca="1" si="0"/>
        <v>0</v>
      </c>
      <c r="H25" s="721">
        <f t="shared" ca="1" si="0"/>
        <v>0</v>
      </c>
      <c r="I25" s="721">
        <f t="shared" ca="1" si="0"/>
        <v>0</v>
      </c>
      <c r="J25" s="721">
        <f t="shared" ca="1" si="0"/>
        <v>0</v>
      </c>
      <c r="K25" s="721" t="str">
        <f t="shared" ca="1" si="1"/>
        <v/>
      </c>
      <c r="L25" s="721" t="str">
        <f t="shared" ca="1" si="1"/>
        <v/>
      </c>
    </row>
    <row r="26" spans="1:12" ht="21.75" customHeight="1">
      <c r="A26" s="719" t="str">
        <f ca="1">IF(ROWS($1:11)&gt;COUNT(Dong7),"",OFFSET(TH!C$1,SMALL(Dong7,ROWS($1:11)),))</f>
        <v/>
      </c>
      <c r="B26" s="719" t="str">
        <f ca="1">IF(ROWS($1:11)&gt;COUNT(Dong7),"",OFFSET(TH!D$1,SMALL(Dong7,ROWS($1:11)),))</f>
        <v/>
      </c>
      <c r="C26" s="719" t="str">
        <f ca="1">IF(ROWS($1:11)&gt;COUNT(Dong7),"",OFFSET(TH!E$1,SMALL(Dong7,ROWS($1:11)),))</f>
        <v/>
      </c>
      <c r="D26" s="720" t="str">
        <f ca="1">IF(ROWS($1:11)&gt;COUNT(Dong7),"",OFFSET(TH!F$1,SMALL(Dong7,ROWS($1:11)),))</f>
        <v/>
      </c>
      <c r="E26" s="719" t="str">
        <f ca="1">IF(ROWS($1:11)&gt;COUNT(Dong7),"",OFFSET(TH!M$1,SMALL(Dong7,ROWS($1:11)),))</f>
        <v/>
      </c>
      <c r="F26" s="721" t="str">
        <f ca="1">IF(ROWS($1:11)&gt;COUNT(Dong7),"",OFFSET(TH!K$1,SMALL(Dong7,ROWS($1:11)),))</f>
        <v/>
      </c>
      <c r="G26" s="721">
        <f t="shared" ca="1" si="0"/>
        <v>0</v>
      </c>
      <c r="H26" s="721">
        <f t="shared" ca="1" si="0"/>
        <v>0</v>
      </c>
      <c r="I26" s="721">
        <f t="shared" ca="1" si="0"/>
        <v>0</v>
      </c>
      <c r="J26" s="721">
        <f t="shared" ca="1" si="0"/>
        <v>0</v>
      </c>
      <c r="K26" s="721" t="str">
        <f t="shared" ca="1" si="1"/>
        <v/>
      </c>
      <c r="L26" s="721" t="str">
        <f t="shared" ca="1" si="1"/>
        <v/>
      </c>
    </row>
    <row r="27" spans="1:12" ht="21.75" customHeight="1">
      <c r="A27" s="719" t="str">
        <f ca="1">IF(ROWS($1:12)&gt;COUNT(Dong7),"",OFFSET(TH!C$1,SMALL(Dong7,ROWS($1:12)),))</f>
        <v/>
      </c>
      <c r="B27" s="719" t="str">
        <f ca="1">IF(ROWS($1:12)&gt;COUNT(Dong7),"",OFFSET(TH!D$1,SMALL(Dong7,ROWS($1:12)),))</f>
        <v/>
      </c>
      <c r="C27" s="719" t="str">
        <f ca="1">IF(ROWS($1:12)&gt;COUNT(Dong7),"",OFFSET(TH!E$1,SMALL(Dong7,ROWS($1:12)),))</f>
        <v/>
      </c>
      <c r="D27" s="720" t="str">
        <f ca="1">IF(ROWS($1:12)&gt;COUNT(Dong7),"",OFFSET(TH!F$1,SMALL(Dong7,ROWS($1:12)),))</f>
        <v/>
      </c>
      <c r="E27" s="719" t="str">
        <f ca="1">IF(ROWS($1:12)&gt;COUNT(Dong7),"",OFFSET(TH!M$1,SMALL(Dong7,ROWS($1:12)),))</f>
        <v/>
      </c>
      <c r="F27" s="721" t="str">
        <f ca="1">IF(ROWS($1:12)&gt;COUNT(Dong7),"",OFFSET(TH!K$1,SMALL(Dong7,ROWS($1:12)),))</f>
        <v/>
      </c>
      <c r="G27" s="721">
        <f t="shared" ca="1" si="0"/>
        <v>0</v>
      </c>
      <c r="H27" s="721">
        <f t="shared" ca="1" si="0"/>
        <v>0</v>
      </c>
      <c r="I27" s="721">
        <f t="shared" ca="1" si="0"/>
        <v>0</v>
      </c>
      <c r="J27" s="721">
        <f t="shared" ca="1" si="0"/>
        <v>0</v>
      </c>
      <c r="K27" s="721" t="str">
        <f t="shared" ca="1" si="1"/>
        <v/>
      </c>
      <c r="L27" s="721" t="str">
        <f t="shared" ca="1" si="1"/>
        <v/>
      </c>
    </row>
    <row r="28" spans="1:12" ht="21.75" customHeight="1">
      <c r="A28" s="719" t="str">
        <f ca="1">IF(ROWS($1:13)&gt;COUNT(Dong7),"",OFFSET(TH!C$1,SMALL(Dong7,ROWS($1:13)),))</f>
        <v/>
      </c>
      <c r="B28" s="719" t="str">
        <f ca="1">IF(ROWS($1:13)&gt;COUNT(Dong7),"",OFFSET(TH!D$1,SMALL(Dong7,ROWS($1:13)),))</f>
        <v/>
      </c>
      <c r="C28" s="719" t="str">
        <f ca="1">IF(ROWS($1:13)&gt;COUNT(Dong7),"",OFFSET(TH!E$1,SMALL(Dong7,ROWS($1:13)),))</f>
        <v/>
      </c>
      <c r="D28" s="720" t="str">
        <f ca="1">IF(ROWS($1:13)&gt;COUNT(Dong7),"",OFFSET(TH!F$1,SMALL(Dong7,ROWS($1:13)),))</f>
        <v/>
      </c>
      <c r="E28" s="719" t="str">
        <f ca="1">IF(ROWS($1:13)&gt;COUNT(Dong7),"",OFFSET(TH!M$1,SMALL(Dong7,ROWS($1:13)),))</f>
        <v/>
      </c>
      <c r="F28" s="721" t="str">
        <f ca="1">IF(ROWS($1:13)&gt;COUNT(Dong7),"",OFFSET(TH!K$1,SMALL(Dong7,ROWS($1:13)),))</f>
        <v/>
      </c>
      <c r="G28" s="721">
        <f t="shared" ca="1" si="0"/>
        <v>0</v>
      </c>
      <c r="H28" s="721">
        <f t="shared" ca="1" si="0"/>
        <v>0</v>
      </c>
      <c r="I28" s="721">
        <f t="shared" ca="1" si="0"/>
        <v>0</v>
      </c>
      <c r="J28" s="721">
        <f t="shared" ca="1" si="0"/>
        <v>0</v>
      </c>
      <c r="K28" s="721" t="str">
        <f t="shared" ca="1" si="1"/>
        <v/>
      </c>
      <c r="L28" s="721" t="str">
        <f t="shared" ca="1" si="1"/>
        <v/>
      </c>
    </row>
    <row r="29" spans="1:12" ht="21.75" customHeight="1">
      <c r="A29" s="719" t="str">
        <f ca="1">IF(ROWS($1:14)&gt;COUNT(Dong7),"",OFFSET(TH!C$1,SMALL(Dong7,ROWS($1:14)),))</f>
        <v/>
      </c>
      <c r="B29" s="719" t="str">
        <f ca="1">IF(ROWS($1:14)&gt;COUNT(Dong7),"",OFFSET(TH!D$1,SMALL(Dong7,ROWS($1:14)),))</f>
        <v/>
      </c>
      <c r="C29" s="719" t="str">
        <f ca="1">IF(ROWS($1:14)&gt;COUNT(Dong7),"",OFFSET(TH!E$1,SMALL(Dong7,ROWS($1:14)),))</f>
        <v/>
      </c>
      <c r="D29" s="720" t="str">
        <f ca="1">IF(ROWS($1:14)&gt;COUNT(Dong7),"",OFFSET(TH!F$1,SMALL(Dong7,ROWS($1:14)),))</f>
        <v/>
      </c>
      <c r="E29" s="719" t="str">
        <f ca="1">IF(ROWS($1:14)&gt;COUNT(Dong7),"",OFFSET(TH!M$1,SMALL(Dong7,ROWS($1:14)),))</f>
        <v/>
      </c>
      <c r="F29" s="721" t="str">
        <f ca="1">IF(ROWS($1:14)&gt;COUNT(Dong7),"",OFFSET(TH!K$1,SMALL(Dong7,ROWS($1:14)),))</f>
        <v/>
      </c>
      <c r="G29" s="721">
        <f t="shared" ca="1" si="0"/>
        <v>0</v>
      </c>
      <c r="H29" s="721">
        <f t="shared" ca="1" si="0"/>
        <v>0</v>
      </c>
      <c r="I29" s="721">
        <f t="shared" ca="1" si="0"/>
        <v>0</v>
      </c>
      <c r="J29" s="721">
        <f t="shared" ca="1" si="0"/>
        <v>0</v>
      </c>
      <c r="K29" s="721" t="str">
        <f t="shared" ca="1" si="1"/>
        <v/>
      </c>
      <c r="L29" s="721" t="str">
        <f t="shared" ca="1" si="1"/>
        <v/>
      </c>
    </row>
    <row r="30" spans="1:12" ht="21.75" customHeight="1">
      <c r="A30" s="719" t="str">
        <f ca="1">IF(ROWS($1:15)&gt;COUNT(Dong7),"",OFFSET(TH!C$1,SMALL(Dong7,ROWS($1:15)),))</f>
        <v/>
      </c>
      <c r="B30" s="719" t="str">
        <f ca="1">IF(ROWS($1:15)&gt;COUNT(Dong7),"",OFFSET(TH!D$1,SMALL(Dong7,ROWS($1:15)),))</f>
        <v/>
      </c>
      <c r="C30" s="719" t="str">
        <f ca="1">IF(ROWS($1:15)&gt;COUNT(Dong7),"",OFFSET(TH!E$1,SMALL(Dong7,ROWS($1:15)),))</f>
        <v/>
      </c>
      <c r="D30" s="720" t="str">
        <f ca="1">IF(ROWS($1:15)&gt;COUNT(Dong7),"",OFFSET(TH!F$1,SMALL(Dong7,ROWS($1:15)),))</f>
        <v/>
      </c>
      <c r="E30" s="719" t="str">
        <f ca="1">IF(ROWS($1:15)&gt;COUNT(Dong7),"",OFFSET(TH!M$1,SMALL(Dong7,ROWS($1:15)),))</f>
        <v/>
      </c>
      <c r="F30" s="721" t="str">
        <f ca="1">IF(ROWS($1:15)&gt;COUNT(Dong7),"",OFFSET(TH!K$1,SMALL(Dong7,ROWS($1:15)),))</f>
        <v/>
      </c>
      <c r="G30" s="721">
        <f t="shared" ca="1" si="0"/>
        <v>0</v>
      </c>
      <c r="H30" s="721">
        <f t="shared" ca="1" si="0"/>
        <v>0</v>
      </c>
      <c r="I30" s="721">
        <f t="shared" ca="1" si="0"/>
        <v>0</v>
      </c>
      <c r="J30" s="721">
        <f t="shared" ca="1" si="0"/>
        <v>0</v>
      </c>
      <c r="K30" s="721" t="str">
        <f t="shared" ca="1" si="1"/>
        <v/>
      </c>
      <c r="L30" s="721" t="str">
        <f t="shared" ca="1" si="1"/>
        <v/>
      </c>
    </row>
    <row r="31" spans="1:12" ht="21.75" customHeight="1">
      <c r="A31" s="719"/>
      <c r="B31" s="722"/>
      <c r="C31" s="719"/>
      <c r="D31" s="723"/>
      <c r="E31" s="724"/>
      <c r="F31" s="725"/>
      <c r="G31" s="725"/>
      <c r="H31" s="725"/>
      <c r="I31" s="725"/>
      <c r="J31" s="725"/>
      <c r="K31" s="725"/>
      <c r="L31" s="725"/>
    </row>
    <row r="32" spans="1:12" ht="21.75" customHeight="1">
      <c r="A32" s="719"/>
      <c r="B32" s="722"/>
      <c r="C32" s="719"/>
      <c r="D32" s="717" t="s">
        <v>133</v>
      </c>
      <c r="E32" s="716" t="s">
        <v>19</v>
      </c>
      <c r="F32" s="718">
        <f ca="1">SUM(F15:F31)</f>
        <v>0</v>
      </c>
      <c r="G32" s="718">
        <f t="shared" ref="G32:L32" ca="1" si="2">SUM(G15:G31)</f>
        <v>0</v>
      </c>
      <c r="H32" s="718">
        <f t="shared" ca="1" si="2"/>
        <v>0</v>
      </c>
      <c r="I32" s="718">
        <f t="shared" ca="1" si="2"/>
        <v>0</v>
      </c>
      <c r="J32" s="718">
        <f t="shared" ca="1" si="2"/>
        <v>0</v>
      </c>
      <c r="K32" s="718">
        <f t="shared" ca="1" si="2"/>
        <v>0</v>
      </c>
      <c r="L32" s="718">
        <f t="shared" ca="1" si="2"/>
        <v>0</v>
      </c>
    </row>
    <row r="33" spans="1:12" ht="21.75" customHeight="1">
      <c r="A33" s="726"/>
      <c r="B33" s="724"/>
      <c r="C33" s="726"/>
      <c r="D33" s="727" t="s">
        <v>585</v>
      </c>
      <c r="E33" s="722"/>
      <c r="F33" s="728">
        <f ca="1">SUM(G33:L33)</f>
        <v>0</v>
      </c>
      <c r="G33" s="728">
        <f t="shared" ref="G33:L33" ca="1" si="3">G32</f>
        <v>0</v>
      </c>
      <c r="H33" s="728">
        <f t="shared" ca="1" si="3"/>
        <v>0</v>
      </c>
      <c r="I33" s="728">
        <f t="shared" ca="1" si="3"/>
        <v>0</v>
      </c>
      <c r="J33" s="728">
        <f t="shared" ca="1" si="3"/>
        <v>0</v>
      </c>
      <c r="K33" s="728">
        <f t="shared" ca="1" si="3"/>
        <v>0</v>
      </c>
      <c r="L33" s="728">
        <f t="shared" ca="1" si="3"/>
        <v>0</v>
      </c>
    </row>
    <row r="34" spans="1:12" ht="21.75" customHeight="1">
      <c r="A34" s="729"/>
      <c r="B34" s="729"/>
      <c r="C34" s="729"/>
      <c r="D34" s="730" t="s">
        <v>10</v>
      </c>
      <c r="E34" s="729" t="s">
        <v>19</v>
      </c>
      <c r="F34" s="731">
        <f t="shared" ref="F34:L34" ca="1" si="4">F15+F32-F33</f>
        <v>0</v>
      </c>
      <c r="G34" s="731">
        <f t="shared" ca="1" si="4"/>
        <v>0</v>
      </c>
      <c r="H34" s="731">
        <f t="shared" ca="1" si="4"/>
        <v>0</v>
      </c>
      <c r="I34" s="731">
        <f t="shared" ca="1" si="4"/>
        <v>0</v>
      </c>
      <c r="J34" s="731">
        <f t="shared" ca="1" si="4"/>
        <v>0</v>
      </c>
      <c r="K34" s="731">
        <f t="shared" ca="1" si="4"/>
        <v>0</v>
      </c>
      <c r="L34" s="731">
        <f t="shared" ca="1" si="4"/>
        <v>0</v>
      </c>
    </row>
    <row r="36" spans="1:12">
      <c r="B36" s="732"/>
      <c r="C36" s="712" t="s">
        <v>578</v>
      </c>
    </row>
    <row r="37" spans="1:12">
      <c r="C37" s="712" t="e">
        <f ca="1">"- Ngày mở sổ: "&amp;"01/"&amp;MONTH(A16)&amp;"/"&amp;YEAR(A16)</f>
        <v>#VALUE!</v>
      </c>
    </row>
    <row r="38" spans="1:12">
      <c r="E38" s="711"/>
      <c r="F38" s="711"/>
      <c r="G38" s="711"/>
      <c r="H38" s="711"/>
      <c r="I38" s="711"/>
      <c r="J38" s="105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8" s="1051"/>
      <c r="L38" s="1051"/>
    </row>
    <row r="39" spans="1:12">
      <c r="B39" s="711"/>
      <c r="C39" s="708" t="s">
        <v>11</v>
      </c>
      <c r="D39" s="711"/>
      <c r="E39" s="711"/>
      <c r="F39" s="711"/>
      <c r="G39" s="711"/>
      <c r="H39" s="711"/>
      <c r="I39" s="711"/>
      <c r="J39" s="1051" t="s">
        <v>12</v>
      </c>
      <c r="K39" s="1051"/>
      <c r="L39" s="1051"/>
    </row>
    <row r="40" spans="1:12">
      <c r="B40" s="711"/>
      <c r="C40" s="708" t="s">
        <v>13</v>
      </c>
      <c r="D40" s="711"/>
      <c r="E40" s="711"/>
      <c r="F40" s="711"/>
      <c r="G40" s="711"/>
      <c r="H40" s="711"/>
      <c r="I40" s="711"/>
      <c r="J40" s="1098" t="s">
        <v>13</v>
      </c>
      <c r="K40" s="1098"/>
      <c r="L40" s="1098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0" customWidth="1"/>
    <col min="3" max="3" width="8.5703125" style="810" customWidth="1"/>
    <col min="4" max="4" width="51.42578125" style="810" customWidth="1"/>
    <col min="5" max="5" width="8" style="810" customWidth="1"/>
    <col min="6" max="6" width="12.28515625" style="810" bestFit="1" customWidth="1"/>
    <col min="7" max="7" width="10.140625" style="810" customWidth="1"/>
    <col min="8" max="8" width="10.7109375" style="810" customWidth="1"/>
    <col min="9" max="9" width="11.42578125" style="810" customWidth="1"/>
    <col min="10" max="10" width="11.5703125" style="810" customWidth="1"/>
    <col min="11" max="11" width="11.42578125" style="810" customWidth="1"/>
    <col min="12" max="12" width="9.42578125" style="810" customWidth="1"/>
    <col min="13" max="13" width="6.7109375" style="810" customWidth="1"/>
    <col min="14" max="16384" width="9.140625" style="810"/>
  </cols>
  <sheetData>
    <row r="2" spans="1:15">
      <c r="A2" s="707" t="str">
        <f>'632'!A2</f>
        <v>Đơn vị: CÔNG TY TNHH MỘT THÀNH VIÊN KHỞI NGUYÊN AN</v>
      </c>
      <c r="F2" s="809"/>
      <c r="G2" s="809"/>
      <c r="H2" s="1096" t="s">
        <v>565</v>
      </c>
      <c r="I2" s="1096"/>
      <c r="J2" s="1096"/>
      <c r="K2" s="1096"/>
      <c r="L2" s="733"/>
    </row>
    <row r="3" spans="1:15" ht="15" customHeight="1">
      <c r="A3" s="737" t="str">
        <f>'632'!A3</f>
        <v>Địa chỉ: Thửa đất số 144, tờ bản đồ số 12TĐH.1, tổ 1, khu phố Đông Tác, Phường Tân Đông Hiệp, Thị Xã Dĩ An, Tỉnh Bình Dương, Việt Nam</v>
      </c>
      <c r="H3" s="109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99"/>
      <c r="J3" s="1099"/>
      <c r="K3" s="1099"/>
      <c r="L3" s="711"/>
    </row>
    <row r="4" spans="1:15">
      <c r="H4" s="1099"/>
      <c r="I4" s="1099"/>
      <c r="J4" s="1099"/>
      <c r="K4" s="1099"/>
      <c r="L4" s="711"/>
    </row>
    <row r="5" spans="1:15" ht="19.5" customHeight="1">
      <c r="A5" s="1097" t="s">
        <v>566</v>
      </c>
      <c r="B5" s="1097"/>
      <c r="C5" s="1097"/>
      <c r="D5" s="1097"/>
      <c r="E5" s="1097"/>
      <c r="F5" s="1097"/>
      <c r="G5" s="1097"/>
      <c r="H5" s="1097"/>
      <c r="I5" s="1097"/>
      <c r="J5" s="1097"/>
      <c r="K5" s="1097"/>
      <c r="L5" s="1097"/>
      <c r="M5" s="710" t="s">
        <v>277</v>
      </c>
      <c r="N5" s="636">
        <f>IF(N13="Quý I",1,IF(N13="Quý II",4,IF(N13="Quý III",7,IF(N13="Quý IV",10,""))))</f>
        <v>7</v>
      </c>
      <c r="O5" s="636">
        <f>IF(N13="Quý I",3,IF(N13="Quý II",6,IF(N13="Quý III",9,IF(N13="Quý IV",12,""))))</f>
        <v>9</v>
      </c>
    </row>
    <row r="6" spans="1:15">
      <c r="A6" s="1098" t="s">
        <v>567</v>
      </c>
      <c r="B6" s="1098"/>
      <c r="C6" s="1098"/>
      <c r="D6" s="1098"/>
      <c r="E6" s="1098"/>
      <c r="F6" s="1098"/>
      <c r="G6" s="1098"/>
      <c r="H6" s="1098"/>
      <c r="I6" s="1098"/>
      <c r="J6" s="1098"/>
      <c r="K6" s="1098"/>
      <c r="L6" s="1098"/>
    </row>
    <row r="7" spans="1:15">
      <c r="B7" s="711"/>
      <c r="C7" s="711"/>
      <c r="D7" s="711"/>
      <c r="E7" s="712" t="s">
        <v>785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569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570</v>
      </c>
      <c r="G9" s="713"/>
      <c r="H9" s="713"/>
      <c r="I9" s="713"/>
      <c r="J9" s="713"/>
      <c r="K9" s="713"/>
      <c r="L9" s="713"/>
    </row>
    <row r="10" spans="1:15" ht="9" customHeight="1">
      <c r="C10" s="1095"/>
      <c r="D10" s="1095"/>
      <c r="E10" s="1095"/>
      <c r="F10" s="1095"/>
      <c r="G10" s="1095"/>
      <c r="H10" s="1095"/>
      <c r="I10" s="1095"/>
      <c r="J10" s="1095"/>
      <c r="K10" s="1095"/>
      <c r="L10" s="1095"/>
    </row>
    <row r="11" spans="1:15" ht="15.75" customHeight="1">
      <c r="A11" s="1092" t="s">
        <v>20</v>
      </c>
      <c r="B11" s="1093" t="s">
        <v>1</v>
      </c>
      <c r="C11" s="1093"/>
      <c r="D11" s="1092" t="s">
        <v>0</v>
      </c>
      <c r="E11" s="1092" t="s">
        <v>223</v>
      </c>
      <c r="F11" s="1093" t="s">
        <v>784</v>
      </c>
      <c r="G11" s="1093"/>
      <c r="H11" s="1093"/>
      <c r="I11" s="1093"/>
      <c r="J11" s="1093"/>
      <c r="K11" s="1093"/>
      <c r="L11" s="1093"/>
    </row>
    <row r="12" spans="1:15" ht="15.75" customHeight="1" thickBot="1">
      <c r="A12" s="1092"/>
      <c r="B12" s="1094" t="s">
        <v>15</v>
      </c>
      <c r="C12" s="1094" t="s">
        <v>32</v>
      </c>
      <c r="D12" s="1092"/>
      <c r="E12" s="1092"/>
      <c r="F12" s="1094" t="s">
        <v>572</v>
      </c>
      <c r="G12" s="1094" t="s">
        <v>573</v>
      </c>
      <c r="H12" s="1094"/>
      <c r="I12" s="1094"/>
      <c r="J12" s="1094"/>
      <c r="K12" s="1094"/>
      <c r="L12" s="1094"/>
    </row>
    <row r="13" spans="1:15" ht="29.25" customHeight="1" thickBot="1">
      <c r="A13" s="1092"/>
      <c r="B13" s="1094"/>
      <c r="C13" s="1094"/>
      <c r="D13" s="1092"/>
      <c r="E13" s="1092"/>
      <c r="F13" s="1094"/>
      <c r="G13" s="734" t="s">
        <v>47</v>
      </c>
      <c r="H13" s="734" t="s">
        <v>24</v>
      </c>
      <c r="I13" s="734"/>
      <c r="J13" s="734"/>
      <c r="K13" s="734"/>
      <c r="L13" s="734"/>
      <c r="N13" s="736" t="s">
        <v>787</v>
      </c>
    </row>
    <row r="14" spans="1:15">
      <c r="A14" s="811" t="s">
        <v>2</v>
      </c>
      <c r="B14" s="811" t="s">
        <v>3</v>
      </c>
      <c r="C14" s="811" t="s">
        <v>4</v>
      </c>
      <c r="D14" s="811" t="s">
        <v>5</v>
      </c>
      <c r="E14" s="811" t="s">
        <v>6</v>
      </c>
      <c r="F14" s="811">
        <v>1</v>
      </c>
      <c r="G14" s="811">
        <v>2</v>
      </c>
      <c r="H14" s="811">
        <v>3</v>
      </c>
      <c r="I14" s="811">
        <v>4</v>
      </c>
      <c r="J14" s="811">
        <v>5</v>
      </c>
      <c r="K14" s="811">
        <v>6</v>
      </c>
      <c r="L14" s="811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 t="str">
        <f ca="1">IF(ROWS($1:1)&gt;COUNT(Dong13),"",OFFSET(TH!C$1,SMALL(Dong13,ROWS($1:1)),))</f>
        <v/>
      </c>
      <c r="B16" s="719" t="str">
        <f ca="1">IF(ROWS($1:1)&gt;COUNT(Dong13),"",OFFSET(TH!D$1,SMALL(Dong13,ROWS($1:1)),))</f>
        <v/>
      </c>
      <c r="C16" s="719" t="str">
        <f ca="1">IF(ROWS($1:1)&gt;COUNT(Dong13),"",OFFSET(TH!E$1,SMALL(Dong13,ROWS($1:1)),))</f>
        <v/>
      </c>
      <c r="D16" s="720" t="str">
        <f ca="1">IF(ROWS($1:1)&gt;COUNT(Dong13),"",OFFSET(TH!F$1,SMALL(Dong13,ROWS($1:1)),))</f>
        <v/>
      </c>
      <c r="E16" s="719" t="str">
        <f ca="1">IF(ROWS($1:1)&gt;COUNT(Dong13),"",OFFSET(TH!M$1,SMALL(Dong13,ROWS($1:1)),))</f>
        <v/>
      </c>
      <c r="F16" s="819" t="str">
        <f ca="1">IF(ROWS($1:1)&gt;COUNT(Dong13),"",OFFSET(TH!K$1,SMALL(Dong13,ROWS($1:1)),))</f>
        <v/>
      </c>
      <c r="G16" s="721">
        <f t="shared" ref="G16:J25" ca="1" si="0">IF($E16=G$13,$F16,0)</f>
        <v>0</v>
      </c>
      <c r="H16" s="721">
        <f t="shared" ca="1" si="0"/>
        <v>0</v>
      </c>
      <c r="I16" s="721" t="str">
        <f t="shared" ca="1" si="0"/>
        <v/>
      </c>
      <c r="J16" s="721" t="str">
        <f t="shared" ca="1" si="0"/>
        <v/>
      </c>
      <c r="K16" s="721" t="str">
        <f ca="1">IF(LEFT($E16,3)=K$13,$F16,0)</f>
        <v/>
      </c>
      <c r="L16" s="721" t="str">
        <f ca="1">IF(LEFT($E16,3)=L$13,$F16,0)</f>
        <v/>
      </c>
    </row>
    <row r="17" spans="1:12" ht="21.75" customHeight="1">
      <c r="A17" s="719" t="str">
        <f ca="1">IF(ROWS($1:2)&gt;COUNT(Dong13),"",OFFSET(TH!C$1,SMALL(Dong13,ROWS($1:2)),))</f>
        <v/>
      </c>
      <c r="B17" s="719" t="str">
        <f ca="1">IF(ROWS($1:2)&gt;COUNT(Dong13),"",OFFSET(TH!D$1,SMALL(Dong13,ROWS($1:2)),))</f>
        <v/>
      </c>
      <c r="C17" s="719" t="str">
        <f ca="1">IF(ROWS($1:2)&gt;COUNT(Dong13),"",OFFSET(TH!E$1,SMALL(Dong13,ROWS($1:2)),))</f>
        <v/>
      </c>
      <c r="D17" s="720" t="str">
        <f ca="1">IF(ROWS($1:2)&gt;COUNT(Dong13),"",OFFSET(TH!F$1,SMALL(Dong13,ROWS($1:2)),))</f>
        <v/>
      </c>
      <c r="E17" s="719" t="str">
        <f ca="1">IF(ROWS($1:2)&gt;COUNT(Dong13),"",OFFSET(TH!M$1,SMALL(Dong13,ROWS($1:2)),))</f>
        <v/>
      </c>
      <c r="F17" s="819" t="str">
        <f ca="1">IF(ROWS($1:2)&gt;COUNT(Dong13),"",OFFSET(TH!K$1,SMALL(Dong13,ROWS($1:2)),))</f>
        <v/>
      </c>
      <c r="G17" s="721">
        <f t="shared" ca="1" si="0"/>
        <v>0</v>
      </c>
      <c r="H17" s="721">
        <f t="shared" ca="1" si="0"/>
        <v>0</v>
      </c>
      <c r="I17" s="721" t="str">
        <f t="shared" ca="1" si="0"/>
        <v/>
      </c>
      <c r="J17" s="721" t="str">
        <f t="shared" ca="1" si="0"/>
        <v/>
      </c>
      <c r="K17" s="721" t="str">
        <f t="shared" ref="K17:L25" ca="1" si="1">IF(LEFT($E17,3)=K$13,$F17,0)</f>
        <v/>
      </c>
      <c r="L17" s="721" t="str">
        <f t="shared" ca="1" si="1"/>
        <v/>
      </c>
    </row>
    <row r="18" spans="1:12" ht="21.75" customHeight="1">
      <c r="A18" s="719" t="str">
        <f ca="1">IF(ROWS($1:3)&gt;COUNT(Dong13),"",OFFSET(TH!C$1,SMALL(Dong13,ROWS($1:3)),))</f>
        <v/>
      </c>
      <c r="B18" s="719" t="str">
        <f ca="1">IF(ROWS($1:3)&gt;COUNT(Dong13),"",OFFSET(TH!D$1,SMALL(Dong13,ROWS($1:3)),))</f>
        <v/>
      </c>
      <c r="C18" s="719" t="str">
        <f ca="1">IF(ROWS($1:3)&gt;COUNT(Dong13),"",OFFSET(TH!E$1,SMALL(Dong13,ROWS($1:3)),))</f>
        <v/>
      </c>
      <c r="D18" s="720" t="str">
        <f ca="1">IF(ROWS($1:3)&gt;COUNT(Dong13),"",OFFSET(TH!F$1,SMALL(Dong13,ROWS($1:3)),))</f>
        <v/>
      </c>
      <c r="E18" s="719" t="str">
        <f ca="1">IF(ROWS($1:3)&gt;COUNT(Dong13),"",OFFSET(TH!M$1,SMALL(Dong13,ROWS($1:3)),))</f>
        <v/>
      </c>
      <c r="F18" s="819" t="str">
        <f ca="1">IF(ROWS($1:3)&gt;COUNT(Dong13),"",OFFSET(TH!K$1,SMALL(Dong13,ROWS($1:3)),))</f>
        <v/>
      </c>
      <c r="G18" s="721">
        <f t="shared" ca="1" si="0"/>
        <v>0</v>
      </c>
      <c r="H18" s="721">
        <f t="shared" ca="1" si="0"/>
        <v>0</v>
      </c>
      <c r="I18" s="721" t="str">
        <f t="shared" ca="1" si="0"/>
        <v/>
      </c>
      <c r="J18" s="721" t="str">
        <f t="shared" ca="1" si="0"/>
        <v/>
      </c>
      <c r="K18" s="721" t="str">
        <f t="shared" ca="1" si="1"/>
        <v/>
      </c>
      <c r="L18" s="721" t="str">
        <f t="shared" ca="1" si="1"/>
        <v/>
      </c>
    </row>
    <row r="19" spans="1:12" ht="21.75" customHeight="1">
      <c r="A19" s="719" t="str">
        <f ca="1">IF(ROWS($1:4)&gt;COUNT(Dong13),"",OFFSET(TH!C$1,SMALL(Dong13,ROWS($1:4)),))</f>
        <v/>
      </c>
      <c r="B19" s="719" t="str">
        <f ca="1">IF(ROWS($1:4)&gt;COUNT(Dong13),"",OFFSET(TH!D$1,SMALL(Dong13,ROWS($1:4)),))</f>
        <v/>
      </c>
      <c r="C19" s="719" t="str">
        <f ca="1">IF(ROWS($1:4)&gt;COUNT(Dong13),"",OFFSET(TH!E$1,SMALL(Dong13,ROWS($1:4)),))</f>
        <v/>
      </c>
      <c r="D19" s="720" t="str">
        <f ca="1">IF(ROWS($1:4)&gt;COUNT(Dong13),"",OFFSET(TH!F$1,SMALL(Dong13,ROWS($1:4)),))</f>
        <v/>
      </c>
      <c r="E19" s="719" t="str">
        <f ca="1">IF(ROWS($1:4)&gt;COUNT(Dong13),"",OFFSET(TH!M$1,SMALL(Dong13,ROWS($1:4)),))</f>
        <v/>
      </c>
      <c r="F19" s="819" t="str">
        <f ca="1">IF(ROWS($1:4)&gt;COUNT(Dong13),"",OFFSET(TH!K$1,SMALL(Dong13,ROWS($1:4)),))</f>
        <v/>
      </c>
      <c r="G19" s="721">
        <f t="shared" ca="1" si="0"/>
        <v>0</v>
      </c>
      <c r="H19" s="721">
        <f t="shared" ca="1" si="0"/>
        <v>0</v>
      </c>
      <c r="I19" s="721" t="str">
        <f t="shared" ca="1" si="0"/>
        <v/>
      </c>
      <c r="J19" s="721" t="str">
        <f t="shared" ca="1" si="0"/>
        <v/>
      </c>
      <c r="K19" s="721" t="str">
        <f t="shared" ca="1" si="1"/>
        <v/>
      </c>
      <c r="L19" s="721" t="str">
        <f t="shared" ca="1" si="1"/>
        <v/>
      </c>
    </row>
    <row r="20" spans="1:12" ht="21.75" customHeight="1">
      <c r="A20" s="719" t="str">
        <f ca="1">IF(ROWS($1:5)&gt;COUNT(Dong13),"",OFFSET(TH!C$1,SMALL(Dong13,ROWS($1:5)),))</f>
        <v/>
      </c>
      <c r="B20" s="719" t="str">
        <f ca="1">IF(ROWS($1:5)&gt;COUNT(Dong13),"",OFFSET(TH!D$1,SMALL(Dong13,ROWS($1:5)),))</f>
        <v/>
      </c>
      <c r="C20" s="719" t="str">
        <f ca="1">IF(ROWS($1:5)&gt;COUNT(Dong13),"",OFFSET(TH!E$1,SMALL(Dong13,ROWS($1:5)),))</f>
        <v/>
      </c>
      <c r="D20" s="720" t="str">
        <f ca="1">IF(ROWS($1:5)&gt;COUNT(Dong13),"",OFFSET(TH!F$1,SMALL(Dong13,ROWS($1:5)),))</f>
        <v/>
      </c>
      <c r="E20" s="719" t="str">
        <f ca="1">IF(ROWS($1:5)&gt;COUNT(Dong13),"",OFFSET(TH!M$1,SMALL(Dong13,ROWS($1:5)),))</f>
        <v/>
      </c>
      <c r="F20" s="819" t="str">
        <f ca="1">IF(ROWS($1:5)&gt;COUNT(Dong13),"",OFFSET(TH!K$1,SMALL(Dong13,ROWS($1:5)),))</f>
        <v/>
      </c>
      <c r="G20" s="721">
        <f t="shared" ca="1" si="0"/>
        <v>0</v>
      </c>
      <c r="H20" s="721">
        <f t="shared" ca="1" si="0"/>
        <v>0</v>
      </c>
      <c r="I20" s="721" t="str">
        <f t="shared" ca="1" si="0"/>
        <v/>
      </c>
      <c r="J20" s="721" t="str">
        <f t="shared" ca="1" si="0"/>
        <v/>
      </c>
      <c r="K20" s="721" t="str">
        <f t="shared" ca="1" si="1"/>
        <v/>
      </c>
      <c r="L20" s="721" t="str">
        <f t="shared" ca="1" si="1"/>
        <v/>
      </c>
    </row>
    <row r="21" spans="1:12" ht="21.75" customHeight="1">
      <c r="A21" s="719" t="str">
        <f ca="1">IF(ROWS($1:6)&gt;COUNT(Dong13),"",OFFSET(TH!C$1,SMALL(Dong13,ROWS($1:6)),))</f>
        <v/>
      </c>
      <c r="B21" s="719" t="str">
        <f ca="1">IF(ROWS($1:6)&gt;COUNT(Dong13),"",OFFSET(TH!D$1,SMALL(Dong13,ROWS($1:6)),))</f>
        <v/>
      </c>
      <c r="C21" s="719" t="str">
        <f ca="1">IF(ROWS($1:6)&gt;COUNT(Dong13),"",OFFSET(TH!E$1,SMALL(Dong13,ROWS($1:6)),))</f>
        <v/>
      </c>
      <c r="D21" s="720" t="str">
        <f ca="1">IF(ROWS($1:6)&gt;COUNT(Dong13),"",OFFSET(TH!F$1,SMALL(Dong13,ROWS($1:6)),))</f>
        <v/>
      </c>
      <c r="E21" s="719" t="str">
        <f ca="1">IF(ROWS($1:6)&gt;COUNT(Dong13),"",OFFSET(TH!M$1,SMALL(Dong13,ROWS($1:6)),))</f>
        <v/>
      </c>
      <c r="F21" s="819" t="str">
        <f ca="1">IF(ROWS($1:6)&gt;COUNT(Dong13),"",OFFSET(TH!K$1,SMALL(Dong13,ROWS($1:6)),))</f>
        <v/>
      </c>
      <c r="G21" s="721">
        <f t="shared" ca="1" si="0"/>
        <v>0</v>
      </c>
      <c r="H21" s="721">
        <f t="shared" ca="1" si="0"/>
        <v>0</v>
      </c>
      <c r="I21" s="721" t="str">
        <f t="shared" ca="1" si="0"/>
        <v/>
      </c>
      <c r="J21" s="721" t="str">
        <f t="shared" ca="1" si="0"/>
        <v/>
      </c>
      <c r="K21" s="721" t="str">
        <f t="shared" ca="1" si="1"/>
        <v/>
      </c>
      <c r="L21" s="721" t="str">
        <f t="shared" ca="1" si="1"/>
        <v/>
      </c>
    </row>
    <row r="22" spans="1:12" ht="21.75" customHeight="1">
      <c r="A22" s="719" t="str">
        <f ca="1">IF(ROWS($1:7)&gt;COUNT(Dong13),"",OFFSET(TH!C$1,SMALL(Dong13,ROWS($1:7)),))</f>
        <v/>
      </c>
      <c r="B22" s="719" t="str">
        <f ca="1">IF(ROWS($1:7)&gt;COUNT(Dong13),"",OFFSET(TH!D$1,SMALL(Dong13,ROWS($1:7)),))</f>
        <v/>
      </c>
      <c r="C22" s="719" t="str">
        <f ca="1">IF(ROWS($1:7)&gt;COUNT(Dong13),"",OFFSET(TH!E$1,SMALL(Dong13,ROWS($1:7)),))</f>
        <v/>
      </c>
      <c r="D22" s="720" t="str">
        <f ca="1">IF(ROWS($1:7)&gt;COUNT(Dong13),"",OFFSET(TH!F$1,SMALL(Dong13,ROWS($1:7)),))</f>
        <v/>
      </c>
      <c r="E22" s="719" t="str">
        <f ca="1">IF(ROWS($1:7)&gt;COUNT(Dong13),"",OFFSET(TH!M$1,SMALL(Dong13,ROWS($1:7)),))</f>
        <v/>
      </c>
      <c r="F22" s="819" t="str">
        <f ca="1">IF(ROWS($1:7)&gt;COUNT(Dong13),"",OFFSET(TH!K$1,SMALL(Dong13,ROWS($1:7)),))</f>
        <v/>
      </c>
      <c r="G22" s="721">
        <f t="shared" ca="1" si="0"/>
        <v>0</v>
      </c>
      <c r="H22" s="721">
        <f t="shared" ca="1" si="0"/>
        <v>0</v>
      </c>
      <c r="I22" s="721" t="str">
        <f t="shared" ca="1" si="0"/>
        <v/>
      </c>
      <c r="J22" s="721" t="str">
        <f t="shared" ca="1" si="0"/>
        <v/>
      </c>
      <c r="K22" s="721" t="str">
        <f t="shared" ca="1" si="1"/>
        <v/>
      </c>
      <c r="L22" s="721" t="str">
        <f t="shared" ca="1" si="1"/>
        <v/>
      </c>
    </row>
    <row r="23" spans="1:12" ht="21.75" customHeight="1">
      <c r="A23" s="719" t="str">
        <f ca="1">IF(ROWS($1:8)&gt;COUNT(Dong13),"",OFFSET(TH!C$1,SMALL(Dong13,ROWS($1:8)),))</f>
        <v/>
      </c>
      <c r="B23" s="719" t="str">
        <f ca="1">IF(ROWS($1:8)&gt;COUNT(Dong13),"",OFFSET(TH!D$1,SMALL(Dong13,ROWS($1:8)),))</f>
        <v/>
      </c>
      <c r="C23" s="719" t="str">
        <f ca="1">IF(ROWS($1:8)&gt;COUNT(Dong13),"",OFFSET(TH!E$1,SMALL(Dong13,ROWS($1:8)),))</f>
        <v/>
      </c>
      <c r="D23" s="720" t="str">
        <f ca="1">IF(ROWS($1:8)&gt;COUNT(Dong13),"",OFFSET(TH!F$1,SMALL(Dong13,ROWS($1:8)),))</f>
        <v/>
      </c>
      <c r="E23" s="719" t="str">
        <f ca="1">IF(ROWS($1:8)&gt;COUNT(Dong13),"",OFFSET(TH!M$1,SMALL(Dong13,ROWS($1:8)),))</f>
        <v/>
      </c>
      <c r="F23" s="819" t="str">
        <f ca="1">IF(ROWS($1:8)&gt;COUNT(Dong13),"",OFFSET(TH!K$1,SMALL(Dong13,ROWS($1:8)),))</f>
        <v/>
      </c>
      <c r="G23" s="721">
        <f t="shared" ca="1" si="0"/>
        <v>0</v>
      </c>
      <c r="H23" s="721">
        <f t="shared" ca="1" si="0"/>
        <v>0</v>
      </c>
      <c r="I23" s="721" t="str">
        <f t="shared" ca="1" si="0"/>
        <v/>
      </c>
      <c r="J23" s="721" t="str">
        <f t="shared" ca="1" si="0"/>
        <v/>
      </c>
      <c r="K23" s="721" t="str">
        <f t="shared" ca="1" si="1"/>
        <v/>
      </c>
      <c r="L23" s="721" t="str">
        <f t="shared" ca="1" si="1"/>
        <v/>
      </c>
    </row>
    <row r="24" spans="1:12" ht="21.75" customHeight="1">
      <c r="A24" s="719" t="str">
        <f ca="1">IF(ROWS($1:9)&gt;COUNT(Dong13),"",OFFSET(TH!C$1,SMALL(Dong13,ROWS($1:9)),))</f>
        <v/>
      </c>
      <c r="B24" s="719" t="str">
        <f ca="1">IF(ROWS($1:9)&gt;COUNT(Dong13),"",OFFSET(TH!D$1,SMALL(Dong13,ROWS($1:9)),))</f>
        <v/>
      </c>
      <c r="C24" s="719" t="str">
        <f ca="1">IF(ROWS($1:9)&gt;COUNT(Dong13),"",OFFSET(TH!E$1,SMALL(Dong13,ROWS($1:9)),))</f>
        <v/>
      </c>
      <c r="D24" s="720" t="str">
        <f ca="1">IF(ROWS($1:9)&gt;COUNT(Dong13),"",OFFSET(TH!F$1,SMALL(Dong13,ROWS($1:9)),))</f>
        <v/>
      </c>
      <c r="E24" s="719" t="str">
        <f ca="1">IF(ROWS($1:9)&gt;COUNT(Dong13),"",OFFSET(TH!M$1,SMALL(Dong13,ROWS($1:9)),))</f>
        <v/>
      </c>
      <c r="F24" s="819" t="str">
        <f ca="1">IF(ROWS($1:9)&gt;COUNT(Dong13),"",OFFSET(TH!K$1,SMALL(Dong13,ROWS($1:9)),))</f>
        <v/>
      </c>
      <c r="G24" s="721">
        <f t="shared" ca="1" si="0"/>
        <v>0</v>
      </c>
      <c r="H24" s="721">
        <f t="shared" ca="1" si="0"/>
        <v>0</v>
      </c>
      <c r="I24" s="721" t="str">
        <f t="shared" ca="1" si="0"/>
        <v/>
      </c>
      <c r="J24" s="721" t="str">
        <f t="shared" ca="1" si="0"/>
        <v/>
      </c>
      <c r="K24" s="721" t="str">
        <f t="shared" ca="1" si="1"/>
        <v/>
      </c>
      <c r="L24" s="721" t="str">
        <f t="shared" ca="1" si="1"/>
        <v/>
      </c>
    </row>
    <row r="25" spans="1:12" ht="21.75" customHeight="1">
      <c r="A25" s="719" t="str">
        <f ca="1">IF(ROWS($1:10)&gt;COUNT(Dong13),"",OFFSET(TH!C$1,SMALL(Dong13,ROWS($1:10)),))</f>
        <v/>
      </c>
      <c r="B25" s="719" t="str">
        <f ca="1">IF(ROWS($1:10)&gt;COUNT(Dong13),"",OFFSET(TH!D$1,SMALL(Dong13,ROWS($1:10)),))</f>
        <v/>
      </c>
      <c r="C25" s="719" t="str">
        <f ca="1">IF(ROWS($1:10)&gt;COUNT(Dong13),"",OFFSET(TH!E$1,SMALL(Dong13,ROWS($1:10)),))</f>
        <v/>
      </c>
      <c r="D25" s="720" t="str">
        <f ca="1">IF(ROWS($1:10)&gt;COUNT(Dong13),"",OFFSET(TH!F$1,SMALL(Dong13,ROWS($1:10)),))</f>
        <v/>
      </c>
      <c r="E25" s="719" t="str">
        <f ca="1">IF(ROWS($1:10)&gt;COUNT(Dong13),"",OFFSET(TH!M$1,SMALL(Dong13,ROWS($1:10)),))</f>
        <v/>
      </c>
      <c r="F25" s="819" t="str">
        <f ca="1">IF(ROWS($1:10)&gt;COUNT(Dong13),"",OFFSET(TH!K$1,SMALL(Dong13,ROWS($1:10)),))</f>
        <v/>
      </c>
      <c r="G25" s="721">
        <f t="shared" ca="1" si="0"/>
        <v>0</v>
      </c>
      <c r="H25" s="721">
        <f t="shared" ca="1" si="0"/>
        <v>0</v>
      </c>
      <c r="I25" s="721" t="str">
        <f t="shared" ca="1" si="0"/>
        <v/>
      </c>
      <c r="J25" s="721" t="str">
        <f t="shared" ca="1" si="0"/>
        <v/>
      </c>
      <c r="K25" s="721" t="str">
        <f t="shared" ca="1" si="1"/>
        <v/>
      </c>
      <c r="L25" s="721" t="str">
        <f t="shared" ca="1" si="1"/>
        <v/>
      </c>
    </row>
    <row r="26" spans="1:12" ht="21.75" customHeight="1">
      <c r="A26" s="719"/>
      <c r="B26" s="722"/>
      <c r="C26" s="719"/>
      <c r="D26" s="723"/>
      <c r="E26" s="724"/>
      <c r="F26" s="725"/>
      <c r="G26" s="725"/>
      <c r="H26" s="725"/>
      <c r="I26" s="725"/>
      <c r="J26" s="725"/>
      <c r="K26" s="725"/>
      <c r="L26" s="725"/>
    </row>
    <row r="27" spans="1:12" ht="21.75" customHeight="1">
      <c r="A27" s="719"/>
      <c r="B27" s="722"/>
      <c r="C27" s="719"/>
      <c r="D27" s="717" t="s">
        <v>133</v>
      </c>
      <c r="E27" s="716" t="s">
        <v>19</v>
      </c>
      <c r="F27" s="718">
        <f t="shared" ref="F27:L27" ca="1" si="2">SUM(F15:F26)</f>
        <v>0</v>
      </c>
      <c r="G27" s="718">
        <f t="shared" ca="1" si="2"/>
        <v>0</v>
      </c>
      <c r="H27" s="718">
        <f t="shared" ca="1" si="2"/>
        <v>0</v>
      </c>
      <c r="I27" s="718">
        <f t="shared" ca="1" si="2"/>
        <v>0</v>
      </c>
      <c r="J27" s="718">
        <f t="shared" ca="1" si="2"/>
        <v>0</v>
      </c>
      <c r="K27" s="718">
        <f t="shared" ca="1" si="2"/>
        <v>0</v>
      </c>
      <c r="L27" s="718">
        <f t="shared" ca="1" si="2"/>
        <v>0</v>
      </c>
    </row>
    <row r="28" spans="1:12" ht="21.75" customHeight="1">
      <c r="A28" s="726"/>
      <c r="B28" s="724"/>
      <c r="C28" s="726"/>
      <c r="D28" s="727" t="s">
        <v>786</v>
      </c>
      <c r="E28" s="722"/>
      <c r="F28" s="718">
        <f ca="1">SUM(G28:L28)</f>
        <v>0</v>
      </c>
      <c r="G28" s="728">
        <f t="shared" ref="G28:L28" ca="1" si="3">G27</f>
        <v>0</v>
      </c>
      <c r="H28" s="728">
        <f t="shared" ca="1" si="3"/>
        <v>0</v>
      </c>
      <c r="I28" s="728">
        <f t="shared" ca="1" si="3"/>
        <v>0</v>
      </c>
      <c r="J28" s="728">
        <f t="shared" ca="1" si="3"/>
        <v>0</v>
      </c>
      <c r="K28" s="728">
        <f t="shared" ca="1" si="3"/>
        <v>0</v>
      </c>
      <c r="L28" s="728">
        <f t="shared" ca="1" si="3"/>
        <v>0</v>
      </c>
    </row>
    <row r="29" spans="1:12" ht="21.75" customHeight="1">
      <c r="A29" s="729"/>
      <c r="B29" s="729"/>
      <c r="C29" s="729"/>
      <c r="D29" s="730" t="s">
        <v>10</v>
      </c>
      <c r="E29" s="729" t="s">
        <v>19</v>
      </c>
      <c r="F29" s="731">
        <f t="shared" ref="F29:L29" ca="1" si="4">F15+F27-F28</f>
        <v>0</v>
      </c>
      <c r="G29" s="731">
        <f t="shared" ca="1" si="4"/>
        <v>0</v>
      </c>
      <c r="H29" s="731">
        <f t="shared" ca="1" si="4"/>
        <v>0</v>
      </c>
      <c r="I29" s="731">
        <f t="shared" ca="1" si="4"/>
        <v>0</v>
      </c>
      <c r="J29" s="731">
        <f t="shared" ca="1" si="4"/>
        <v>0</v>
      </c>
      <c r="K29" s="731">
        <f t="shared" ca="1" si="4"/>
        <v>0</v>
      </c>
      <c r="L29" s="731">
        <f t="shared" ca="1" si="4"/>
        <v>0</v>
      </c>
    </row>
    <row r="31" spans="1:12">
      <c r="B31" s="732"/>
      <c r="C31" s="712" t="s">
        <v>578</v>
      </c>
    </row>
    <row r="32" spans="1:12">
      <c r="C32" s="712" t="e">
        <f ca="1">"- Ngày mở sổ: "&amp;"01/"&amp;MONTH(A16)&amp;"/"&amp;YEAR(A16)</f>
        <v>#VALUE!</v>
      </c>
    </row>
    <row r="33" spans="2:12">
      <c r="E33" s="711"/>
      <c r="F33" s="711"/>
      <c r="G33" s="711"/>
      <c r="H33" s="711"/>
      <c r="I33" s="711"/>
      <c r="J33" s="105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51"/>
      <c r="L33" s="1051"/>
    </row>
    <row r="34" spans="2:12">
      <c r="B34" s="711"/>
      <c r="C34" s="810" t="s">
        <v>11</v>
      </c>
      <c r="D34" s="711"/>
      <c r="E34" s="711"/>
      <c r="F34" s="711"/>
      <c r="G34" s="711"/>
      <c r="H34" s="711"/>
      <c r="I34" s="711"/>
      <c r="J34" s="1051" t="s">
        <v>12</v>
      </c>
      <c r="K34" s="1051"/>
      <c r="L34" s="1051"/>
    </row>
    <row r="35" spans="2:12">
      <c r="B35" s="711"/>
      <c r="C35" s="810" t="s">
        <v>13</v>
      </c>
      <c r="D35" s="711"/>
      <c r="E35" s="711"/>
      <c r="F35" s="711"/>
      <c r="G35" s="711"/>
      <c r="H35" s="711"/>
      <c r="I35" s="711"/>
      <c r="J35" s="1098" t="s">
        <v>13</v>
      </c>
      <c r="K35" s="1098"/>
      <c r="L35" s="1098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82" t="str">
        <f>TH!$A$1</f>
        <v>Đơn vị: CÔNG TY TNHH MỘT THÀNH VIÊN KHỞI NGUYÊN AN</v>
      </c>
      <c r="D1" s="884"/>
      <c r="E1" s="884"/>
      <c r="F1" s="884"/>
      <c r="G1" s="884"/>
      <c r="I1" s="1102"/>
      <c r="J1" s="1102"/>
      <c r="K1" s="1102"/>
      <c r="L1" s="1102"/>
    </row>
    <row r="2" spans="1:12" ht="21.75" customHeight="1">
      <c r="A2" s="883" t="str">
        <f>TH!$A$2</f>
        <v>Địa chỉ: Thửa đất số 144, tờ bản đồ số 12TĐH.1, tổ 1, khu phố Đông Tác, Phường Tân Đông Hiệp, Thị Xã Dĩ An, Tỉnh Bình Dương, Việt Nam</v>
      </c>
      <c r="D2" s="884"/>
      <c r="E2" s="884"/>
      <c r="F2" s="884"/>
      <c r="G2" s="884"/>
      <c r="I2" s="1102"/>
      <c r="J2" s="1102"/>
      <c r="K2" s="1102"/>
      <c r="L2" s="1102"/>
    </row>
    <row r="3" spans="1:12">
      <c r="D3" s="1102"/>
      <c r="E3" s="1102"/>
      <c r="F3" s="1102"/>
      <c r="G3" s="1102"/>
      <c r="I3" s="1102"/>
      <c r="J3" s="1102"/>
      <c r="K3" s="1102"/>
      <c r="L3" s="1102"/>
    </row>
    <row r="14" spans="1:12" ht="40.5" customHeight="1">
      <c r="H14" s="247"/>
      <c r="I14" s="247"/>
      <c r="J14" s="247"/>
    </row>
    <row r="16" spans="1:12" ht="29.25" customHeight="1">
      <c r="A16" s="1100" t="s">
        <v>928</v>
      </c>
      <c r="B16" s="1100"/>
      <c r="C16" s="1100"/>
      <c r="D16" s="1100"/>
      <c r="E16" s="1100"/>
      <c r="F16" s="1100"/>
      <c r="G16" s="1100"/>
    </row>
    <row r="17" spans="1:9" ht="6" customHeight="1">
      <c r="H17" s="248"/>
      <c r="I17" s="248"/>
    </row>
    <row r="18" spans="1:9" ht="20.25">
      <c r="A18" s="1101" t="s">
        <v>927</v>
      </c>
      <c r="B18" s="1101"/>
      <c r="C18" s="1101"/>
      <c r="D18" s="1101"/>
      <c r="E18" s="1101"/>
      <c r="F18" s="1101"/>
      <c r="G18" s="1101"/>
    </row>
    <row r="19" spans="1:9" ht="64.5" customHeight="1"/>
    <row r="22" spans="1:9" ht="22.5" customHeight="1">
      <c r="B22" s="249" t="s">
        <v>930</v>
      </c>
    </row>
    <row r="23" spans="1:9" ht="22.5" customHeight="1">
      <c r="B23" s="249" t="s">
        <v>929</v>
      </c>
    </row>
    <row r="24" spans="1:9" ht="22.5" customHeight="1">
      <c r="B24" s="249" t="s">
        <v>931</v>
      </c>
    </row>
    <row r="25" spans="1:9" ht="22.5" customHeight="1">
      <c r="B25" s="249" t="s">
        <v>934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76" t="str">
        <f>TH!$A$1</f>
        <v>Đơn vị: CÔNG TY TNHH MỘT THÀNH VIÊN KHỞI NGUYÊN AN</v>
      </c>
      <c r="D1" s="1102"/>
      <c r="E1" s="1102"/>
      <c r="F1" s="1102"/>
      <c r="G1" s="1102"/>
    </row>
    <row r="2" spans="1:10">
      <c r="A2" s="877" t="str">
        <f>TH!$A$2</f>
        <v>Địa chỉ: Thửa đất số 144, tờ bản đồ số 12TĐH.1, tổ 1, khu phố Đông Tác, Phường Tân Đông Hiệp, Thị Xã Dĩ An, Tỉnh Bình Dương, Việt Nam</v>
      </c>
      <c r="D2" s="1102"/>
      <c r="E2" s="1102"/>
      <c r="F2" s="1102"/>
      <c r="G2" s="1102"/>
    </row>
    <row r="3" spans="1:10">
      <c r="D3" s="1102"/>
      <c r="E3" s="1102"/>
      <c r="F3" s="1102"/>
      <c r="G3" s="1102"/>
    </row>
    <row r="8" spans="1:10" ht="74.25" customHeight="1">
      <c r="H8" s="247"/>
      <c r="I8" s="247"/>
      <c r="J8" s="247"/>
    </row>
    <row r="10" spans="1:10" ht="29.25" customHeight="1">
      <c r="A10" s="1100" t="s">
        <v>932</v>
      </c>
      <c r="B10" s="1100"/>
      <c r="C10" s="1100"/>
      <c r="D10" s="1100"/>
      <c r="E10" s="1100"/>
      <c r="F10" s="1100"/>
      <c r="G10" s="1100"/>
    </row>
    <row r="11" spans="1:10" ht="18.75" customHeight="1">
      <c r="H11" s="248"/>
      <c r="I11" s="248"/>
    </row>
    <row r="12" spans="1:10" ht="20.25">
      <c r="A12" s="1101" t="s">
        <v>927</v>
      </c>
      <c r="B12" s="1101"/>
      <c r="C12" s="1101"/>
      <c r="D12" s="1101"/>
      <c r="E12" s="1101"/>
      <c r="F12" s="1101"/>
      <c r="G12" s="1101"/>
    </row>
    <row r="13" spans="1:10" ht="18.75" customHeight="1">
      <c r="B13" s="246" t="s">
        <v>935</v>
      </c>
    </row>
    <row r="14" spans="1:10" ht="18.75" customHeight="1">
      <c r="B14" s="246" t="s">
        <v>936</v>
      </c>
    </row>
    <row r="15" spans="1:10" ht="18.75" customHeight="1">
      <c r="B15" s="246" t="s">
        <v>937</v>
      </c>
    </row>
    <row r="16" spans="1:10" ht="18.75" customHeight="1">
      <c r="B16" s="246" t="s">
        <v>938</v>
      </c>
    </row>
    <row r="17" spans="2:2" ht="18.75" customHeight="1">
      <c r="B17" s="246" t="s">
        <v>939</v>
      </c>
    </row>
    <row r="18" spans="2:2" ht="18.75" customHeight="1">
      <c r="B18" s="246" t="s">
        <v>940</v>
      </c>
    </row>
    <row r="19" spans="2:2" ht="18.75" customHeight="1">
      <c r="B19" s="246" t="s">
        <v>941</v>
      </c>
    </row>
    <row r="20" spans="2:2" ht="18.75" customHeight="1">
      <c r="B20" s="246" t="s">
        <v>933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2016-07-12T04:11:05Z</dcterms:modified>
</cp:coreProperties>
</file>