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210" windowWidth="15150" windowHeight="8580" tabRatio="897" activeTab="1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1" r:id="rId6"/>
    <sheet name="L - 7" sheetId="32" r:id="rId7"/>
    <sheet name="CC -8" sheetId="29" r:id="rId8"/>
    <sheet name="L - 8" sheetId="30" r:id="rId9"/>
    <sheet name="CC -9" sheetId="27" r:id="rId10"/>
    <sheet name="L - 9" sheetId="28" r:id="rId11"/>
    <sheet name="CC -10" sheetId="25" r:id="rId12"/>
    <sheet name="L - 10" sheetId="26" r:id="rId13"/>
    <sheet name="CC -11" sheetId="23" r:id="rId14"/>
    <sheet name="L - 11" sheetId="24" r:id="rId15"/>
    <sheet name="CC -12" sheetId="21" r:id="rId16"/>
    <sheet name="L - 12" sheetId="22" r:id="rId17"/>
  </sheets>
  <definedNames>
    <definedName name="____a1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7" hidden="1">'CC -8'!$A$7:$AS$7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TH!$A$10:$Z$18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TH!$B$11:$X$23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11">'CC -10'!$A$1:$AS$47</definedName>
    <definedName name="_xlnm.Print_Area" localSheetId="13">'CC -11'!$A$1:$AS$47</definedName>
    <definedName name="_xlnm.Print_Area" localSheetId="15">'CC -12'!$A$1:$AS$47</definedName>
    <definedName name="_xlnm.Print_Area" localSheetId="1">'CC -5'!$A$1:$AS$47</definedName>
    <definedName name="_xlnm.Print_Area" localSheetId="3">'CC -6'!$A$1:$AS$47</definedName>
    <definedName name="_xlnm.Print_Area" localSheetId="5">'CC -7'!$A$1:$AS$47</definedName>
    <definedName name="_xlnm.Print_Area" localSheetId="7">'CC -8'!$A$1:$AS$47</definedName>
    <definedName name="_xlnm.Print_Area" localSheetId="9">'CC -9'!$A$1:$AS$47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R18" i="34" l="1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5" i="34"/>
  <c r="P15" i="34"/>
  <c r="O15" i="34"/>
  <c r="N15" i="34"/>
  <c r="E15" i="34"/>
  <c r="D15" i="34"/>
  <c r="C15" i="34"/>
  <c r="R14" i="34"/>
  <c r="P14" i="34"/>
  <c r="O14" i="34"/>
  <c r="N14" i="34"/>
  <c r="E14" i="34"/>
  <c r="D14" i="34"/>
  <c r="C14" i="34"/>
  <c r="R13" i="34"/>
  <c r="P13" i="34"/>
  <c r="O13" i="34"/>
  <c r="N13" i="34"/>
  <c r="E13" i="34"/>
  <c r="D13" i="34"/>
  <c r="C13" i="34"/>
  <c r="R11" i="34"/>
  <c r="P11" i="34"/>
  <c r="O11" i="34"/>
  <c r="N11" i="34"/>
  <c r="E11" i="34"/>
  <c r="D11" i="34"/>
  <c r="C11" i="34"/>
  <c r="R10" i="34"/>
  <c r="R20" i="34" s="1"/>
  <c r="P10" i="34"/>
  <c r="P20" i="34" s="1"/>
  <c r="O10" i="34"/>
  <c r="O20" i="34" s="1"/>
  <c r="N10" i="34"/>
  <c r="N20" i="34" s="1"/>
  <c r="E10" i="34"/>
  <c r="E20" i="34" s="1"/>
  <c r="D10" i="34"/>
  <c r="C10" i="34"/>
  <c r="E4" i="34"/>
  <c r="S22" i="34" s="1"/>
  <c r="A3" i="34"/>
  <c r="A2" i="34"/>
  <c r="AL24" i="33"/>
  <c r="D24" i="33"/>
  <c r="C24" i="33"/>
  <c r="AL22" i="33"/>
  <c r="D22" i="33"/>
  <c r="C22" i="33"/>
  <c r="AL20" i="33"/>
  <c r="D20" i="33"/>
  <c r="C20" i="33"/>
  <c r="AL18" i="33"/>
  <c r="D18" i="33"/>
  <c r="C18" i="33"/>
  <c r="AL16" i="33"/>
  <c r="D16" i="33"/>
  <c r="C16" i="33"/>
  <c r="A16" i="33"/>
  <c r="A18" i="33" s="1"/>
  <c r="A20" i="33" s="1"/>
  <c r="A22" i="33" s="1"/>
  <c r="A24" i="33" s="1"/>
  <c r="AL14" i="33"/>
  <c r="D14" i="33"/>
  <c r="C14" i="33"/>
  <c r="AL11" i="33"/>
  <c r="D11" i="33"/>
  <c r="C11" i="33"/>
  <c r="A11" i="33"/>
  <c r="AL9" i="33"/>
  <c r="D9" i="33"/>
  <c r="C9" i="33"/>
  <c r="F6" i="33"/>
  <c r="F5" i="33"/>
  <c r="G5" i="33" s="1"/>
  <c r="A3" i="33"/>
  <c r="A2" i="33"/>
  <c r="S1" i="33"/>
  <c r="R18" i="32"/>
  <c r="P18" i="32"/>
  <c r="O18" i="32"/>
  <c r="N18" i="32"/>
  <c r="E18" i="32"/>
  <c r="D18" i="32"/>
  <c r="C18" i="32"/>
  <c r="R17" i="32"/>
  <c r="P17" i="32"/>
  <c r="O17" i="32"/>
  <c r="N17" i="32"/>
  <c r="E17" i="32"/>
  <c r="D17" i="32"/>
  <c r="C17" i="32"/>
  <c r="R16" i="32"/>
  <c r="P16" i="32"/>
  <c r="O16" i="32"/>
  <c r="N16" i="32"/>
  <c r="E16" i="32"/>
  <c r="D16" i="32"/>
  <c r="C16" i="32"/>
  <c r="R15" i="32"/>
  <c r="P15" i="32"/>
  <c r="O15" i="32"/>
  <c r="N15" i="32"/>
  <c r="E15" i="32"/>
  <c r="D15" i="32"/>
  <c r="C15" i="32"/>
  <c r="R14" i="32"/>
  <c r="P14" i="32"/>
  <c r="O14" i="32"/>
  <c r="N14" i="32"/>
  <c r="E14" i="32"/>
  <c r="D14" i="32"/>
  <c r="C14" i="32"/>
  <c r="R13" i="32"/>
  <c r="P13" i="32"/>
  <c r="O13" i="32"/>
  <c r="N13" i="32"/>
  <c r="E13" i="32"/>
  <c r="D13" i="32"/>
  <c r="C13" i="32"/>
  <c r="R11" i="32"/>
  <c r="P11" i="32"/>
  <c r="O11" i="32"/>
  <c r="N11" i="32"/>
  <c r="E11" i="32"/>
  <c r="D11" i="32"/>
  <c r="C11" i="32"/>
  <c r="R10" i="32"/>
  <c r="P10" i="32"/>
  <c r="O10" i="32"/>
  <c r="O20" i="32" s="1"/>
  <c r="N10" i="32"/>
  <c r="E10" i="32"/>
  <c r="D10" i="32"/>
  <c r="C10" i="32"/>
  <c r="E4" i="32"/>
  <c r="S22" i="32" s="1"/>
  <c r="A3" i="32"/>
  <c r="A2" i="32"/>
  <c r="AL24" i="31"/>
  <c r="D24" i="31"/>
  <c r="C24" i="31"/>
  <c r="AL22" i="31"/>
  <c r="D22" i="31"/>
  <c r="C22" i="31"/>
  <c r="AL20" i="31"/>
  <c r="D20" i="31"/>
  <c r="C20" i="31"/>
  <c r="AL18" i="31"/>
  <c r="D18" i="31"/>
  <c r="C18" i="31"/>
  <c r="AL16" i="31"/>
  <c r="D16" i="31"/>
  <c r="C16" i="31"/>
  <c r="A16" i="31"/>
  <c r="A18" i="31" s="1"/>
  <c r="A20" i="31" s="1"/>
  <c r="A22" i="31" s="1"/>
  <c r="A24" i="31" s="1"/>
  <c r="AL14" i="31"/>
  <c r="D14" i="31"/>
  <c r="C14" i="31"/>
  <c r="AL11" i="31"/>
  <c r="D11" i="31"/>
  <c r="C11" i="31"/>
  <c r="A11" i="31"/>
  <c r="AL9" i="31"/>
  <c r="D9" i="31"/>
  <c r="C9" i="31"/>
  <c r="G5" i="31"/>
  <c r="G6" i="31" s="1"/>
  <c r="F5" i="31"/>
  <c r="F6" i="31" s="1"/>
  <c r="A3" i="31"/>
  <c r="A2" i="31"/>
  <c r="S1" i="31"/>
  <c r="AJ5" i="29"/>
  <c r="AJ6" i="29"/>
  <c r="R18" i="30"/>
  <c r="P18" i="30"/>
  <c r="O18" i="30"/>
  <c r="N18" i="30"/>
  <c r="E18" i="30"/>
  <c r="D18" i="30"/>
  <c r="C18" i="30"/>
  <c r="R17" i="30"/>
  <c r="P17" i="30"/>
  <c r="O17" i="30"/>
  <c r="N17" i="30"/>
  <c r="E17" i="30"/>
  <c r="D17" i="30"/>
  <c r="C17" i="30"/>
  <c r="R16" i="30"/>
  <c r="P16" i="30"/>
  <c r="O16" i="30"/>
  <c r="N16" i="30"/>
  <c r="E16" i="30"/>
  <c r="D16" i="30"/>
  <c r="C16" i="30"/>
  <c r="R15" i="30"/>
  <c r="P15" i="30"/>
  <c r="O15" i="30"/>
  <c r="N15" i="30"/>
  <c r="E15" i="30"/>
  <c r="D15" i="30"/>
  <c r="C15" i="30"/>
  <c r="R14" i="30"/>
  <c r="P14" i="30"/>
  <c r="O14" i="30"/>
  <c r="N14" i="30"/>
  <c r="E14" i="30"/>
  <c r="D14" i="30"/>
  <c r="C14" i="30"/>
  <c r="R13" i="30"/>
  <c r="P13" i="30"/>
  <c r="O13" i="30"/>
  <c r="N13" i="30"/>
  <c r="E13" i="30"/>
  <c r="D13" i="30"/>
  <c r="C13" i="30"/>
  <c r="R11" i="30"/>
  <c r="P11" i="30"/>
  <c r="O11" i="30"/>
  <c r="N11" i="30"/>
  <c r="E11" i="30"/>
  <c r="D11" i="30"/>
  <c r="C11" i="30"/>
  <c r="R10" i="30"/>
  <c r="P10" i="30"/>
  <c r="O10" i="30"/>
  <c r="N10" i="30"/>
  <c r="E10" i="30"/>
  <c r="D10" i="30"/>
  <c r="C10" i="30"/>
  <c r="E4" i="30"/>
  <c r="S22" i="30" s="1"/>
  <c r="A3" i="30"/>
  <c r="A2" i="30"/>
  <c r="AL24" i="29"/>
  <c r="D24" i="29"/>
  <c r="C24" i="29"/>
  <c r="AL22" i="29"/>
  <c r="D22" i="29"/>
  <c r="C22" i="29"/>
  <c r="AL20" i="29"/>
  <c r="D20" i="29"/>
  <c r="C20" i="29"/>
  <c r="AL18" i="29"/>
  <c r="D18" i="29"/>
  <c r="C18" i="29"/>
  <c r="AL16" i="29"/>
  <c r="D16" i="29"/>
  <c r="C16" i="29"/>
  <c r="A16" i="29"/>
  <c r="A18" i="29" s="1"/>
  <c r="A20" i="29" s="1"/>
  <c r="A22" i="29" s="1"/>
  <c r="A24" i="29" s="1"/>
  <c r="AL14" i="29"/>
  <c r="D14" i="29"/>
  <c r="C14" i="29"/>
  <c r="AL11" i="29"/>
  <c r="D11" i="29"/>
  <c r="C11" i="29"/>
  <c r="A11" i="29"/>
  <c r="AL9" i="29"/>
  <c r="D9" i="29"/>
  <c r="C9" i="29"/>
  <c r="F5" i="29"/>
  <c r="F6" i="29" s="1"/>
  <c r="A3" i="29"/>
  <c r="A2" i="29"/>
  <c r="S1" i="29"/>
  <c r="R18" i="28"/>
  <c r="P18" i="28"/>
  <c r="O18" i="28"/>
  <c r="N18" i="28"/>
  <c r="E18" i="28"/>
  <c r="D18" i="28"/>
  <c r="C18" i="28"/>
  <c r="R17" i="28"/>
  <c r="P17" i="28"/>
  <c r="O17" i="28"/>
  <c r="N17" i="28"/>
  <c r="E17" i="28"/>
  <c r="D17" i="28"/>
  <c r="C17" i="28"/>
  <c r="R16" i="28"/>
  <c r="P16" i="28"/>
  <c r="O16" i="28"/>
  <c r="N16" i="28"/>
  <c r="E16" i="28"/>
  <c r="D16" i="28"/>
  <c r="C16" i="28"/>
  <c r="R15" i="28"/>
  <c r="P15" i="28"/>
  <c r="O15" i="28"/>
  <c r="N15" i="28"/>
  <c r="E15" i="28"/>
  <c r="D15" i="28"/>
  <c r="C15" i="28"/>
  <c r="R14" i="28"/>
  <c r="P14" i="28"/>
  <c r="O14" i="28"/>
  <c r="N14" i="28"/>
  <c r="E14" i="28"/>
  <c r="D14" i="28"/>
  <c r="C14" i="28"/>
  <c r="R13" i="28"/>
  <c r="P13" i="28"/>
  <c r="O13" i="28"/>
  <c r="N13" i="28"/>
  <c r="E13" i="28"/>
  <c r="D13" i="28"/>
  <c r="C13" i="28"/>
  <c r="R11" i="28"/>
  <c r="P11" i="28"/>
  <c r="O11" i="28"/>
  <c r="N11" i="28"/>
  <c r="E11" i="28"/>
  <c r="D11" i="28"/>
  <c r="C11" i="28"/>
  <c r="R10" i="28"/>
  <c r="P10" i="28"/>
  <c r="O10" i="28"/>
  <c r="N10" i="28"/>
  <c r="E10" i="28"/>
  <c r="D10" i="28"/>
  <c r="C10" i="28"/>
  <c r="E4" i="28"/>
  <c r="S22" i="28" s="1"/>
  <c r="A3" i="28"/>
  <c r="A2" i="28"/>
  <c r="AL24" i="27"/>
  <c r="D24" i="27"/>
  <c r="C24" i="27"/>
  <c r="AL22" i="27"/>
  <c r="D22" i="27"/>
  <c r="C22" i="27"/>
  <c r="AL20" i="27"/>
  <c r="D20" i="27"/>
  <c r="C20" i="27"/>
  <c r="AL18" i="27"/>
  <c r="D18" i="27"/>
  <c r="C18" i="27"/>
  <c r="AL16" i="27"/>
  <c r="D16" i="27"/>
  <c r="C16" i="27"/>
  <c r="A16" i="27"/>
  <c r="A18" i="27" s="1"/>
  <c r="A20" i="27" s="1"/>
  <c r="A22" i="27" s="1"/>
  <c r="A24" i="27" s="1"/>
  <c r="AL14" i="27"/>
  <c r="D14" i="27"/>
  <c r="C14" i="27"/>
  <c r="AL11" i="27"/>
  <c r="D11" i="27"/>
  <c r="C11" i="27"/>
  <c r="A11" i="27"/>
  <c r="AL9" i="27"/>
  <c r="D9" i="27"/>
  <c r="C9" i="27"/>
  <c r="F6" i="27"/>
  <c r="F5" i="27"/>
  <c r="G5" i="27" s="1"/>
  <c r="A3" i="27"/>
  <c r="A2" i="27"/>
  <c r="S1" i="27"/>
  <c r="AJ5" i="25"/>
  <c r="AJ6" i="25"/>
  <c r="R18" i="26"/>
  <c r="P18" i="26"/>
  <c r="O18" i="26"/>
  <c r="N18" i="26"/>
  <c r="E18" i="26"/>
  <c r="D18" i="26"/>
  <c r="C18" i="26"/>
  <c r="R17" i="26"/>
  <c r="P17" i="26"/>
  <c r="O17" i="26"/>
  <c r="N17" i="26"/>
  <c r="E17" i="26"/>
  <c r="D17" i="26"/>
  <c r="C17" i="26"/>
  <c r="R16" i="26"/>
  <c r="P16" i="26"/>
  <c r="O16" i="26"/>
  <c r="N16" i="26"/>
  <c r="E16" i="26"/>
  <c r="D16" i="26"/>
  <c r="C16" i="26"/>
  <c r="R15" i="26"/>
  <c r="P15" i="26"/>
  <c r="O15" i="26"/>
  <c r="N15" i="26"/>
  <c r="E15" i="26"/>
  <c r="D15" i="26"/>
  <c r="C15" i="26"/>
  <c r="R14" i="26"/>
  <c r="P14" i="26"/>
  <c r="O14" i="26"/>
  <c r="N14" i="26"/>
  <c r="E14" i="26"/>
  <c r="D14" i="26"/>
  <c r="C14" i="26"/>
  <c r="R13" i="26"/>
  <c r="P13" i="26"/>
  <c r="O13" i="26"/>
  <c r="N13" i="26"/>
  <c r="E13" i="26"/>
  <c r="D13" i="26"/>
  <c r="C13" i="26"/>
  <c r="R11" i="26"/>
  <c r="P11" i="26"/>
  <c r="O11" i="26"/>
  <c r="N11" i="26"/>
  <c r="E11" i="26"/>
  <c r="D11" i="26"/>
  <c r="C11" i="26"/>
  <c r="R10" i="26"/>
  <c r="P10" i="26"/>
  <c r="O10" i="26"/>
  <c r="N10" i="26"/>
  <c r="E10" i="26"/>
  <c r="D10" i="26"/>
  <c r="C10" i="26"/>
  <c r="E4" i="26"/>
  <c r="S22" i="26" s="1"/>
  <c r="A3" i="26"/>
  <c r="A2" i="26"/>
  <c r="AL24" i="25"/>
  <c r="D24" i="25"/>
  <c r="C24" i="25"/>
  <c r="AL22" i="25"/>
  <c r="D22" i="25"/>
  <c r="C22" i="25"/>
  <c r="AL20" i="25"/>
  <c r="D20" i="25"/>
  <c r="C20" i="25"/>
  <c r="AL18" i="25"/>
  <c r="D18" i="25"/>
  <c r="C18" i="25"/>
  <c r="AL16" i="25"/>
  <c r="D16" i="25"/>
  <c r="C16" i="25"/>
  <c r="A16" i="25"/>
  <c r="A18" i="25" s="1"/>
  <c r="A20" i="25" s="1"/>
  <c r="A22" i="25" s="1"/>
  <c r="A24" i="25" s="1"/>
  <c r="AL14" i="25"/>
  <c r="D14" i="25"/>
  <c r="C14" i="25"/>
  <c r="AL11" i="25"/>
  <c r="D11" i="25"/>
  <c r="C11" i="25"/>
  <c r="A11" i="25"/>
  <c r="AL9" i="25"/>
  <c r="D9" i="25"/>
  <c r="C9" i="25"/>
  <c r="F5" i="25"/>
  <c r="F6" i="25" s="1"/>
  <c r="A3" i="25"/>
  <c r="A2" i="25"/>
  <c r="S1" i="25"/>
  <c r="R18" i="24"/>
  <c r="P18" i="24"/>
  <c r="O18" i="24"/>
  <c r="N18" i="24"/>
  <c r="E18" i="24"/>
  <c r="D18" i="24"/>
  <c r="C18" i="24"/>
  <c r="R17" i="24"/>
  <c r="P17" i="24"/>
  <c r="O17" i="24"/>
  <c r="N17" i="24"/>
  <c r="E17" i="24"/>
  <c r="D17" i="24"/>
  <c r="C17" i="24"/>
  <c r="R16" i="24"/>
  <c r="P16" i="24"/>
  <c r="O16" i="24"/>
  <c r="N16" i="24"/>
  <c r="E16" i="24"/>
  <c r="D16" i="24"/>
  <c r="C16" i="24"/>
  <c r="R15" i="24"/>
  <c r="P15" i="24"/>
  <c r="O15" i="24"/>
  <c r="N15" i="24"/>
  <c r="E15" i="24"/>
  <c r="D15" i="24"/>
  <c r="C15" i="24"/>
  <c r="R14" i="24"/>
  <c r="P14" i="24"/>
  <c r="O14" i="24"/>
  <c r="N14" i="24"/>
  <c r="E14" i="24"/>
  <c r="D14" i="24"/>
  <c r="C14" i="24"/>
  <c r="R13" i="24"/>
  <c r="P13" i="24"/>
  <c r="O13" i="24"/>
  <c r="N13" i="24"/>
  <c r="E13" i="24"/>
  <c r="D13" i="24"/>
  <c r="C13" i="24"/>
  <c r="R11" i="24"/>
  <c r="P11" i="24"/>
  <c r="O11" i="24"/>
  <c r="N11" i="24"/>
  <c r="E11" i="24"/>
  <c r="D11" i="24"/>
  <c r="C11" i="24"/>
  <c r="R10" i="24"/>
  <c r="P10" i="24"/>
  <c r="O10" i="24"/>
  <c r="N10" i="24"/>
  <c r="E10" i="24"/>
  <c r="D10" i="24"/>
  <c r="C10" i="24"/>
  <c r="E4" i="24"/>
  <c r="S22" i="24" s="1"/>
  <c r="A3" i="24"/>
  <c r="A2" i="24"/>
  <c r="AL24" i="23"/>
  <c r="D24" i="23"/>
  <c r="C24" i="23"/>
  <c r="AL22" i="23"/>
  <c r="D22" i="23"/>
  <c r="C22" i="23"/>
  <c r="AL20" i="23"/>
  <c r="D20" i="23"/>
  <c r="C20" i="23"/>
  <c r="AL18" i="23"/>
  <c r="D18" i="23"/>
  <c r="C18" i="23"/>
  <c r="AL16" i="23"/>
  <c r="D16" i="23"/>
  <c r="C16" i="23"/>
  <c r="A16" i="23"/>
  <c r="A18" i="23" s="1"/>
  <c r="A20" i="23" s="1"/>
  <c r="A22" i="23" s="1"/>
  <c r="A24" i="23" s="1"/>
  <c r="AL14" i="23"/>
  <c r="D14" i="23"/>
  <c r="C14" i="23"/>
  <c r="AL11" i="23"/>
  <c r="D11" i="23"/>
  <c r="C11" i="23"/>
  <c r="A11" i="23"/>
  <c r="AL9" i="23"/>
  <c r="D9" i="23"/>
  <c r="C9" i="23"/>
  <c r="G5" i="23"/>
  <c r="G6" i="23" s="1"/>
  <c r="F5" i="23"/>
  <c r="F6" i="23" s="1"/>
  <c r="A3" i="23"/>
  <c r="A2" i="23"/>
  <c r="S1" i="23"/>
  <c r="R18" i="22"/>
  <c r="P18" i="22"/>
  <c r="O18" i="22"/>
  <c r="N18" i="22"/>
  <c r="E18" i="22"/>
  <c r="D18" i="22"/>
  <c r="C18" i="22"/>
  <c r="R17" i="22"/>
  <c r="P17" i="22"/>
  <c r="O17" i="22"/>
  <c r="N17" i="22"/>
  <c r="E17" i="22"/>
  <c r="D17" i="22"/>
  <c r="C17" i="22"/>
  <c r="R16" i="22"/>
  <c r="P16" i="22"/>
  <c r="O16" i="22"/>
  <c r="N16" i="22"/>
  <c r="E16" i="22"/>
  <c r="D16" i="22"/>
  <c r="C16" i="22"/>
  <c r="R15" i="22"/>
  <c r="P15" i="22"/>
  <c r="O15" i="22"/>
  <c r="N15" i="22"/>
  <c r="E15" i="22"/>
  <c r="D15" i="22"/>
  <c r="C15" i="22"/>
  <c r="R14" i="22"/>
  <c r="P14" i="22"/>
  <c r="O14" i="22"/>
  <c r="N14" i="22"/>
  <c r="E14" i="22"/>
  <c r="D14" i="22"/>
  <c r="C14" i="22"/>
  <c r="R13" i="22"/>
  <c r="P13" i="22"/>
  <c r="O13" i="22"/>
  <c r="N13" i="22"/>
  <c r="E13" i="22"/>
  <c r="D13" i="22"/>
  <c r="C13" i="22"/>
  <c r="R11" i="22"/>
  <c r="P11" i="22"/>
  <c r="O11" i="22"/>
  <c r="N11" i="22"/>
  <c r="E11" i="22"/>
  <c r="D11" i="22"/>
  <c r="C11" i="22"/>
  <c r="R10" i="22"/>
  <c r="P10" i="22"/>
  <c r="O10" i="22"/>
  <c r="N10" i="22"/>
  <c r="E10" i="22"/>
  <c r="D10" i="22"/>
  <c r="C10" i="22"/>
  <c r="E4" i="22"/>
  <c r="S22" i="22" s="1"/>
  <c r="A3" i="22"/>
  <c r="A2" i="22"/>
  <c r="AL24" i="21"/>
  <c r="D24" i="21"/>
  <c r="C24" i="21"/>
  <c r="AL22" i="21"/>
  <c r="D22" i="21"/>
  <c r="C22" i="21"/>
  <c r="AL20" i="21"/>
  <c r="D20" i="21"/>
  <c r="C20" i="21"/>
  <c r="AL18" i="21"/>
  <c r="D18" i="21"/>
  <c r="C18" i="21"/>
  <c r="AL16" i="21"/>
  <c r="D16" i="21"/>
  <c r="C16" i="21"/>
  <c r="A16" i="21"/>
  <c r="A18" i="21" s="1"/>
  <c r="A20" i="21" s="1"/>
  <c r="A22" i="21" s="1"/>
  <c r="A24" i="21" s="1"/>
  <c r="AL14" i="21"/>
  <c r="D14" i="21"/>
  <c r="C14" i="21"/>
  <c r="AL11" i="21"/>
  <c r="D11" i="21"/>
  <c r="C11" i="21"/>
  <c r="A11" i="21"/>
  <c r="AL9" i="21"/>
  <c r="D9" i="21"/>
  <c r="C9" i="21"/>
  <c r="F5" i="21"/>
  <c r="F6" i="21" s="1"/>
  <c r="A3" i="21"/>
  <c r="A2" i="21"/>
  <c r="S1" i="21"/>
  <c r="G6" i="33" l="1"/>
  <c r="H5" i="33"/>
  <c r="P20" i="32"/>
  <c r="E20" i="30"/>
  <c r="R20" i="30"/>
  <c r="E20" i="32"/>
  <c r="R20" i="32"/>
  <c r="N20" i="32"/>
  <c r="D1" i="34"/>
  <c r="H5" i="31"/>
  <c r="O20" i="28"/>
  <c r="N20" i="30"/>
  <c r="O20" i="30"/>
  <c r="P20" i="30"/>
  <c r="D1" i="32"/>
  <c r="E20" i="26"/>
  <c r="R20" i="26"/>
  <c r="E20" i="28"/>
  <c r="R20" i="28"/>
  <c r="N20" i="28"/>
  <c r="G5" i="29"/>
  <c r="P20" i="28"/>
  <c r="D1" i="30"/>
  <c r="G6" i="27"/>
  <c r="H5" i="27"/>
  <c r="O20" i="24"/>
  <c r="N20" i="26"/>
  <c r="O20" i="26"/>
  <c r="P20" i="26"/>
  <c r="D1" i="28"/>
  <c r="O20" i="22"/>
  <c r="E20" i="24"/>
  <c r="R20" i="24"/>
  <c r="N20" i="24"/>
  <c r="G5" i="25"/>
  <c r="P20" i="24"/>
  <c r="D1" i="26"/>
  <c r="P20" i="22"/>
  <c r="H5" i="23"/>
  <c r="E20" i="22"/>
  <c r="R20" i="22"/>
  <c r="N20" i="22"/>
  <c r="D1" i="24"/>
  <c r="D1" i="22"/>
  <c r="G5" i="21"/>
  <c r="E27" i="15"/>
  <c r="I5" i="33" l="1"/>
  <c r="H6" i="33"/>
  <c r="H6" i="31"/>
  <c r="I5" i="31"/>
  <c r="H5" i="29"/>
  <c r="G6" i="29"/>
  <c r="I5" i="27"/>
  <c r="H6" i="27"/>
  <c r="H5" i="25"/>
  <c r="G6" i="25"/>
  <c r="H6" i="23"/>
  <c r="I5" i="23"/>
  <c r="G6" i="21"/>
  <c r="H5" i="21"/>
  <c r="J21" i="15"/>
  <c r="F21" i="15"/>
  <c r="J5" i="33" l="1"/>
  <c r="I6" i="33"/>
  <c r="J5" i="31"/>
  <c r="I6" i="31"/>
  <c r="H6" i="29"/>
  <c r="I5" i="29"/>
  <c r="J5" i="27"/>
  <c r="I6" i="27"/>
  <c r="H6" i="25"/>
  <c r="I5" i="25"/>
  <c r="J5" i="23"/>
  <c r="I6" i="23"/>
  <c r="I5" i="21"/>
  <c r="H6" i="21"/>
  <c r="E4" i="16"/>
  <c r="D1" i="16" s="1"/>
  <c r="A3" i="16"/>
  <c r="A2" i="16"/>
  <c r="J6" i="33" l="1"/>
  <c r="K5" i="33"/>
  <c r="J6" i="31"/>
  <c r="K5" i="31"/>
  <c r="I6" i="29"/>
  <c r="J5" i="29"/>
  <c r="J6" i="27"/>
  <c r="K5" i="27"/>
  <c r="I6" i="25"/>
  <c r="J5" i="25"/>
  <c r="K5" i="23"/>
  <c r="J6" i="23"/>
  <c r="J5" i="21"/>
  <c r="I6" i="21"/>
  <c r="S22" i="16"/>
  <c r="A3" i="14"/>
  <c r="A2" i="14"/>
  <c r="K6" i="33" l="1"/>
  <c r="L5" i="33"/>
  <c r="L5" i="31"/>
  <c r="K6" i="31"/>
  <c r="J6" i="29"/>
  <c r="K5" i="29"/>
  <c r="K6" i="27"/>
  <c r="L5" i="27"/>
  <c r="J6" i="25"/>
  <c r="K5" i="25"/>
  <c r="K6" i="23"/>
  <c r="L5" i="23"/>
  <c r="J6" i="21"/>
  <c r="K5" i="21"/>
  <c r="M76" i="15"/>
  <c r="N104" i="15" s="1"/>
  <c r="M77" i="15"/>
  <c r="N106" i="15" s="1"/>
  <c r="M78" i="15"/>
  <c r="N108" i="15" s="1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48" i="15"/>
  <c r="C14" i="16"/>
  <c r="D14" i="16"/>
  <c r="E14" i="16"/>
  <c r="O14" i="16" s="1"/>
  <c r="R14" i="16"/>
  <c r="C15" i="16"/>
  <c r="D15" i="16"/>
  <c r="E15" i="16"/>
  <c r="N15" i="16" s="1"/>
  <c r="R15" i="16"/>
  <c r="C16" i="16"/>
  <c r="D16" i="16"/>
  <c r="E16" i="16"/>
  <c r="O16" i="16" s="1"/>
  <c r="R16" i="16"/>
  <c r="C17" i="16"/>
  <c r="D17" i="16"/>
  <c r="E17" i="16"/>
  <c r="N17" i="16" s="1"/>
  <c r="R17" i="16"/>
  <c r="C18" i="16"/>
  <c r="D18" i="16"/>
  <c r="E18" i="16"/>
  <c r="O18" i="16" s="1"/>
  <c r="R18" i="16"/>
  <c r="J22" i="15" a="1"/>
  <c r="J22" i="15" s="1"/>
  <c r="M5" i="33" l="1"/>
  <c r="L6" i="33"/>
  <c r="L6" i="31"/>
  <c r="M5" i="31"/>
  <c r="L5" i="29"/>
  <c r="K6" i="29"/>
  <c r="M5" i="27"/>
  <c r="L6" i="27"/>
  <c r="L5" i="25"/>
  <c r="K6" i="25"/>
  <c r="M5" i="23"/>
  <c r="L6" i="23"/>
  <c r="K6" i="21"/>
  <c r="L5" i="21"/>
  <c r="O17" i="16"/>
  <c r="N14" i="16"/>
  <c r="N18" i="16"/>
  <c r="N16" i="16"/>
  <c r="O15" i="16"/>
  <c r="P18" i="16"/>
  <c r="P16" i="16"/>
  <c r="P14" i="16"/>
  <c r="P17" i="16"/>
  <c r="P15" i="16"/>
  <c r="AL16" i="14"/>
  <c r="AL18" i="14"/>
  <c r="AL20" i="14"/>
  <c r="AL22" i="14"/>
  <c r="AL24" i="14"/>
  <c r="AL14" i="14"/>
  <c r="AL11" i="14"/>
  <c r="AL9" i="14"/>
  <c r="N5" i="33" l="1"/>
  <c r="M6" i="33"/>
  <c r="M6" i="31"/>
  <c r="N5" i="31"/>
  <c r="L6" i="29"/>
  <c r="M5" i="29"/>
  <c r="N5" i="27"/>
  <c r="M6" i="27"/>
  <c r="L6" i="25"/>
  <c r="M5" i="25"/>
  <c r="N5" i="23"/>
  <c r="M6" i="23"/>
  <c r="M5" i="21"/>
  <c r="L6" i="21"/>
  <c r="N50" i="15"/>
  <c r="N52" i="15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102" i="15"/>
  <c r="N48" i="15"/>
  <c r="N6" i="33" l="1"/>
  <c r="O5" i="33"/>
  <c r="O5" i="31"/>
  <c r="N6" i="31"/>
  <c r="M6" i="29"/>
  <c r="N5" i="29"/>
  <c r="N6" i="27"/>
  <c r="O5" i="27"/>
  <c r="M6" i="25"/>
  <c r="N5" i="25"/>
  <c r="N6" i="23"/>
  <c r="O5" i="23"/>
  <c r="N5" i="21"/>
  <c r="M6" i="21"/>
  <c r="S1" i="14"/>
  <c r="E21" i="15"/>
  <c r="A12" i="15"/>
  <c r="A13" i="15"/>
  <c r="A14" i="15"/>
  <c r="A15" i="15"/>
  <c r="A16" i="15"/>
  <c r="A17" i="15"/>
  <c r="A18" i="15"/>
  <c r="A11" i="15"/>
  <c r="O6" i="33" l="1"/>
  <c r="P5" i="33"/>
  <c r="O6" i="31"/>
  <c r="P5" i="31"/>
  <c r="N6" i="29"/>
  <c r="O5" i="29"/>
  <c r="O6" i="27"/>
  <c r="P5" i="27"/>
  <c r="N6" i="25"/>
  <c r="O5" i="25"/>
  <c r="O6" i="23"/>
  <c r="P5" i="23"/>
  <c r="N6" i="21"/>
  <c r="O5" i="21"/>
  <c r="K22" i="15" a="1"/>
  <c r="K22" i="15" s="1"/>
  <c r="L22" i="15" a="1"/>
  <c r="L22" i="15" s="1"/>
  <c r="M22" i="15" a="1"/>
  <c r="M22" i="15" s="1"/>
  <c r="N22" i="15" a="1"/>
  <c r="N22" i="15" s="1"/>
  <c r="O22" i="15" a="1"/>
  <c r="O22" i="15" s="1"/>
  <c r="P22" i="15" a="1"/>
  <c r="P22" i="15" s="1"/>
  <c r="Q22" i="15" a="1"/>
  <c r="Q22" i="15" s="1"/>
  <c r="R22" i="15" a="1"/>
  <c r="R22" i="15" s="1"/>
  <c r="S22" i="15" a="1"/>
  <c r="S22" i="15" s="1"/>
  <c r="T22" i="15" a="1"/>
  <c r="T22" i="15" s="1"/>
  <c r="U22" i="15" a="1"/>
  <c r="U22" i="15" s="1"/>
  <c r="D24" i="14"/>
  <c r="D22" i="14"/>
  <c r="D20" i="14"/>
  <c r="D18" i="14"/>
  <c r="D16" i="14"/>
  <c r="A16" i="14"/>
  <c r="A18" i="14" s="1"/>
  <c r="A20" i="14" s="1"/>
  <c r="A22" i="14" s="1"/>
  <c r="A24" i="14" s="1"/>
  <c r="D14" i="14"/>
  <c r="R13" i="16"/>
  <c r="R11" i="16"/>
  <c r="R10" i="16"/>
  <c r="E13" i="16"/>
  <c r="N13" i="16" s="1"/>
  <c r="D13" i="16"/>
  <c r="U21" i="15"/>
  <c r="K21" i="15"/>
  <c r="L21" i="15"/>
  <c r="M21" i="15"/>
  <c r="N21" i="15"/>
  <c r="O21" i="15"/>
  <c r="P21" i="15"/>
  <c r="Q21" i="15"/>
  <c r="R21" i="15"/>
  <c r="S21" i="15"/>
  <c r="T21" i="15"/>
  <c r="G21" i="15"/>
  <c r="H21" i="15"/>
  <c r="C11" i="16"/>
  <c r="D11" i="16"/>
  <c r="E11" i="16"/>
  <c r="E10" i="16"/>
  <c r="D10" i="16"/>
  <c r="C10" i="16"/>
  <c r="C11" i="14"/>
  <c r="A11" i="14"/>
  <c r="A6" i="15"/>
  <c r="Q5" i="33" l="1"/>
  <c r="P6" i="33"/>
  <c r="Q5" i="31"/>
  <c r="P6" i="31"/>
  <c r="P5" i="29"/>
  <c r="O6" i="29"/>
  <c r="Q5" i="27"/>
  <c r="P6" i="27"/>
  <c r="P5" i="25"/>
  <c r="O6" i="25"/>
  <c r="P6" i="23"/>
  <c r="Q5" i="23"/>
  <c r="O6" i="21"/>
  <c r="P5" i="21"/>
  <c r="E20" i="16"/>
  <c r="O10" i="16"/>
  <c r="N10" i="16"/>
  <c r="N11" i="16"/>
  <c r="P11" i="16"/>
  <c r="O11" i="16"/>
  <c r="P10" i="16"/>
  <c r="C18" i="14"/>
  <c r="C22" i="14"/>
  <c r="C13" i="16"/>
  <c r="C14" i="14"/>
  <c r="C16" i="14"/>
  <c r="C20" i="14"/>
  <c r="C24" i="14"/>
  <c r="O13" i="16"/>
  <c r="P13" i="16"/>
  <c r="R20" i="16"/>
  <c r="D11" i="14"/>
  <c r="D9" i="14"/>
  <c r="C9" i="14"/>
  <c r="F5" i="14"/>
  <c r="R5" i="33" l="1"/>
  <c r="Q6" i="33"/>
  <c r="R5" i="31"/>
  <c r="Q6" i="31"/>
  <c r="P6" i="29"/>
  <c r="Q5" i="29"/>
  <c r="R5" i="27"/>
  <c r="Q6" i="27"/>
  <c r="P6" i="25"/>
  <c r="Q5" i="25"/>
  <c r="R5" i="23"/>
  <c r="Q6" i="23"/>
  <c r="Q5" i="21"/>
  <c r="P6" i="21"/>
  <c r="N20" i="16"/>
  <c r="F6" i="14"/>
  <c r="G5" i="14"/>
  <c r="O20" i="16"/>
  <c r="P20" i="16"/>
  <c r="R6" i="33" l="1"/>
  <c r="S5" i="33"/>
  <c r="R6" i="31"/>
  <c r="S5" i="31"/>
  <c r="Q6" i="29"/>
  <c r="R5" i="29"/>
  <c r="R6" i="27"/>
  <c r="S5" i="27"/>
  <c r="Q6" i="25"/>
  <c r="R5" i="25"/>
  <c r="R6" i="23"/>
  <c r="S5" i="23"/>
  <c r="R5" i="21"/>
  <c r="Q6" i="21"/>
  <c r="H5" i="14"/>
  <c r="G6" i="14"/>
  <c r="S6" i="33" l="1"/>
  <c r="T5" i="33"/>
  <c r="T5" i="31"/>
  <c r="S6" i="31"/>
  <c r="R6" i="29"/>
  <c r="S5" i="29"/>
  <c r="S6" i="27"/>
  <c r="T5" i="27"/>
  <c r="R6" i="25"/>
  <c r="S5" i="25"/>
  <c r="S6" i="23"/>
  <c r="T5" i="23"/>
  <c r="R6" i="21"/>
  <c r="S5" i="21"/>
  <c r="H6" i="14"/>
  <c r="I5" i="14"/>
  <c r="U5" i="33" l="1"/>
  <c r="T6" i="33"/>
  <c r="U5" i="31"/>
  <c r="T6" i="31"/>
  <c r="T5" i="29"/>
  <c r="S6" i="29"/>
  <c r="U5" i="27"/>
  <c r="T6" i="27"/>
  <c r="T5" i="25"/>
  <c r="S6" i="25"/>
  <c r="U5" i="23"/>
  <c r="T6" i="23"/>
  <c r="S6" i="21"/>
  <c r="T5" i="21"/>
  <c r="I6" i="14"/>
  <c r="J5" i="14"/>
  <c r="V5" i="33" l="1"/>
  <c r="U6" i="33"/>
  <c r="V5" i="31"/>
  <c r="U6" i="31"/>
  <c r="T6" i="29"/>
  <c r="U5" i="29"/>
  <c r="V5" i="27"/>
  <c r="U6" i="27"/>
  <c r="T6" i="25"/>
  <c r="U5" i="25"/>
  <c r="V5" i="23"/>
  <c r="U6" i="23"/>
  <c r="U5" i="21"/>
  <c r="T6" i="21"/>
  <c r="K5" i="14"/>
  <c r="J6" i="14"/>
  <c r="V6" i="33" l="1"/>
  <c r="W5" i="33"/>
  <c r="V6" i="31"/>
  <c r="W5" i="31"/>
  <c r="U6" i="29"/>
  <c r="V5" i="29"/>
  <c r="V6" i="27"/>
  <c r="W5" i="27"/>
  <c r="U6" i="25"/>
  <c r="V5" i="25"/>
  <c r="W5" i="23"/>
  <c r="V6" i="23"/>
  <c r="V5" i="21"/>
  <c r="U6" i="21"/>
  <c r="K6" i="14"/>
  <c r="L5" i="14"/>
  <c r="W6" i="33" l="1"/>
  <c r="X5" i="33"/>
  <c r="W6" i="31"/>
  <c r="X5" i="31"/>
  <c r="V6" i="29"/>
  <c r="W5" i="29"/>
  <c r="W6" i="27"/>
  <c r="X5" i="27"/>
  <c r="V6" i="25"/>
  <c r="W5" i="25"/>
  <c r="W6" i="23"/>
  <c r="X5" i="23"/>
  <c r="V6" i="21"/>
  <c r="W5" i="21"/>
  <c r="M5" i="14"/>
  <c r="L6" i="14"/>
  <c r="Y5" i="33" l="1"/>
  <c r="X6" i="33"/>
  <c r="X6" i="31"/>
  <c r="Y5" i="31"/>
  <c r="X5" i="29"/>
  <c r="W6" i="29"/>
  <c r="Y5" i="27"/>
  <c r="X6" i="27"/>
  <c r="X5" i="25"/>
  <c r="W6" i="25"/>
  <c r="Y5" i="23"/>
  <c r="X6" i="23"/>
  <c r="W6" i="21"/>
  <c r="X5" i="21"/>
  <c r="N5" i="14"/>
  <c r="M6" i="14"/>
  <c r="Z5" i="33" l="1"/>
  <c r="Y6" i="33"/>
  <c r="Z5" i="31"/>
  <c r="Y6" i="31"/>
  <c r="X6" i="29"/>
  <c r="Y5" i="29"/>
  <c r="Z5" i="27"/>
  <c r="Y6" i="27"/>
  <c r="X6" i="25"/>
  <c r="Y5" i="25"/>
  <c r="Z5" i="23"/>
  <c r="Y6" i="23"/>
  <c r="Y5" i="21"/>
  <c r="X6" i="21"/>
  <c r="O5" i="14"/>
  <c r="N6" i="14"/>
  <c r="Z6" i="33" l="1"/>
  <c r="AA5" i="33"/>
  <c r="Z6" i="31"/>
  <c r="AA5" i="31"/>
  <c r="Y6" i="29"/>
  <c r="Z5" i="29"/>
  <c r="Z6" i="27"/>
  <c r="AA5" i="27"/>
  <c r="Y6" i="25"/>
  <c r="Z5" i="25"/>
  <c r="Z6" i="23"/>
  <c r="AA5" i="23"/>
  <c r="Z5" i="21"/>
  <c r="Y6" i="21"/>
  <c r="P5" i="14"/>
  <c r="O6" i="14"/>
  <c r="AA6" i="33" l="1"/>
  <c r="AB5" i="33"/>
  <c r="AA6" i="31"/>
  <c r="AB5" i="31"/>
  <c r="Z6" i="29"/>
  <c r="AA5" i="29"/>
  <c r="AA6" i="27"/>
  <c r="AB5" i="27"/>
  <c r="Z6" i="25"/>
  <c r="AA5" i="25"/>
  <c r="AA6" i="23"/>
  <c r="AB5" i="23"/>
  <c r="Z6" i="21"/>
  <c r="AA5" i="21"/>
  <c r="P6" i="14"/>
  <c r="Q5" i="14"/>
  <c r="AC5" i="33" l="1"/>
  <c r="AB6" i="33"/>
  <c r="AB6" i="31"/>
  <c r="AC5" i="31"/>
  <c r="AB5" i="29"/>
  <c r="AA6" i="29"/>
  <c r="AC5" i="27"/>
  <c r="AB6" i="27"/>
  <c r="AB5" i="25"/>
  <c r="AA6" i="25"/>
  <c r="AB6" i="23"/>
  <c r="AC5" i="23"/>
  <c r="AA6" i="21"/>
  <c r="AB5" i="21"/>
  <c r="R5" i="14"/>
  <c r="Q6" i="14"/>
  <c r="AD5" i="33" l="1"/>
  <c r="AC6" i="33"/>
  <c r="AD5" i="31"/>
  <c r="AC6" i="31"/>
  <c r="AB6" i="29"/>
  <c r="AC5" i="29"/>
  <c r="AD5" i="27"/>
  <c r="AC6" i="27"/>
  <c r="AB6" i="25"/>
  <c r="AC5" i="25"/>
  <c r="AD5" i="23"/>
  <c r="AC6" i="23"/>
  <c r="AC5" i="21"/>
  <c r="AB6" i="21"/>
  <c r="S5" i="14"/>
  <c r="R6" i="14"/>
  <c r="AD6" i="33" l="1"/>
  <c r="AE5" i="33"/>
  <c r="AD6" i="31"/>
  <c r="AE5" i="31"/>
  <c r="AC6" i="29"/>
  <c r="AD5" i="29"/>
  <c r="AD6" i="27"/>
  <c r="AE5" i="27"/>
  <c r="AC6" i="25"/>
  <c r="AD5" i="25"/>
  <c r="AD6" i="23"/>
  <c r="AE5" i="23"/>
  <c r="AD5" i="21"/>
  <c r="AC6" i="21"/>
  <c r="S6" i="14"/>
  <c r="T5" i="14"/>
  <c r="AE6" i="33" l="1"/>
  <c r="AF5" i="33"/>
  <c r="AE6" i="31"/>
  <c r="AF5" i="31"/>
  <c r="AD6" i="29"/>
  <c r="AE5" i="29"/>
  <c r="AE6" i="27"/>
  <c r="AF5" i="27"/>
  <c r="AD6" i="25"/>
  <c r="AE5" i="25"/>
  <c r="AE6" i="23"/>
  <c r="AF5" i="23"/>
  <c r="AD6" i="21"/>
  <c r="AE5" i="21"/>
  <c r="T6" i="14"/>
  <c r="U5" i="14"/>
  <c r="AG5" i="33" l="1"/>
  <c r="AF6" i="33"/>
  <c r="AG5" i="31"/>
  <c r="AF6" i="31"/>
  <c r="AF5" i="29"/>
  <c r="AE6" i="29"/>
  <c r="AG5" i="27"/>
  <c r="AF6" i="27"/>
  <c r="AF5" i="25"/>
  <c r="AE6" i="25"/>
  <c r="AG5" i="23"/>
  <c r="AF6" i="23"/>
  <c r="AE6" i="21"/>
  <c r="AF5" i="21"/>
  <c r="V5" i="14"/>
  <c r="U6" i="14"/>
  <c r="AH5" i="33" l="1"/>
  <c r="AG6" i="33"/>
  <c r="AG6" i="31"/>
  <c r="AH5" i="31"/>
  <c r="AF6" i="29"/>
  <c r="AG5" i="29"/>
  <c r="AH5" i="27"/>
  <c r="AG6" i="27"/>
  <c r="AF6" i="25"/>
  <c r="AG5" i="25"/>
  <c r="AH5" i="23"/>
  <c r="AG6" i="23"/>
  <c r="AG5" i="21"/>
  <c r="AF6" i="21"/>
  <c r="W5" i="14"/>
  <c r="V6" i="14"/>
  <c r="AH6" i="33" l="1"/>
  <c r="AI5" i="33"/>
  <c r="AI5" i="31"/>
  <c r="AH6" i="31"/>
  <c r="AG6" i="29"/>
  <c r="AH5" i="29"/>
  <c r="AH6" i="27"/>
  <c r="AI5" i="27"/>
  <c r="AG6" i="25"/>
  <c r="AH5" i="25"/>
  <c r="AH6" i="23"/>
  <c r="AI5" i="23"/>
  <c r="AH5" i="21"/>
  <c r="AG6" i="21"/>
  <c r="X5" i="14"/>
  <c r="W6" i="14"/>
  <c r="AI6" i="33" l="1"/>
  <c r="AJ5" i="33"/>
  <c r="AJ6" i="33" s="1"/>
  <c r="AK11" i="31"/>
  <c r="AI6" i="31"/>
  <c r="AM14" i="31" s="1"/>
  <c r="H13" i="32" s="1"/>
  <c r="I13" i="32" s="1"/>
  <c r="AJ5" i="31"/>
  <c r="AJ6" i="31" s="1"/>
  <c r="AK9" i="31" s="1"/>
  <c r="AH6" i="29"/>
  <c r="AI5" i="29"/>
  <c r="AI6" i="29" s="1"/>
  <c r="AI6" i="27"/>
  <c r="AH6" i="25"/>
  <c r="AI5" i="25"/>
  <c r="AI6" i="25" s="1"/>
  <c r="AI6" i="23"/>
  <c r="AH6" i="21"/>
  <c r="AI5" i="21"/>
  <c r="Y5" i="14"/>
  <c r="X6" i="14"/>
  <c r="AM22" i="33" l="1"/>
  <c r="H17" i="34" s="1"/>
  <c r="I17" i="34" s="1"/>
  <c r="AK24" i="33"/>
  <c r="AK16" i="33"/>
  <c r="AM16" i="33"/>
  <c r="H14" i="34" s="1"/>
  <c r="I14" i="34" s="1"/>
  <c r="AM9" i="33"/>
  <c r="H10" i="34" s="1"/>
  <c r="I10" i="34" s="1"/>
  <c r="AM14" i="33"/>
  <c r="H13" i="34" s="1"/>
  <c r="I13" i="34" s="1"/>
  <c r="AK9" i="33"/>
  <c r="AK18" i="33"/>
  <c r="AM18" i="33"/>
  <c r="H15" i="34" s="1"/>
  <c r="I15" i="34" s="1"/>
  <c r="AM24" i="33"/>
  <c r="H18" i="34" s="1"/>
  <c r="I18" i="34" s="1"/>
  <c r="AK20" i="33"/>
  <c r="AM20" i="33"/>
  <c r="H16" i="34" s="1"/>
  <c r="I16" i="34" s="1"/>
  <c r="AK22" i="33"/>
  <c r="AM11" i="33"/>
  <c r="H11" i="34" s="1"/>
  <c r="I11" i="34" s="1"/>
  <c r="AK14" i="33"/>
  <c r="AK11" i="33"/>
  <c r="F10" i="32"/>
  <c r="AM18" i="31"/>
  <c r="H15" i="32" s="1"/>
  <c r="I15" i="32" s="1"/>
  <c r="AM16" i="31"/>
  <c r="H14" i="32" s="1"/>
  <c r="I14" i="32" s="1"/>
  <c r="AM24" i="31"/>
  <c r="H18" i="32" s="1"/>
  <c r="I18" i="32" s="1"/>
  <c r="AM9" i="31"/>
  <c r="H10" i="32" s="1"/>
  <c r="I10" i="32" s="1"/>
  <c r="AM22" i="31"/>
  <c r="H17" i="32" s="1"/>
  <c r="I17" i="32" s="1"/>
  <c r="AK22" i="31"/>
  <c r="AK18" i="31"/>
  <c r="AK14" i="31"/>
  <c r="AK16" i="31"/>
  <c r="AM20" i="31"/>
  <c r="H16" i="32" s="1"/>
  <c r="I16" i="32" s="1"/>
  <c r="F11" i="32"/>
  <c r="AM11" i="31"/>
  <c r="H11" i="32" s="1"/>
  <c r="I11" i="32" s="1"/>
  <c r="AK20" i="31"/>
  <c r="AK24" i="31"/>
  <c r="AK9" i="29"/>
  <c r="AK11" i="29"/>
  <c r="AK16" i="29"/>
  <c r="AM18" i="29"/>
  <c r="H15" i="30" s="1"/>
  <c r="I15" i="30" s="1"/>
  <c r="AM20" i="29"/>
  <c r="H16" i="30" s="1"/>
  <c r="I16" i="30" s="1"/>
  <c r="AK22" i="29"/>
  <c r="AK24" i="29"/>
  <c r="AM9" i="29"/>
  <c r="H10" i="30" s="1"/>
  <c r="I10" i="30" s="1"/>
  <c r="AK18" i="29"/>
  <c r="AM16" i="29"/>
  <c r="H14" i="30" s="1"/>
  <c r="I14" i="30" s="1"/>
  <c r="AM22" i="29"/>
  <c r="H17" i="30" s="1"/>
  <c r="I17" i="30" s="1"/>
  <c r="AK20" i="29"/>
  <c r="AM11" i="29"/>
  <c r="H11" i="30" s="1"/>
  <c r="I11" i="30" s="1"/>
  <c r="AM14" i="29"/>
  <c r="H13" i="30" s="1"/>
  <c r="I13" i="30" s="1"/>
  <c r="AM24" i="29"/>
  <c r="H18" i="30" s="1"/>
  <c r="I18" i="30" s="1"/>
  <c r="AK14" i="29"/>
  <c r="AK24" i="27"/>
  <c r="AM18" i="27"/>
  <c r="H15" i="28" s="1"/>
  <c r="I15" i="28" s="1"/>
  <c r="AK16" i="27"/>
  <c r="AK14" i="27"/>
  <c r="AM14" i="27"/>
  <c r="H13" i="28" s="1"/>
  <c r="I13" i="28" s="1"/>
  <c r="AK9" i="27"/>
  <c r="AM9" i="27"/>
  <c r="H10" i="28" s="1"/>
  <c r="I10" i="28" s="1"/>
  <c r="AK18" i="27"/>
  <c r="AK11" i="27"/>
  <c r="AM16" i="27"/>
  <c r="H14" i="28" s="1"/>
  <c r="I14" i="28" s="1"/>
  <c r="AM11" i="27"/>
  <c r="H11" i="28" s="1"/>
  <c r="I11" i="28" s="1"/>
  <c r="AK22" i="27"/>
  <c r="AM22" i="27"/>
  <c r="H17" i="28" s="1"/>
  <c r="I17" i="28" s="1"/>
  <c r="AK20" i="27"/>
  <c r="AM20" i="27"/>
  <c r="H16" i="28" s="1"/>
  <c r="I16" i="28" s="1"/>
  <c r="AM24" i="27"/>
  <c r="H18" i="28" s="1"/>
  <c r="I18" i="28" s="1"/>
  <c r="AK14" i="25"/>
  <c r="AM24" i="25"/>
  <c r="H18" i="26" s="1"/>
  <c r="I18" i="26" s="1"/>
  <c r="AK20" i="25"/>
  <c r="AM16" i="25"/>
  <c r="H14" i="26" s="1"/>
  <c r="I14" i="26" s="1"/>
  <c r="AM18" i="25"/>
  <c r="H15" i="26" s="1"/>
  <c r="I15" i="26" s="1"/>
  <c r="AK9" i="25"/>
  <c r="AM11" i="25"/>
  <c r="H11" i="26" s="1"/>
  <c r="I11" i="26" s="1"/>
  <c r="AM20" i="25"/>
  <c r="H16" i="26" s="1"/>
  <c r="I16" i="26" s="1"/>
  <c r="AM22" i="25"/>
  <c r="H17" i="26" s="1"/>
  <c r="I17" i="26" s="1"/>
  <c r="AK22" i="25"/>
  <c r="AM9" i="25"/>
  <c r="H10" i="26" s="1"/>
  <c r="I10" i="26" s="1"/>
  <c r="AM14" i="25"/>
  <c r="H13" i="26" s="1"/>
  <c r="I13" i="26" s="1"/>
  <c r="AK18" i="25"/>
  <c r="AK24" i="25"/>
  <c r="AK11" i="25"/>
  <c r="AK16" i="25"/>
  <c r="AK24" i="23"/>
  <c r="AK14" i="23"/>
  <c r="AK18" i="23"/>
  <c r="AM9" i="23"/>
  <c r="H10" i="24" s="1"/>
  <c r="I10" i="24" s="1"/>
  <c r="AM22" i="23"/>
  <c r="H17" i="24" s="1"/>
  <c r="I17" i="24" s="1"/>
  <c r="AM20" i="23"/>
  <c r="H16" i="24" s="1"/>
  <c r="I16" i="24" s="1"/>
  <c r="AM24" i="23"/>
  <c r="H18" i="24" s="1"/>
  <c r="I18" i="24" s="1"/>
  <c r="AK9" i="23"/>
  <c r="AK20" i="23"/>
  <c r="AK16" i="23"/>
  <c r="AM14" i="23"/>
  <c r="H13" i="24" s="1"/>
  <c r="I13" i="24" s="1"/>
  <c r="AK11" i="23"/>
  <c r="AM16" i="23"/>
  <c r="H14" i="24" s="1"/>
  <c r="I14" i="24" s="1"/>
  <c r="AM11" i="23"/>
  <c r="H11" i="24" s="1"/>
  <c r="I11" i="24" s="1"/>
  <c r="AM18" i="23"/>
  <c r="H15" i="24" s="1"/>
  <c r="I15" i="24" s="1"/>
  <c r="AK22" i="23"/>
  <c r="AI6" i="21"/>
  <c r="AJ5" i="21"/>
  <c r="AJ6" i="21" s="1"/>
  <c r="Z5" i="14"/>
  <c r="Y6" i="14"/>
  <c r="F11" i="34" l="1"/>
  <c r="AN11" i="33"/>
  <c r="F15" i="34"/>
  <c r="AN18" i="33"/>
  <c r="AN14" i="33"/>
  <c r="F13" i="34"/>
  <c r="F16" i="34"/>
  <c r="AN20" i="33"/>
  <c r="F10" i="34"/>
  <c r="AN9" i="33"/>
  <c r="AN16" i="33"/>
  <c r="F14" i="34"/>
  <c r="AN24" i="33"/>
  <c r="F18" i="34"/>
  <c r="AN22" i="33"/>
  <c r="F17" i="34"/>
  <c r="I20" i="34"/>
  <c r="AN22" i="31"/>
  <c r="F17" i="32"/>
  <c r="AN16" i="31"/>
  <c r="F14" i="32"/>
  <c r="AN11" i="31"/>
  <c r="F13" i="32"/>
  <c r="AN14" i="31"/>
  <c r="I20" i="32"/>
  <c r="J10" i="32"/>
  <c r="L10" i="32"/>
  <c r="G10" i="32"/>
  <c r="F16" i="32"/>
  <c r="AN20" i="31"/>
  <c r="F18" i="32"/>
  <c r="AN24" i="31"/>
  <c r="G11" i="32"/>
  <c r="K11" i="32" s="1"/>
  <c r="L11" i="32"/>
  <c r="J11" i="32"/>
  <c r="AN18" i="31"/>
  <c r="F15" i="32"/>
  <c r="AN9" i="31"/>
  <c r="AN14" i="29"/>
  <c r="F13" i="30"/>
  <c r="F16" i="30"/>
  <c r="AN20" i="29"/>
  <c r="I20" i="30"/>
  <c r="AN24" i="29"/>
  <c r="F18" i="30"/>
  <c r="AN16" i="29"/>
  <c r="F14" i="30"/>
  <c r="AN22" i="29"/>
  <c r="F17" i="30"/>
  <c r="F11" i="30"/>
  <c r="AN11" i="29"/>
  <c r="F15" i="30"/>
  <c r="AN18" i="29"/>
  <c r="F10" i="30"/>
  <c r="AN9" i="29"/>
  <c r="F15" i="28"/>
  <c r="AN18" i="27"/>
  <c r="I20" i="28"/>
  <c r="AN16" i="27"/>
  <c r="F14" i="28"/>
  <c r="AN22" i="27"/>
  <c r="F17" i="28"/>
  <c r="F16" i="28"/>
  <c r="AN20" i="27"/>
  <c r="F10" i="28"/>
  <c r="AN9" i="27"/>
  <c r="AN14" i="27"/>
  <c r="F13" i="28"/>
  <c r="F11" i="28"/>
  <c r="AN11" i="27"/>
  <c r="AN24" i="27"/>
  <c r="F18" i="28"/>
  <c r="AN22" i="25"/>
  <c r="F17" i="26"/>
  <c r="AN16" i="25"/>
  <c r="F14" i="26"/>
  <c r="F11" i="26"/>
  <c r="AN11" i="25"/>
  <c r="I20" i="26"/>
  <c r="F16" i="26"/>
  <c r="AN20" i="25"/>
  <c r="F10" i="26"/>
  <c r="AN9" i="25"/>
  <c r="AN24" i="25"/>
  <c r="F18" i="26"/>
  <c r="F15" i="26"/>
  <c r="AN18" i="25"/>
  <c r="AN14" i="25"/>
  <c r="F13" i="26"/>
  <c r="F16" i="24"/>
  <c r="AN20" i="23"/>
  <c r="AN22" i="23"/>
  <c r="F17" i="24"/>
  <c r="F11" i="24"/>
  <c r="AN11" i="23"/>
  <c r="F10" i="24"/>
  <c r="AN9" i="23"/>
  <c r="I20" i="24"/>
  <c r="F15" i="24"/>
  <c r="AN18" i="23"/>
  <c r="AN16" i="23"/>
  <c r="F14" i="24"/>
  <c r="AN14" i="23"/>
  <c r="F13" i="24"/>
  <c r="AN24" i="23"/>
  <c r="F18" i="24"/>
  <c r="AK20" i="21"/>
  <c r="AK18" i="21"/>
  <c r="AK22" i="21"/>
  <c r="AM22" i="21"/>
  <c r="H17" i="22" s="1"/>
  <c r="I17" i="22" s="1"/>
  <c r="AM11" i="21"/>
  <c r="H11" i="22" s="1"/>
  <c r="I11" i="22" s="1"/>
  <c r="AM9" i="21"/>
  <c r="H10" i="22" s="1"/>
  <c r="I10" i="22" s="1"/>
  <c r="AM14" i="21"/>
  <c r="H13" i="22" s="1"/>
  <c r="I13" i="22" s="1"/>
  <c r="AM18" i="21"/>
  <c r="H15" i="22" s="1"/>
  <c r="I15" i="22" s="1"/>
  <c r="AM20" i="21"/>
  <c r="H16" i="22" s="1"/>
  <c r="I16" i="22" s="1"/>
  <c r="AK14" i="21"/>
  <c r="AM16" i="21"/>
  <c r="H14" i="22" s="1"/>
  <c r="I14" i="22" s="1"/>
  <c r="AK9" i="21"/>
  <c r="AK16" i="21"/>
  <c r="AK24" i="21"/>
  <c r="AK11" i="21"/>
  <c r="AM24" i="21"/>
  <c r="H18" i="22" s="1"/>
  <c r="I18" i="22" s="1"/>
  <c r="AA5" i="14"/>
  <c r="Z6" i="14"/>
  <c r="L17" i="34" l="1"/>
  <c r="G17" i="34"/>
  <c r="K17" i="34" s="1"/>
  <c r="J17" i="34"/>
  <c r="L14" i="34"/>
  <c r="G14" i="34"/>
  <c r="K14" i="34" s="1"/>
  <c r="J14" i="34"/>
  <c r="J16" i="34"/>
  <c r="L16" i="34"/>
  <c r="G16" i="34"/>
  <c r="K16" i="34" s="1"/>
  <c r="J15" i="34"/>
  <c r="L15" i="34"/>
  <c r="G15" i="34"/>
  <c r="K15" i="34" s="1"/>
  <c r="L18" i="34"/>
  <c r="G18" i="34"/>
  <c r="K18" i="34" s="1"/>
  <c r="J18" i="34"/>
  <c r="L13" i="34"/>
  <c r="G13" i="34"/>
  <c r="K13" i="34" s="1"/>
  <c r="J13" i="34"/>
  <c r="J10" i="34"/>
  <c r="L10" i="34"/>
  <c r="G10" i="34"/>
  <c r="J11" i="34"/>
  <c r="L11" i="34"/>
  <c r="G11" i="34"/>
  <c r="K11" i="34" s="1"/>
  <c r="M11" i="32"/>
  <c r="Q11" i="32" s="1"/>
  <c r="S11" i="32" s="1"/>
  <c r="G14" i="32"/>
  <c r="K14" i="32" s="1"/>
  <c r="J14" i="32"/>
  <c r="L14" i="32"/>
  <c r="K10" i="32"/>
  <c r="J16" i="32"/>
  <c r="L16" i="32"/>
  <c r="G16" i="32"/>
  <c r="K16" i="32" s="1"/>
  <c r="G18" i="32"/>
  <c r="K18" i="32" s="1"/>
  <c r="J18" i="32"/>
  <c r="L18" i="32"/>
  <c r="L13" i="32"/>
  <c r="G13" i="32"/>
  <c r="K13" i="32" s="1"/>
  <c r="J13" i="32"/>
  <c r="L17" i="32"/>
  <c r="J17" i="32"/>
  <c r="G17" i="32"/>
  <c r="K17" i="32" s="1"/>
  <c r="G15" i="32"/>
  <c r="K15" i="32" s="1"/>
  <c r="J15" i="32"/>
  <c r="L15" i="32"/>
  <c r="J10" i="30"/>
  <c r="L10" i="30"/>
  <c r="G10" i="30"/>
  <c r="J11" i="30"/>
  <c r="L11" i="30"/>
  <c r="G11" i="30"/>
  <c r="K11" i="30" s="1"/>
  <c r="L17" i="30"/>
  <c r="J17" i="30"/>
  <c r="G17" i="30"/>
  <c r="K17" i="30" s="1"/>
  <c r="L18" i="30"/>
  <c r="G18" i="30"/>
  <c r="K18" i="30" s="1"/>
  <c r="J18" i="30"/>
  <c r="J16" i="30"/>
  <c r="L16" i="30"/>
  <c r="G16" i="30"/>
  <c r="K16" i="30" s="1"/>
  <c r="J15" i="30"/>
  <c r="L15" i="30"/>
  <c r="G15" i="30"/>
  <c r="K15" i="30" s="1"/>
  <c r="L13" i="30"/>
  <c r="G13" i="30"/>
  <c r="K13" i="30" s="1"/>
  <c r="J13" i="30"/>
  <c r="L14" i="30"/>
  <c r="G14" i="30"/>
  <c r="K14" i="30" s="1"/>
  <c r="J14" i="30"/>
  <c r="L17" i="28"/>
  <c r="G17" i="28"/>
  <c r="K17" i="28" s="1"/>
  <c r="J17" i="28"/>
  <c r="J11" i="28"/>
  <c r="L11" i="28"/>
  <c r="G11" i="28"/>
  <c r="K11" i="28" s="1"/>
  <c r="J10" i="28"/>
  <c r="L10" i="28"/>
  <c r="G10" i="28"/>
  <c r="J16" i="28"/>
  <c r="L16" i="28"/>
  <c r="G16" i="28"/>
  <c r="K16" i="28" s="1"/>
  <c r="L18" i="28"/>
  <c r="G18" i="28"/>
  <c r="K18" i="28" s="1"/>
  <c r="J18" i="28"/>
  <c r="L13" i="28"/>
  <c r="G13" i="28"/>
  <c r="K13" i="28" s="1"/>
  <c r="J13" i="28"/>
  <c r="L14" i="28"/>
  <c r="G14" i="28"/>
  <c r="K14" i="28" s="1"/>
  <c r="J14" i="28"/>
  <c r="J15" i="28"/>
  <c r="L15" i="28"/>
  <c r="G15" i="28"/>
  <c r="K15" i="28" s="1"/>
  <c r="J16" i="26"/>
  <c r="L16" i="26"/>
  <c r="G16" i="26"/>
  <c r="K16" i="26" s="1"/>
  <c r="L14" i="26"/>
  <c r="G14" i="26"/>
  <c r="K14" i="26" s="1"/>
  <c r="J14" i="26"/>
  <c r="J15" i="26"/>
  <c r="L15" i="26"/>
  <c r="G15" i="26"/>
  <c r="K15" i="26" s="1"/>
  <c r="J10" i="26"/>
  <c r="L10" i="26"/>
  <c r="G10" i="26"/>
  <c r="L17" i="26"/>
  <c r="G17" i="26"/>
  <c r="K17" i="26" s="1"/>
  <c r="J17" i="26"/>
  <c r="L13" i="26"/>
  <c r="G13" i="26"/>
  <c r="K13" i="26" s="1"/>
  <c r="J13" i="26"/>
  <c r="L18" i="26"/>
  <c r="G18" i="26"/>
  <c r="K18" i="26" s="1"/>
  <c r="J18" i="26"/>
  <c r="J11" i="26"/>
  <c r="L11" i="26"/>
  <c r="G11" i="26"/>
  <c r="K11" i="26" s="1"/>
  <c r="L17" i="24"/>
  <c r="J17" i="24"/>
  <c r="G17" i="24"/>
  <c r="K17" i="24" s="1"/>
  <c r="J13" i="24"/>
  <c r="L13" i="24"/>
  <c r="G13" i="24"/>
  <c r="K13" i="24" s="1"/>
  <c r="J10" i="24"/>
  <c r="L10" i="24"/>
  <c r="G10" i="24"/>
  <c r="L15" i="24"/>
  <c r="J15" i="24"/>
  <c r="G15" i="24"/>
  <c r="K15" i="24" s="1"/>
  <c r="L18" i="24"/>
  <c r="J18" i="24"/>
  <c r="G18" i="24"/>
  <c r="K18" i="24" s="1"/>
  <c r="L14" i="24"/>
  <c r="J14" i="24"/>
  <c r="G14" i="24"/>
  <c r="K14" i="24" s="1"/>
  <c r="J11" i="24"/>
  <c r="L11" i="24"/>
  <c r="G11" i="24"/>
  <c r="K11" i="24" s="1"/>
  <c r="J16" i="24"/>
  <c r="G16" i="24"/>
  <c r="K16" i="24" s="1"/>
  <c r="L16" i="24"/>
  <c r="F10" i="22"/>
  <c r="AN9" i="21"/>
  <c r="AN24" i="21"/>
  <c r="F18" i="22"/>
  <c r="F11" i="22"/>
  <c r="AN11" i="21"/>
  <c r="AN22" i="21"/>
  <c r="F17" i="22"/>
  <c r="I20" i="22"/>
  <c r="F15" i="22"/>
  <c r="AN18" i="21"/>
  <c r="AN14" i="21"/>
  <c r="F13" i="22"/>
  <c r="AN16" i="21"/>
  <c r="F14" i="22"/>
  <c r="F16" i="22"/>
  <c r="AN20" i="21"/>
  <c r="AB5" i="14"/>
  <c r="AA6" i="14"/>
  <c r="M11" i="34" l="1"/>
  <c r="Q11" i="34" s="1"/>
  <c r="S11" i="34" s="1"/>
  <c r="L20" i="34"/>
  <c r="M15" i="34"/>
  <c r="Q15" i="34" s="1"/>
  <c r="S15" i="34" s="1"/>
  <c r="M18" i="34"/>
  <c r="Q18" i="34" s="1"/>
  <c r="S18" i="34" s="1"/>
  <c r="M17" i="34"/>
  <c r="Q17" i="34" s="1"/>
  <c r="S17" i="34" s="1"/>
  <c r="M13" i="34"/>
  <c r="Q13" i="34" s="1"/>
  <c r="S13" i="34" s="1"/>
  <c r="M16" i="34"/>
  <c r="Q16" i="34" s="1"/>
  <c r="S16" i="34" s="1"/>
  <c r="M14" i="34"/>
  <c r="Q14" i="34" s="1"/>
  <c r="S14" i="34" s="1"/>
  <c r="K10" i="34"/>
  <c r="G20" i="34"/>
  <c r="M18" i="32"/>
  <c r="Q18" i="32" s="1"/>
  <c r="S18" i="32" s="1"/>
  <c r="M16" i="32"/>
  <c r="Q16" i="32" s="1"/>
  <c r="S16" i="32" s="1"/>
  <c r="M14" i="32"/>
  <c r="Q14" i="32" s="1"/>
  <c r="S14" i="32" s="1"/>
  <c r="L20" i="32"/>
  <c r="G20" i="32"/>
  <c r="K20" i="32"/>
  <c r="M10" i="32"/>
  <c r="M15" i="32"/>
  <c r="Q15" i="32" s="1"/>
  <c r="S15" i="32" s="1"/>
  <c r="M17" i="32"/>
  <c r="Q17" i="32" s="1"/>
  <c r="S17" i="32" s="1"/>
  <c r="M13" i="32"/>
  <c r="Q13" i="32" s="1"/>
  <c r="S13" i="32" s="1"/>
  <c r="M15" i="30"/>
  <c r="Q15" i="30" s="1"/>
  <c r="S15" i="30" s="1"/>
  <c r="M11" i="30"/>
  <c r="Q11" i="30" s="1"/>
  <c r="S11" i="30" s="1"/>
  <c r="M13" i="30"/>
  <c r="Q13" i="30" s="1"/>
  <c r="S13" i="30" s="1"/>
  <c r="M14" i="30"/>
  <c r="Q14" i="30" s="1"/>
  <c r="S14" i="30" s="1"/>
  <c r="M16" i="30"/>
  <c r="Q16" i="30" s="1"/>
  <c r="S16" i="30" s="1"/>
  <c r="M18" i="30"/>
  <c r="Q18" i="30" s="1"/>
  <c r="S18" i="30" s="1"/>
  <c r="K10" i="30"/>
  <c r="G20" i="30"/>
  <c r="L20" i="30"/>
  <c r="M17" i="30"/>
  <c r="Q17" i="30" s="1"/>
  <c r="S17" i="30" s="1"/>
  <c r="M11" i="28"/>
  <c r="Q11" i="28" s="1"/>
  <c r="S11" i="28" s="1"/>
  <c r="M17" i="28"/>
  <c r="Q17" i="28" s="1"/>
  <c r="S17" i="28" s="1"/>
  <c r="M15" i="28"/>
  <c r="Q15" i="28" s="1"/>
  <c r="S15" i="28" s="1"/>
  <c r="M14" i="28"/>
  <c r="Q14" i="28" s="1"/>
  <c r="S14" i="28" s="1"/>
  <c r="M16" i="28"/>
  <c r="Q16" i="28" s="1"/>
  <c r="S16" i="28" s="1"/>
  <c r="M18" i="28"/>
  <c r="Q18" i="28" s="1"/>
  <c r="S18" i="28" s="1"/>
  <c r="L20" i="28"/>
  <c r="M13" i="28"/>
  <c r="Q13" i="28" s="1"/>
  <c r="S13" i="28" s="1"/>
  <c r="K10" i="28"/>
  <c r="G20" i="28"/>
  <c r="M11" i="26"/>
  <c r="Q11" i="26" s="1"/>
  <c r="S11" i="26" s="1"/>
  <c r="M13" i="26"/>
  <c r="Q13" i="26" s="1"/>
  <c r="S13" i="26" s="1"/>
  <c r="M15" i="26"/>
  <c r="Q15" i="26" s="1"/>
  <c r="S15" i="26" s="1"/>
  <c r="M16" i="26"/>
  <c r="Q16" i="26" s="1"/>
  <c r="S16" i="26" s="1"/>
  <c r="M14" i="26"/>
  <c r="Q14" i="26" s="1"/>
  <c r="S14" i="26" s="1"/>
  <c r="M18" i="26"/>
  <c r="Q18" i="26" s="1"/>
  <c r="S18" i="26" s="1"/>
  <c r="K10" i="26"/>
  <c r="G20" i="26"/>
  <c r="L20" i="26"/>
  <c r="M17" i="26"/>
  <c r="Q17" i="26" s="1"/>
  <c r="S17" i="26" s="1"/>
  <c r="M13" i="24"/>
  <c r="Q13" i="24" s="1"/>
  <c r="S13" i="24" s="1"/>
  <c r="M18" i="24"/>
  <c r="Q18" i="24" s="1"/>
  <c r="S18" i="24" s="1"/>
  <c r="M17" i="24"/>
  <c r="Q17" i="24" s="1"/>
  <c r="S17" i="24" s="1"/>
  <c r="M15" i="24"/>
  <c r="Q15" i="24" s="1"/>
  <c r="S15" i="24" s="1"/>
  <c r="L20" i="24"/>
  <c r="M16" i="24"/>
  <c r="Q16" i="24" s="1"/>
  <c r="S16" i="24" s="1"/>
  <c r="M14" i="24"/>
  <c r="Q14" i="24" s="1"/>
  <c r="S14" i="24" s="1"/>
  <c r="M11" i="24"/>
  <c r="Q11" i="24" s="1"/>
  <c r="S11" i="24" s="1"/>
  <c r="K10" i="24"/>
  <c r="G20" i="24"/>
  <c r="J16" i="22"/>
  <c r="L16" i="22"/>
  <c r="G16" i="22"/>
  <c r="K16" i="22" s="1"/>
  <c r="L18" i="22"/>
  <c r="G18" i="22"/>
  <c r="K18" i="22" s="1"/>
  <c r="J18" i="22"/>
  <c r="L14" i="22"/>
  <c r="J14" i="22"/>
  <c r="G14" i="22"/>
  <c r="K14" i="22" s="1"/>
  <c r="L17" i="22"/>
  <c r="J17" i="22"/>
  <c r="G17" i="22"/>
  <c r="K17" i="22" s="1"/>
  <c r="G15" i="22"/>
  <c r="K15" i="22" s="1"/>
  <c r="J15" i="22"/>
  <c r="L15" i="22"/>
  <c r="L13" i="22"/>
  <c r="J13" i="22"/>
  <c r="G13" i="22"/>
  <c r="K13" i="22" s="1"/>
  <c r="J11" i="22"/>
  <c r="L11" i="22"/>
  <c r="G11" i="22"/>
  <c r="K11" i="22" s="1"/>
  <c r="G10" i="22"/>
  <c r="J10" i="22"/>
  <c r="L10" i="22"/>
  <c r="AB6" i="14"/>
  <c r="AC5" i="14"/>
  <c r="K20" i="34" l="1"/>
  <c r="M10" i="34"/>
  <c r="Q10" i="32"/>
  <c r="M20" i="32"/>
  <c r="K20" i="30"/>
  <c r="M10" i="30"/>
  <c r="K20" i="28"/>
  <c r="M10" i="28"/>
  <c r="K20" i="26"/>
  <c r="M10" i="26"/>
  <c r="K20" i="24"/>
  <c r="M10" i="24"/>
  <c r="M13" i="22"/>
  <c r="Q13" i="22" s="1"/>
  <c r="S13" i="22" s="1"/>
  <c r="M11" i="22"/>
  <c r="Q11" i="22" s="1"/>
  <c r="S11" i="22" s="1"/>
  <c r="M15" i="22"/>
  <c r="Q15" i="22" s="1"/>
  <c r="S15" i="22" s="1"/>
  <c r="M14" i="22"/>
  <c r="Q14" i="22" s="1"/>
  <c r="S14" i="22" s="1"/>
  <c r="M18" i="22"/>
  <c r="Q18" i="22" s="1"/>
  <c r="S18" i="22" s="1"/>
  <c r="K10" i="22"/>
  <c r="G20" i="22"/>
  <c r="L20" i="22"/>
  <c r="M17" i="22"/>
  <c r="Q17" i="22" s="1"/>
  <c r="S17" i="22" s="1"/>
  <c r="M16" i="22"/>
  <c r="Q16" i="22" s="1"/>
  <c r="S16" i="22" s="1"/>
  <c r="AC6" i="14"/>
  <c r="AD5" i="14"/>
  <c r="Q10" i="34" l="1"/>
  <c r="M20" i="34"/>
  <c r="S10" i="32"/>
  <c r="S20" i="32" s="1"/>
  <c r="Q20" i="32"/>
  <c r="Q10" i="30"/>
  <c r="M20" i="30"/>
  <c r="Q10" i="28"/>
  <c r="M20" i="28"/>
  <c r="Q10" i="26"/>
  <c r="M20" i="26"/>
  <c r="M20" i="24"/>
  <c r="Q10" i="24"/>
  <c r="K20" i="22"/>
  <c r="M10" i="22"/>
  <c r="AD6" i="14"/>
  <c r="AE5" i="14"/>
  <c r="S10" i="34" l="1"/>
  <c r="S20" i="34" s="1"/>
  <c r="Q20" i="34"/>
  <c r="S10" i="30"/>
  <c r="S20" i="30" s="1"/>
  <c r="Q20" i="30"/>
  <c r="S10" i="28"/>
  <c r="S20" i="28" s="1"/>
  <c r="Q20" i="28"/>
  <c r="S10" i="26"/>
  <c r="S20" i="26" s="1"/>
  <c r="Q20" i="26"/>
  <c r="S10" i="24"/>
  <c r="S20" i="24" s="1"/>
  <c r="Q20" i="24"/>
  <c r="Q10" i="22"/>
  <c r="M20" i="22"/>
  <c r="AF5" i="14"/>
  <c r="AE6" i="14"/>
  <c r="S10" i="22" l="1"/>
  <c r="S20" i="22" s="1"/>
  <c r="Q20" i="22"/>
  <c r="AF6" i="14"/>
  <c r="AG5" i="14"/>
  <c r="AH5" i="14" l="1"/>
  <c r="AG6" i="14"/>
  <c r="AI5" i="14" l="1"/>
  <c r="AH6" i="14"/>
  <c r="AJ5" i="14" l="1"/>
  <c r="AJ6" i="14" s="1"/>
  <c r="AI6" i="14"/>
  <c r="AM16" i="14" l="1"/>
  <c r="H14" i="16" s="1"/>
  <c r="I14" i="16" s="1"/>
  <c r="AM20" i="14"/>
  <c r="H16" i="16" s="1"/>
  <c r="I16" i="16" s="1"/>
  <c r="AM22" i="14"/>
  <c r="H17" i="16" s="1"/>
  <c r="I17" i="16" s="1"/>
  <c r="AK9" i="14"/>
  <c r="F10" i="16" s="1"/>
  <c r="AK22" i="14"/>
  <c r="F17" i="16" s="1"/>
  <c r="AK16" i="14"/>
  <c r="F14" i="16" s="1"/>
  <c r="AM18" i="14"/>
  <c r="H15" i="16" s="1"/>
  <c r="I15" i="16" s="1"/>
  <c r="AM24" i="14"/>
  <c r="H18" i="16" s="1"/>
  <c r="I18" i="16" s="1"/>
  <c r="AK14" i="14"/>
  <c r="F13" i="16" s="1"/>
  <c r="AK18" i="14"/>
  <c r="F15" i="16" s="1"/>
  <c r="AM9" i="14"/>
  <c r="H10" i="16" s="1"/>
  <c r="AK24" i="14"/>
  <c r="F18" i="16" s="1"/>
  <c r="AM14" i="14"/>
  <c r="H13" i="16" s="1"/>
  <c r="AM11" i="14"/>
  <c r="H11" i="16" s="1"/>
  <c r="AK20" i="14"/>
  <c r="F16" i="16" s="1"/>
  <c r="AK11" i="14"/>
  <c r="F11" i="16" s="1"/>
  <c r="L18" i="16" l="1"/>
  <c r="J18" i="16"/>
  <c r="G18" i="16"/>
  <c r="K18" i="16" s="1"/>
  <c r="J15" i="16"/>
  <c r="G15" i="16"/>
  <c r="K15" i="16" s="1"/>
  <c r="L15" i="16"/>
  <c r="L14" i="16"/>
  <c r="G14" i="16"/>
  <c r="K14" i="16" s="1"/>
  <c r="J14" i="16"/>
  <c r="L17" i="16"/>
  <c r="G17" i="16"/>
  <c r="K17" i="16" s="1"/>
  <c r="J17" i="16"/>
  <c r="L16" i="16"/>
  <c r="G16" i="16"/>
  <c r="K16" i="16" s="1"/>
  <c r="J16" i="16"/>
  <c r="AN24" i="14"/>
  <c r="AN18" i="14"/>
  <c r="AN16" i="14"/>
  <c r="AN9" i="14"/>
  <c r="L10" i="16"/>
  <c r="AN11" i="14"/>
  <c r="L11" i="16"/>
  <c r="AN20" i="14"/>
  <c r="AN14" i="14"/>
  <c r="AN22" i="14"/>
  <c r="I11" i="16"/>
  <c r="I10" i="16"/>
  <c r="M18" i="16" l="1"/>
  <c r="Q18" i="16" s="1"/>
  <c r="S18" i="16" s="1"/>
  <c r="M15" i="16"/>
  <c r="Q15" i="16" s="1"/>
  <c r="S15" i="16" s="1"/>
  <c r="M14" i="16"/>
  <c r="Q14" i="16" s="1"/>
  <c r="S14" i="16" s="1"/>
  <c r="M17" i="16"/>
  <c r="Q17" i="16" s="1"/>
  <c r="S17" i="16" s="1"/>
  <c r="M16" i="16"/>
  <c r="Q16" i="16" s="1"/>
  <c r="S16" i="16" s="1"/>
  <c r="J10" i="16"/>
  <c r="G10" i="16"/>
  <c r="G11" i="16"/>
  <c r="K11" i="16" s="1"/>
  <c r="J11" i="16"/>
  <c r="L13" i="16"/>
  <c r="G13" i="16"/>
  <c r="J13" i="16"/>
  <c r="I13" i="16"/>
  <c r="I20" i="16" s="1"/>
  <c r="K13" i="16" l="1"/>
  <c r="K10" i="16"/>
  <c r="G20" i="16"/>
  <c r="L20" i="16"/>
  <c r="M11" i="16"/>
  <c r="Q11" i="16" s="1"/>
  <c r="S11" i="16" s="1"/>
  <c r="K20" i="16" l="1"/>
  <c r="M10" i="16"/>
  <c r="M13" i="16"/>
  <c r="Q13" i="16" l="1"/>
  <c r="M20" i="16"/>
  <c r="Q10" i="16"/>
  <c r="S13" i="16" l="1"/>
  <c r="S10" i="16"/>
  <c r="Q20" i="16"/>
  <c r="S20" i="16" l="1"/>
</calcChain>
</file>

<file path=xl/sharedStrings.xml><?xml version="1.0" encoding="utf-8"?>
<sst xmlns="http://schemas.openxmlformats.org/spreadsheetml/2006/main" count="944" uniqueCount="176">
  <si>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</si>
  <si>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</si>
  <si>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</si>
  <si>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</si>
  <si>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</si>
  <si>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</si>
  <si>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</si>
  <si>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</si>
  <si>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</si>
  <si>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</si>
  <si>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</si>
  <si>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</si>
  <si>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</si>
  <si>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</si>
  <si>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</si>
  <si>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</si>
  <si>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</si>
  <si>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</si>
  <si>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</si>
  <si>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</si>
  <si>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</si>
  <si>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</si>
  <si>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</si>
  <si>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</si>
  <si>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</si>
  <si>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</si>
  <si>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</si>
  <si>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</si>
  <si>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</si>
  <si>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</si>
  <si>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</si>
  <si>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</si>
  <si>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</si>
  <si>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</si>
  <si>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</si>
  <si>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</si>
  <si>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</si>
  <si>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</si>
  <si>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</si>
  <si>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</si>
  <si>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</si>
  <si>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</si>
  <si>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</si>
  <si>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</si>
  <si>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</si>
  <si>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</si>
  <si>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</si>
  <si>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</si>
  <si>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</si>
  <si>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</si>
  <si>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</si>
  <si>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</si>
  <si>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</si>
  <si>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</si>
  <si>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</si>
  <si>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</si>
  <si>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</si>
  <si>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</si>
  <si>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</si>
  <si>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</si>
  <si>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</si>
  <si>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Mai Út Hiền</t>
  </si>
  <si>
    <t>Cơ Điện</t>
  </si>
  <si>
    <t>Nguyễn Thị Xuân Thảo</t>
  </si>
  <si>
    <t>KCS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</si>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</sst>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56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1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09"/>
  <sheetViews>
    <sheetView topLeftCell="A8" workbookViewId="0">
      <pane ySplit="3" topLeftCell="A11" activePane="bottomLeft" state="frozen"/>
      <selection activeCell="A8" sqref="A8"/>
      <selection pane="bottomLeft" activeCell="B13" sqref="B13:B18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159</v>
      </c>
    </row>
    <row r="2" spans="1:26" ht="15">
      <c r="A2" s="1" t="s">
        <v>160</v>
      </c>
    </row>
    <row r="3" spans="1:26" ht="15">
      <c r="A3" s="1"/>
    </row>
    <row r="4" spans="1:26">
      <c r="A4" s="109"/>
      <c r="B4" s="109"/>
    </row>
    <row r="5" spans="1:26" ht="23.25" customHeight="1">
      <c r="A5" s="201" t="s">
        <v>35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</row>
    <row r="6" spans="1:26" ht="23.25" customHeight="1">
      <c r="A6" s="202" t="str">
        <f>"Tháng "&amp;'CC -5'!C4&amp;" năm 2011"</f>
        <v>Tháng  năm 2011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03" t="s">
        <v>19</v>
      </c>
      <c r="B8" s="203" t="s">
        <v>3</v>
      </c>
      <c r="C8" s="203" t="s">
        <v>1</v>
      </c>
      <c r="D8" s="203" t="s">
        <v>2</v>
      </c>
      <c r="E8" s="198" t="s">
        <v>56</v>
      </c>
      <c r="F8" s="198"/>
      <c r="G8" s="198" t="s">
        <v>36</v>
      </c>
      <c r="H8" s="198"/>
      <c r="I8" s="198" t="s">
        <v>24</v>
      </c>
      <c r="J8" s="198" t="s">
        <v>33</v>
      </c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9" t="s">
        <v>39</v>
      </c>
      <c r="W8" s="199" t="s">
        <v>23</v>
      </c>
      <c r="X8" s="199" t="s">
        <v>11</v>
      </c>
      <c r="Y8" s="107"/>
      <c r="Z8" s="107"/>
    </row>
    <row r="9" spans="1:26" s="1" customFormat="1" ht="20.25" customHeight="1">
      <c r="A9" s="203"/>
      <c r="B9" s="203"/>
      <c r="C9" s="203"/>
      <c r="D9" s="203"/>
      <c r="E9" s="173" t="s">
        <v>166</v>
      </c>
      <c r="F9" s="173">
        <v>2015</v>
      </c>
      <c r="G9" s="172" t="s">
        <v>57</v>
      </c>
      <c r="H9" s="172" t="s">
        <v>38</v>
      </c>
      <c r="I9" s="198"/>
      <c r="J9" s="172" t="s">
        <v>109</v>
      </c>
      <c r="K9" s="172" t="s">
        <v>110</v>
      </c>
      <c r="L9" s="172" t="s">
        <v>111</v>
      </c>
      <c r="M9" s="172" t="s">
        <v>112</v>
      </c>
      <c r="N9" s="172" t="s">
        <v>113</v>
      </c>
      <c r="O9" s="172" t="s">
        <v>114</v>
      </c>
      <c r="P9" s="172" t="s">
        <v>115</v>
      </c>
      <c r="Q9" s="172" t="s">
        <v>116</v>
      </c>
      <c r="R9" s="172" t="s">
        <v>117</v>
      </c>
      <c r="S9" s="172" t="s">
        <v>118</v>
      </c>
      <c r="T9" s="172" t="s">
        <v>119</v>
      </c>
      <c r="U9" s="172" t="s">
        <v>120</v>
      </c>
      <c r="V9" s="200"/>
      <c r="W9" s="200"/>
      <c r="X9" s="200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ROW()-10</f>
        <v>1</v>
      </c>
      <c r="B11" s="158" t="s">
        <v>168</v>
      </c>
      <c r="C11" s="162" t="s">
        <v>61</v>
      </c>
      <c r="D11" s="158" t="s">
        <v>62</v>
      </c>
      <c r="E11" s="191">
        <v>4336000</v>
      </c>
      <c r="F11" s="153">
        <v>4336000</v>
      </c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18" si="0">ROW()-10</f>
        <v>2</v>
      </c>
      <c r="B12" s="158" t="s">
        <v>169</v>
      </c>
      <c r="C12" s="162" t="s">
        <v>63</v>
      </c>
      <c r="D12" s="158" t="s">
        <v>64</v>
      </c>
      <c r="E12" s="191">
        <v>4056000</v>
      </c>
      <c r="F12" s="153">
        <v>4056000</v>
      </c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70" customFormat="1" ht="21.75" customHeight="1">
      <c r="A13" s="164">
        <f t="shared" si="0"/>
        <v>3</v>
      </c>
      <c r="B13" s="165" t="s">
        <v>170</v>
      </c>
      <c r="C13" s="166" t="s">
        <v>121</v>
      </c>
      <c r="D13" s="164" t="s">
        <v>92</v>
      </c>
      <c r="E13" s="167">
        <v>3549000</v>
      </c>
      <c r="F13" s="167">
        <v>3237000</v>
      </c>
      <c r="G13" s="167">
        <v>390000</v>
      </c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8"/>
      <c r="Z13" s="169"/>
    </row>
    <row r="14" spans="1:26" s="170" customFormat="1" ht="21.75" customHeight="1">
      <c r="A14" s="164">
        <f t="shared" si="0"/>
        <v>4</v>
      </c>
      <c r="B14" s="165" t="s">
        <v>171</v>
      </c>
      <c r="C14" s="166" t="s">
        <v>122</v>
      </c>
      <c r="D14" s="164" t="s">
        <v>92</v>
      </c>
      <c r="E14" s="167">
        <v>3317000</v>
      </c>
      <c r="F14" s="167">
        <v>2943000</v>
      </c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172</v>
      </c>
      <c r="C15" s="166" t="s">
        <v>123</v>
      </c>
      <c r="D15" s="164" t="s">
        <v>92</v>
      </c>
      <c r="E15" s="167">
        <v>3317000</v>
      </c>
      <c r="F15" s="167">
        <v>2943000</v>
      </c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173</v>
      </c>
      <c r="C16" s="166" t="s">
        <v>124</v>
      </c>
      <c r="D16" s="164" t="s">
        <v>92</v>
      </c>
      <c r="E16" s="167">
        <v>3317000</v>
      </c>
      <c r="F16" s="167">
        <v>2943000</v>
      </c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64">
        <f t="shared" si="0"/>
        <v>7</v>
      </c>
      <c r="B17" s="165" t="s">
        <v>174</v>
      </c>
      <c r="C17" s="166" t="s">
        <v>125</v>
      </c>
      <c r="D17" s="164" t="s">
        <v>92</v>
      </c>
      <c r="E17" s="167">
        <v>3317000</v>
      </c>
      <c r="F17" s="167">
        <v>2943000</v>
      </c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64">
        <f t="shared" si="0"/>
        <v>8</v>
      </c>
      <c r="B18" s="165" t="s">
        <v>175</v>
      </c>
      <c r="C18" s="166" t="s">
        <v>126</v>
      </c>
      <c r="D18" s="164" t="s">
        <v>92</v>
      </c>
      <c r="E18" s="167">
        <v>3317000</v>
      </c>
      <c r="F18" s="167">
        <v>2943000</v>
      </c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ht="21.75" customHeight="1">
      <c r="A19" s="17"/>
      <c r="B19" s="17"/>
      <c r="C19" s="53"/>
      <c r="D19" s="141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07"/>
    </row>
    <row r="20" spans="1:26" ht="21.75" customHeight="1">
      <c r="A20" s="142"/>
      <c r="B20" s="142"/>
      <c r="C20" s="150"/>
      <c r="D20" s="149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07"/>
    </row>
    <row r="21" spans="1:26" ht="21.75" customHeight="1">
      <c r="A21" s="204" t="s">
        <v>25</v>
      </c>
      <c r="B21" s="205"/>
      <c r="C21" s="205"/>
      <c r="D21" s="155" t="s">
        <v>139</v>
      </c>
      <c r="E21" s="152">
        <f>SUM(E11:E20)</f>
        <v>28526000</v>
      </c>
      <c r="F21" s="152">
        <f>SUM(F11:F20)</f>
        <v>26344000</v>
      </c>
      <c r="G21" s="152">
        <f>SUM(G11:G20)</f>
        <v>3120000</v>
      </c>
      <c r="H21" s="152">
        <f>SUM(H11:H20)</f>
        <v>0</v>
      </c>
      <c r="I21" s="152"/>
      <c r="J21" s="152">
        <f t="shared" ref="J21:U21" si="1">SUMIF(J$11:J$20,"x",$E$11:$E$20)</f>
        <v>0</v>
      </c>
      <c r="K21" s="152">
        <f t="shared" si="1"/>
        <v>0</v>
      </c>
      <c r="L21" s="152">
        <f t="shared" si="1"/>
        <v>0</v>
      </c>
      <c r="M21" s="152">
        <f t="shared" si="1"/>
        <v>0</v>
      </c>
      <c r="N21" s="152">
        <f t="shared" si="1"/>
        <v>0</v>
      </c>
      <c r="O21" s="152">
        <f t="shared" si="1"/>
        <v>0</v>
      </c>
      <c r="P21" s="152">
        <f t="shared" si="1"/>
        <v>0</v>
      </c>
      <c r="Q21" s="152">
        <f t="shared" si="1"/>
        <v>0</v>
      </c>
      <c r="R21" s="152">
        <f t="shared" si="1"/>
        <v>0</v>
      </c>
      <c r="S21" s="152">
        <f t="shared" si="1"/>
        <v>0</v>
      </c>
      <c r="T21" s="152">
        <f t="shared" si="1"/>
        <v>0</v>
      </c>
      <c r="U21" s="152">
        <f t="shared" si="1"/>
        <v>0</v>
      </c>
      <c r="V21" s="152"/>
      <c r="W21" s="152"/>
      <c r="X21" s="152"/>
      <c r="Y21" s="107"/>
    </row>
    <row r="22" spans="1:26" ht="21.75" customHeight="1">
      <c r="A22" s="206"/>
      <c r="B22" s="207"/>
      <c r="C22" s="207"/>
      <c r="D22" s="155" t="s">
        <v>140</v>
      </c>
      <c r="E22" s="152"/>
      <c r="F22" s="152"/>
      <c r="G22" s="152"/>
      <c r="H22" s="152"/>
      <c r="I22" s="152"/>
      <c r="J22" s="152">
        <f t="array" ref="J22">SUM((J$11:J$20="x")*1)</f>
        <v>0</v>
      </c>
      <c r="K22" s="152">
        <f t="array" ref="K22">SUM((K$11:K$20="x")*1)</f>
        <v>0</v>
      </c>
      <c r="L22" s="152">
        <f t="array" ref="L22">SUM((L$11:L$20="x")*1)</f>
        <v>0</v>
      </c>
      <c r="M22" s="152">
        <f t="array" ref="M22">SUM((M$11:M$20="x")*1)</f>
        <v>0</v>
      </c>
      <c r="N22" s="152">
        <f t="array" ref="N22">SUM((N$11:N$20="x")*1)</f>
        <v>0</v>
      </c>
      <c r="O22" s="152">
        <f t="array" ref="O22">SUM((O$11:O$20="x")*1)</f>
        <v>0</v>
      </c>
      <c r="P22" s="152">
        <f t="array" ref="P22">SUM((P$11:P$20="x")*1)</f>
        <v>0</v>
      </c>
      <c r="Q22" s="152">
        <f t="array" ref="Q22">SUM((Q$11:Q$20="x")*1)</f>
        <v>0</v>
      </c>
      <c r="R22" s="152">
        <f t="array" ref="R22">SUM((R$11:R$20="x")*1)</f>
        <v>0</v>
      </c>
      <c r="S22" s="152">
        <f t="array" ref="S22">SUM((S$11:S$20="x")*1)</f>
        <v>0</v>
      </c>
      <c r="T22" s="152">
        <f t="array" ref="T22">SUM((T$11:T$20="x")*1)</f>
        <v>0</v>
      </c>
      <c r="U22" s="152">
        <f t="array" ref="U22">SUM((U$11:U$20="x")*1)</f>
        <v>0</v>
      </c>
      <c r="V22" s="152"/>
      <c r="W22" s="152"/>
      <c r="X22" s="152"/>
      <c r="Y22" s="107"/>
    </row>
    <row r="23" spans="1:26" ht="21.75" customHeight="1">
      <c r="A23" s="208"/>
      <c r="B23" s="209"/>
      <c r="C23" s="209"/>
      <c r="D23" s="155" t="s">
        <v>141</v>
      </c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07"/>
    </row>
    <row r="24" spans="1:26" ht="11.25" customHeight="1">
      <c r="A24" s="19"/>
      <c r="B24" s="19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108" t="s">
        <v>55</v>
      </c>
      <c r="X25" s="78"/>
    </row>
    <row r="26" spans="1:26" ht="16.5" customHeight="1">
      <c r="A26" s="19"/>
      <c r="B26" s="19"/>
      <c r="C26" s="20" t="s">
        <v>14</v>
      </c>
      <c r="D26" s="21"/>
      <c r="E26" s="22"/>
      <c r="F26" s="30"/>
      <c r="G26" s="30"/>
      <c r="H26" s="3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49" t="s">
        <v>22</v>
      </c>
      <c r="X26" s="49"/>
    </row>
    <row r="27" spans="1:26" ht="11.25" customHeight="1">
      <c r="A27" s="19"/>
      <c r="B27" s="19"/>
      <c r="C27" s="20"/>
      <c r="D27" s="21"/>
      <c r="E27" s="22">
        <f>3317000*0.105</f>
        <v>348285</v>
      </c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/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>
      <c r="A32" s="24"/>
      <c r="B32" s="24"/>
      <c r="C32" s="29" t="s">
        <v>21</v>
      </c>
      <c r="D32" s="21"/>
      <c r="E32" s="22"/>
      <c r="F32" s="30"/>
      <c r="G32" s="30"/>
      <c r="H32" s="30"/>
      <c r="I32" s="23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79"/>
      <c r="X32" s="50"/>
    </row>
    <row r="33" spans="3:24" ht="9" customHeight="1">
      <c r="C33" s="46"/>
      <c r="D33" s="46"/>
      <c r="E33" s="22"/>
      <c r="F33" s="51"/>
      <c r="G33" s="51"/>
      <c r="H33" s="51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52"/>
      <c r="X33" s="52"/>
    </row>
    <row r="34" spans="3:24">
      <c r="E34" s="22"/>
    </row>
    <row r="35" spans="3:24">
      <c r="E35" s="22"/>
    </row>
    <row r="48" spans="3:24">
      <c r="C48" s="154"/>
      <c r="G48" s="166" t="s">
        <v>121</v>
      </c>
      <c r="J48" s="2" t="s">
        <v>65</v>
      </c>
      <c r="K48" s="2" t="s">
        <v>121</v>
      </c>
      <c r="M48" s="2" t="str">
        <f>VLOOKUP(K48,$G$48:$J$107,4,0)</f>
        <v>ALTP001</v>
      </c>
      <c r="N48" s="197" t="str">
        <f>M48</f>
        <v>ALTP001</v>
      </c>
    </row>
    <row r="49" spans="3:14">
      <c r="C49" s="154"/>
      <c r="G49" s="166" t="s">
        <v>122</v>
      </c>
      <c r="J49" s="2" t="s">
        <v>66</v>
      </c>
      <c r="K49" s="2" t="s">
        <v>122</v>
      </c>
      <c r="M49" s="2" t="str">
        <f t="shared" ref="M49:M78" si="2">VLOOKUP(K49,$G$48:$J$107,4,0)</f>
        <v>ALTP002</v>
      </c>
      <c r="N49" s="197"/>
    </row>
    <row r="50" spans="3:14">
      <c r="C50" s="154"/>
      <c r="G50" s="166" t="s">
        <v>123</v>
      </c>
      <c r="J50" s="2" t="s">
        <v>67</v>
      </c>
      <c r="K50" s="2" t="s">
        <v>123</v>
      </c>
      <c r="M50" s="2" t="str">
        <f t="shared" si="2"/>
        <v>ALTP003</v>
      </c>
      <c r="N50" s="197" t="str">
        <f>M49</f>
        <v>ALTP002</v>
      </c>
    </row>
    <row r="51" spans="3:14">
      <c r="C51" s="154"/>
      <c r="G51" s="166" t="s">
        <v>124</v>
      </c>
      <c r="J51" s="2" t="s">
        <v>68</v>
      </c>
      <c r="K51" s="2" t="s">
        <v>124</v>
      </c>
      <c r="M51" s="2" t="str">
        <f t="shared" si="2"/>
        <v>ALTP004</v>
      </c>
      <c r="N51" s="197"/>
    </row>
    <row r="52" spans="3:14">
      <c r="C52" s="154"/>
      <c r="G52" s="166" t="s">
        <v>125</v>
      </c>
      <c r="J52" s="2" t="s">
        <v>69</v>
      </c>
      <c r="K52" s="2" t="s">
        <v>125</v>
      </c>
      <c r="M52" s="2" t="str">
        <f t="shared" si="2"/>
        <v>ALTP005</v>
      </c>
      <c r="N52" s="197" t="str">
        <f>M50</f>
        <v>ALTP003</v>
      </c>
    </row>
    <row r="53" spans="3:14">
      <c r="C53" s="154"/>
      <c r="G53" s="166" t="s">
        <v>126</v>
      </c>
      <c r="J53" s="2" t="s">
        <v>70</v>
      </c>
      <c r="K53" s="2" t="s">
        <v>126</v>
      </c>
      <c r="M53" s="2" t="str">
        <f t="shared" si="2"/>
        <v>ALTP006</v>
      </c>
      <c r="N53" s="197"/>
    </row>
    <row r="54" spans="3:14">
      <c r="C54" s="154"/>
      <c r="G54" s="166" t="s">
        <v>127</v>
      </c>
      <c r="J54" s="2" t="s">
        <v>71</v>
      </c>
      <c r="K54" s="2" t="s">
        <v>127</v>
      </c>
      <c r="M54" s="2" t="str">
        <f t="shared" si="2"/>
        <v>ALTP007</v>
      </c>
      <c r="N54" s="197" t="str">
        <f>M51</f>
        <v>ALTP004</v>
      </c>
    </row>
    <row r="55" spans="3:14">
      <c r="C55" s="154"/>
      <c r="G55" s="166" t="s">
        <v>128</v>
      </c>
      <c r="J55" s="2" t="s">
        <v>72</v>
      </c>
      <c r="K55" s="2" t="s">
        <v>128</v>
      </c>
      <c r="M55" s="2" t="str">
        <f t="shared" si="2"/>
        <v>ALTP008</v>
      </c>
      <c r="N55" s="197"/>
    </row>
    <row r="56" spans="3:14">
      <c r="C56" s="154"/>
      <c r="G56" s="166" t="s">
        <v>129</v>
      </c>
      <c r="J56" s="2" t="s">
        <v>73</v>
      </c>
      <c r="K56" s="2" t="s">
        <v>129</v>
      </c>
      <c r="M56" s="2" t="str">
        <f t="shared" si="2"/>
        <v>ALTP009</v>
      </c>
      <c r="N56" s="197" t="str">
        <f>M52</f>
        <v>ALTP005</v>
      </c>
    </row>
    <row r="57" spans="3:14">
      <c r="C57" s="154"/>
      <c r="G57" s="166" t="s">
        <v>130</v>
      </c>
      <c r="J57" s="2" t="s">
        <v>74</v>
      </c>
      <c r="K57" s="2" t="s">
        <v>130</v>
      </c>
      <c r="M57" s="2" t="str">
        <f t="shared" si="2"/>
        <v>ALTP010</v>
      </c>
      <c r="N57" s="197"/>
    </row>
    <row r="58" spans="3:14">
      <c r="C58" s="154"/>
      <c r="G58" s="166" t="s">
        <v>131</v>
      </c>
      <c r="J58" s="2" t="s">
        <v>75</v>
      </c>
      <c r="K58" s="2" t="s">
        <v>131</v>
      </c>
      <c r="M58" s="2" t="str">
        <f t="shared" si="2"/>
        <v>ALTP011</v>
      </c>
      <c r="N58" s="197" t="str">
        <f>M53</f>
        <v>ALTP006</v>
      </c>
    </row>
    <row r="59" spans="3:14">
      <c r="C59" s="154"/>
      <c r="G59" s="166" t="s">
        <v>132</v>
      </c>
      <c r="J59" s="2" t="s">
        <v>76</v>
      </c>
      <c r="K59" s="2" t="s">
        <v>133</v>
      </c>
      <c r="M59" s="2" t="str">
        <f t="shared" si="2"/>
        <v>ALTP013</v>
      </c>
      <c r="N59" s="197"/>
    </row>
    <row r="60" spans="3:14">
      <c r="C60" s="154"/>
      <c r="G60" s="166" t="s">
        <v>133</v>
      </c>
      <c r="J60" s="2" t="s">
        <v>77</v>
      </c>
      <c r="K60" s="2" t="s">
        <v>134</v>
      </c>
      <c r="M60" s="2" t="str">
        <f t="shared" si="2"/>
        <v>ALTP014</v>
      </c>
      <c r="N60" s="197" t="str">
        <f>M54</f>
        <v>ALTP007</v>
      </c>
    </row>
    <row r="61" spans="3:14">
      <c r="C61" s="154"/>
      <c r="G61" s="166" t="s">
        <v>134</v>
      </c>
      <c r="J61" s="2" t="s">
        <v>78</v>
      </c>
      <c r="K61" s="2" t="s">
        <v>135</v>
      </c>
      <c r="M61" s="2" t="str">
        <f t="shared" si="2"/>
        <v>ALTP015</v>
      </c>
      <c r="N61" s="197"/>
    </row>
    <row r="62" spans="3:14">
      <c r="C62" s="154"/>
      <c r="G62" s="166" t="s">
        <v>135</v>
      </c>
      <c r="J62" s="2" t="s">
        <v>79</v>
      </c>
      <c r="K62" s="2" t="s">
        <v>136</v>
      </c>
      <c r="M62" s="2" t="str">
        <f t="shared" si="2"/>
        <v>ALTP016</v>
      </c>
      <c r="N62" s="197" t="str">
        <f>M55</f>
        <v>ALTP008</v>
      </c>
    </row>
    <row r="63" spans="3:14">
      <c r="C63" s="154"/>
      <c r="G63" s="166" t="s">
        <v>136</v>
      </c>
      <c r="J63" s="2" t="s">
        <v>80</v>
      </c>
      <c r="K63" s="2" t="s">
        <v>137</v>
      </c>
      <c r="M63" s="2" t="str">
        <f t="shared" si="2"/>
        <v>ALTP017</v>
      </c>
      <c r="N63" s="197"/>
    </row>
    <row r="64" spans="3:14">
      <c r="C64" s="154"/>
      <c r="G64" s="166" t="s">
        <v>137</v>
      </c>
      <c r="J64" s="2" t="s">
        <v>81</v>
      </c>
      <c r="K64" s="2" t="s">
        <v>138</v>
      </c>
      <c r="M64" s="2" t="str">
        <f t="shared" si="2"/>
        <v>ALTP018</v>
      </c>
      <c r="N64" s="197" t="str">
        <f>M56</f>
        <v>ALTP009</v>
      </c>
    </row>
    <row r="65" spans="3:14">
      <c r="C65" s="154"/>
      <c r="G65" s="166" t="s">
        <v>138</v>
      </c>
      <c r="J65" s="2" t="s">
        <v>82</v>
      </c>
      <c r="K65" s="2" t="s">
        <v>142</v>
      </c>
      <c r="M65" s="2" t="str">
        <f t="shared" si="2"/>
        <v>ALTP019</v>
      </c>
      <c r="N65" s="197"/>
    </row>
    <row r="66" spans="3:14">
      <c r="C66" s="154"/>
      <c r="G66" s="166" t="s">
        <v>142</v>
      </c>
      <c r="J66" s="2" t="s">
        <v>83</v>
      </c>
      <c r="K66" s="2" t="s">
        <v>144</v>
      </c>
      <c r="M66" s="2" t="str">
        <f t="shared" si="2"/>
        <v>ALTP020</v>
      </c>
      <c r="N66" s="197" t="str">
        <f>M57</f>
        <v>ALTP010</v>
      </c>
    </row>
    <row r="67" spans="3:14">
      <c r="C67" s="154"/>
      <c r="G67" s="166" t="s">
        <v>144</v>
      </c>
      <c r="J67" s="2" t="s">
        <v>84</v>
      </c>
      <c r="K67" s="2" t="s">
        <v>149</v>
      </c>
      <c r="M67" s="2" t="str">
        <f t="shared" si="2"/>
        <v>ALTP025</v>
      </c>
      <c r="N67" s="197"/>
    </row>
    <row r="68" spans="3:14">
      <c r="C68" s="154"/>
      <c r="G68" s="166" t="s">
        <v>145</v>
      </c>
      <c r="J68" s="2" t="s">
        <v>85</v>
      </c>
      <c r="K68" s="2" t="s">
        <v>156</v>
      </c>
      <c r="M68" s="2" t="str">
        <f t="shared" si="2"/>
        <v>ALTP027</v>
      </c>
      <c r="N68" s="197" t="str">
        <f>M58</f>
        <v>ALTP011</v>
      </c>
    </row>
    <row r="69" spans="3:14">
      <c r="C69" s="154"/>
      <c r="G69" s="166" t="s">
        <v>146</v>
      </c>
      <c r="J69" s="2" t="s">
        <v>86</v>
      </c>
      <c r="K69" s="2" t="s">
        <v>104</v>
      </c>
      <c r="M69" s="2" t="str">
        <f t="shared" si="2"/>
        <v>ALTN001</v>
      </c>
      <c r="N69" s="197"/>
    </row>
    <row r="70" spans="3:14">
      <c r="C70" s="154"/>
      <c r="G70" s="166" t="s">
        <v>156</v>
      </c>
      <c r="J70" s="2" t="s">
        <v>91</v>
      </c>
      <c r="K70" s="2" t="s">
        <v>105</v>
      </c>
      <c r="M70" s="2" t="str">
        <f t="shared" si="2"/>
        <v>ALTN002</v>
      </c>
      <c r="N70" s="197" t="str">
        <f>M59</f>
        <v>ALTP013</v>
      </c>
    </row>
    <row r="71" spans="3:14">
      <c r="C71" s="154"/>
      <c r="G71" s="2" t="s">
        <v>147</v>
      </c>
      <c r="J71" s="2" t="s">
        <v>87</v>
      </c>
      <c r="K71" s="2" t="s">
        <v>106</v>
      </c>
      <c r="M71" s="2" t="str">
        <f t="shared" si="2"/>
        <v>ALTN003</v>
      </c>
      <c r="N71" s="197"/>
    </row>
    <row r="72" spans="3:14">
      <c r="C72" s="154"/>
      <c r="G72" s="2" t="s">
        <v>148</v>
      </c>
      <c r="J72" s="2" t="s">
        <v>88</v>
      </c>
      <c r="K72" s="2" t="s">
        <v>155</v>
      </c>
      <c r="M72" s="2" t="str">
        <f t="shared" si="2"/>
        <v>ALTN004</v>
      </c>
      <c r="N72" s="197" t="str">
        <f>M60</f>
        <v>ALTP014</v>
      </c>
    </row>
    <row r="73" spans="3:14">
      <c r="C73" s="154"/>
      <c r="G73" s="2" t="s">
        <v>149</v>
      </c>
      <c r="J73" s="2" t="s">
        <v>89</v>
      </c>
      <c r="K73" s="2" t="s">
        <v>108</v>
      </c>
      <c r="M73" s="2" t="str">
        <f t="shared" si="2"/>
        <v>ALTN006</v>
      </c>
      <c r="N73" s="197"/>
    </row>
    <row r="74" spans="3:14">
      <c r="C74" s="154"/>
      <c r="G74" s="2" t="s">
        <v>154</v>
      </c>
      <c r="J74" s="2" t="s">
        <v>90</v>
      </c>
      <c r="K74" s="2" t="s">
        <v>143</v>
      </c>
      <c r="M74" s="2" t="str">
        <f t="shared" si="2"/>
        <v>ALTN007</v>
      </c>
      <c r="N74" s="197" t="str">
        <f>M61</f>
        <v>ALTP015</v>
      </c>
    </row>
    <row r="75" spans="3:14">
      <c r="C75" s="154"/>
      <c r="G75" s="2" t="s">
        <v>104</v>
      </c>
      <c r="J75" s="2" t="s">
        <v>93</v>
      </c>
      <c r="K75" s="2" t="s">
        <v>150</v>
      </c>
      <c r="M75" s="2" t="str">
        <f t="shared" si="2"/>
        <v>ALTN008</v>
      </c>
      <c r="N75" s="197"/>
    </row>
    <row r="76" spans="3:14">
      <c r="C76" s="154"/>
      <c r="G76" s="2" t="s">
        <v>105</v>
      </c>
      <c r="J76" s="2" t="s">
        <v>94</v>
      </c>
      <c r="K76" s="2" t="s">
        <v>151</v>
      </c>
      <c r="M76" s="2" t="str">
        <f t="shared" si="2"/>
        <v>ALTN009</v>
      </c>
      <c r="N76" s="197" t="str">
        <f>M62</f>
        <v>ALTP016</v>
      </c>
    </row>
    <row r="77" spans="3:14">
      <c r="C77" s="154"/>
      <c r="G77" s="2" t="s">
        <v>106</v>
      </c>
      <c r="J77" s="2" t="s">
        <v>95</v>
      </c>
      <c r="K77" s="2" t="s">
        <v>152</v>
      </c>
      <c r="M77" s="2" t="str">
        <f t="shared" si="2"/>
        <v>ALTN010</v>
      </c>
      <c r="N77" s="197"/>
    </row>
    <row r="78" spans="3:14">
      <c r="C78" s="154"/>
      <c r="G78" s="2" t="s">
        <v>155</v>
      </c>
      <c r="J78" s="2" t="s">
        <v>96</v>
      </c>
      <c r="K78" s="2" t="s">
        <v>153</v>
      </c>
      <c r="M78" s="2" t="str">
        <f t="shared" si="2"/>
        <v>ALTN011</v>
      </c>
      <c r="N78" s="197" t="str">
        <f>M63</f>
        <v>ALTP017</v>
      </c>
    </row>
    <row r="79" spans="3:14">
      <c r="C79" s="154"/>
      <c r="G79" s="2" t="s">
        <v>107</v>
      </c>
      <c r="J79" s="2" t="s">
        <v>97</v>
      </c>
      <c r="N79" s="197"/>
    </row>
    <row r="80" spans="3:14">
      <c r="C80" s="154"/>
      <c r="G80" s="31" t="s">
        <v>108</v>
      </c>
      <c r="J80" s="2" t="s">
        <v>98</v>
      </c>
      <c r="N80" s="197" t="str">
        <f>M64</f>
        <v>ALTP018</v>
      </c>
    </row>
    <row r="81" spans="3:14">
      <c r="C81" s="154"/>
      <c r="G81" s="31" t="s">
        <v>143</v>
      </c>
      <c r="J81" s="2" t="s">
        <v>99</v>
      </c>
      <c r="N81" s="197"/>
    </row>
    <row r="82" spans="3:14">
      <c r="C82" s="154"/>
      <c r="G82" s="31" t="s">
        <v>150</v>
      </c>
      <c r="J82" s="2" t="s">
        <v>100</v>
      </c>
      <c r="N82" s="197" t="str">
        <f>M65</f>
        <v>ALTP019</v>
      </c>
    </row>
    <row r="83" spans="3:14">
      <c r="C83" s="154"/>
      <c r="G83" s="31" t="s">
        <v>151</v>
      </c>
      <c r="J83" s="2" t="s">
        <v>101</v>
      </c>
      <c r="N83" s="197"/>
    </row>
    <row r="84" spans="3:14">
      <c r="C84" s="154"/>
      <c r="G84" s="31" t="s">
        <v>152</v>
      </c>
      <c r="J84" s="2" t="s">
        <v>102</v>
      </c>
      <c r="N84" s="197" t="str">
        <f>M66</f>
        <v>ALTP020</v>
      </c>
    </row>
    <row r="85" spans="3:14">
      <c r="C85" s="154"/>
      <c r="G85" s="31" t="s">
        <v>153</v>
      </c>
      <c r="J85" s="2" t="s">
        <v>103</v>
      </c>
      <c r="N85" s="197"/>
    </row>
    <row r="86" spans="3:14">
      <c r="C86" s="154"/>
      <c r="N86" s="197" t="str">
        <f>M67</f>
        <v>ALTP025</v>
      </c>
    </row>
    <row r="87" spans="3:14">
      <c r="C87" s="154"/>
      <c r="N87" s="197"/>
    </row>
    <row r="88" spans="3:14">
      <c r="C88" s="154"/>
      <c r="N88" s="197" t="str">
        <f>M68</f>
        <v>ALTP027</v>
      </c>
    </row>
    <row r="89" spans="3:14">
      <c r="C89" s="154"/>
      <c r="N89" s="197"/>
    </row>
    <row r="90" spans="3:14">
      <c r="C90" s="154"/>
      <c r="N90" s="197" t="str">
        <f>M69</f>
        <v>ALTN001</v>
      </c>
    </row>
    <row r="91" spans="3:14">
      <c r="C91" s="154"/>
      <c r="N91" s="197"/>
    </row>
    <row r="92" spans="3:14">
      <c r="C92" s="154"/>
      <c r="N92" s="197" t="str">
        <f>M70</f>
        <v>ALTN002</v>
      </c>
    </row>
    <row r="93" spans="3:14">
      <c r="C93" s="154"/>
      <c r="N93" s="197"/>
    </row>
    <row r="94" spans="3:14">
      <c r="C94" s="154"/>
      <c r="N94" s="197" t="str">
        <f>M71</f>
        <v>ALTN003</v>
      </c>
    </row>
    <row r="95" spans="3:14">
      <c r="C95" s="154"/>
      <c r="N95" s="197"/>
    </row>
    <row r="96" spans="3:14">
      <c r="C96" s="154"/>
      <c r="N96" s="197" t="str">
        <f>M72</f>
        <v>ALTN004</v>
      </c>
    </row>
    <row r="97" spans="3:14">
      <c r="C97" s="154"/>
      <c r="N97" s="197"/>
    </row>
    <row r="98" spans="3:14">
      <c r="C98" s="154"/>
      <c r="N98" s="197" t="str">
        <f>M73</f>
        <v>ALTN006</v>
      </c>
    </row>
    <row r="99" spans="3:14">
      <c r="C99" s="154"/>
      <c r="N99" s="197"/>
    </row>
    <row r="100" spans="3:14">
      <c r="C100" s="154"/>
      <c r="N100" s="197" t="str">
        <f>M74</f>
        <v>ALTN007</v>
      </c>
    </row>
    <row r="101" spans="3:14">
      <c r="C101" s="154"/>
      <c r="N101" s="197"/>
    </row>
    <row r="102" spans="3:14">
      <c r="C102" s="154"/>
      <c r="N102" s="197" t="str">
        <f>M75</f>
        <v>ALTN008</v>
      </c>
    </row>
    <row r="103" spans="3:14">
      <c r="C103" s="154"/>
      <c r="N103" s="197"/>
    </row>
    <row r="104" spans="3:14">
      <c r="C104" s="154"/>
      <c r="N104" s="197" t="str">
        <f>M76</f>
        <v>ALTN009</v>
      </c>
    </row>
    <row r="105" spans="3:14">
      <c r="C105" s="154"/>
      <c r="N105" s="197"/>
    </row>
    <row r="106" spans="3:14">
      <c r="C106" s="154"/>
      <c r="N106" s="197" t="str">
        <f>M77</f>
        <v>ALTN010</v>
      </c>
    </row>
    <row r="107" spans="3:14">
      <c r="C107" s="154"/>
      <c r="N107" s="197"/>
    </row>
    <row r="108" spans="3:14">
      <c r="C108" s="154"/>
      <c r="N108" s="197" t="str">
        <f>M78</f>
        <v>ALTN011</v>
      </c>
    </row>
    <row r="109" spans="3:14">
      <c r="C109" s="154"/>
      <c r="N109" s="197"/>
    </row>
  </sheetData>
  <protectedRanges>
    <protectedRange password="CC78" sqref="E36:E65337 B8:D9 W8:W9 B24:B65337 C33:D65337 F33:JG47 F99:M99 Y8:JG12 F48 H48:J48 L48:JG48 L49:L75 F86:L98 N49:JG99 M49:M78 F100:JG65337 K76:L85 F49:J69 F71:J85 F70 H70:J70 F8:H8 J19:JG23 C19:H23 A8:A65337 B10:X10 V13:JG18 J11:X12 E11:H18" name="Range1"/>
    <protectedRange password="CC78" sqref="C26:C31 E33:E35 W26:JG31 D26:H32" name="Range1_1_1"/>
    <protectedRange password="CC78" sqref="C32 W32:JG32" name="Range1_3_1"/>
    <protectedRange password="CC78" sqref="A5:JG7" name="Range1_2"/>
    <protectedRange password="CC78" sqref="I8:V9 I11:I23" name="Range1_3"/>
    <protectedRange password="CC78" sqref="B19:B23" name="Range1_1"/>
    <protectedRange password="CC78" sqref="E8:E9 F9" name="Range1_4"/>
    <protectedRange password="CC78" sqref="B13:B18" name="Range1_6"/>
    <protectedRange password="CC78" sqref="D13:D18" name="Range1_7"/>
    <protectedRange password="CC78" sqref="J11:U18" name="Range1_11"/>
  </protectedRanges>
  <autoFilter ref="A10:Z18"/>
  <mergeCells count="45">
    <mergeCell ref="N92:N93"/>
    <mergeCell ref="N94:N95"/>
    <mergeCell ref="N96:N97"/>
    <mergeCell ref="A21:C23"/>
    <mergeCell ref="N68:N69"/>
    <mergeCell ref="N70:N71"/>
    <mergeCell ref="N72:N73"/>
    <mergeCell ref="N74:N75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4:N105"/>
    <mergeCell ref="N106:N107"/>
    <mergeCell ref="N108:N109"/>
    <mergeCell ref="J8:U8"/>
    <mergeCell ref="V8:V9"/>
    <mergeCell ref="N76:N77"/>
    <mergeCell ref="N78:N79"/>
    <mergeCell ref="N80:N81"/>
    <mergeCell ref="N82:N83"/>
    <mergeCell ref="N84:N85"/>
    <mergeCell ref="N86:N87"/>
    <mergeCell ref="N100:N101"/>
    <mergeCell ref="N102:N103"/>
    <mergeCell ref="N98:N99"/>
    <mergeCell ref="N88:N89"/>
    <mergeCell ref="N90:N91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42"/>
  <sheetViews>
    <sheetView tabSelected="1"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E5" sqref="E5:E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10" t="s">
        <v>158</v>
      </c>
      <c r="AN1" s="211"/>
      <c r="AO1" s="211"/>
      <c r="AP1" s="211"/>
      <c r="AQ1" s="211"/>
      <c r="AR1" s="211"/>
      <c r="AS1" s="21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29" t="s">
        <v>28</v>
      </c>
      <c r="B5" s="229" t="s">
        <v>3</v>
      </c>
      <c r="C5" s="229" t="s">
        <v>1</v>
      </c>
      <c r="D5" s="231" t="s">
        <v>29</v>
      </c>
      <c r="E5" s="229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34" t="s">
        <v>15</v>
      </c>
      <c r="AL5" s="235"/>
      <c r="AM5" s="236"/>
      <c r="AN5" s="232" t="s">
        <v>45</v>
      </c>
      <c r="AO5" s="232" t="s">
        <v>41</v>
      </c>
      <c r="AP5" s="232" t="s">
        <v>42</v>
      </c>
      <c r="AQ5" s="232" t="s">
        <v>43</v>
      </c>
      <c r="AR5" s="232" t="s">
        <v>44</v>
      </c>
      <c r="AS5" s="231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0"/>
      <c r="B6" s="230"/>
      <c r="C6" s="230"/>
      <c r="D6" s="230"/>
      <c r="E6" s="230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33"/>
      <c r="AO6" s="233"/>
      <c r="AP6" s="233"/>
      <c r="AQ6" s="233"/>
      <c r="AR6" s="233"/>
      <c r="AS6" s="230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161</v>
      </c>
      <c r="B8" s="182" t="s">
        <v>162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25">
        <v>1</v>
      </c>
      <c r="B9" s="225" t="s">
        <v>168</v>
      </c>
      <c r="C9" s="227" t="str">
        <f>VLOOKUP(B9,DS,2,0)</f>
        <v>Mai Út Hiền</v>
      </c>
      <c r="D9" s="223" t="str">
        <f>VLOOKUP(B9,DS,3,0)</f>
        <v>Cơ Điện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15">
        <f>((SUM(F9:AJ9))/8)-(SUMIF($F$6:$AJ$6,"C.Nhật",F9:AJ9)/8)</f>
        <v>21</v>
      </c>
      <c r="AL9" s="215">
        <f>SUM(F10:AJ10)/8*1.5</f>
        <v>0</v>
      </c>
      <c r="AM9" s="217">
        <f>SUMIF($F$6:$AJ$6,"C.Nhật",$F9:$AJ10)/8*2</f>
        <v>8</v>
      </c>
      <c r="AN9" s="219">
        <f>SUM(AK9:AM10)</f>
        <v>29</v>
      </c>
      <c r="AO9" s="221">
        <v>0</v>
      </c>
      <c r="AP9" s="219"/>
      <c r="AQ9" s="219"/>
      <c r="AR9" s="219"/>
      <c r="AS9" s="213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26"/>
      <c r="B10" s="226"/>
      <c r="C10" s="228"/>
      <c r="D10" s="224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6"/>
      <c r="AL10" s="216"/>
      <c r="AM10" s="218"/>
      <c r="AN10" s="220"/>
      <c r="AO10" s="222"/>
      <c r="AP10" s="220"/>
      <c r="AQ10" s="220"/>
      <c r="AR10" s="220"/>
      <c r="AS10" s="214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25">
        <f>A9+1</f>
        <v>2</v>
      </c>
      <c r="B11" s="225" t="s">
        <v>169</v>
      </c>
      <c r="C11" s="227" t="str">
        <f>VLOOKUP(B11,DS,2,0)</f>
        <v>Nguyễn Thị Xuân Thảo</v>
      </c>
      <c r="D11" s="223" t="str">
        <f>VLOOKUP(B11,DS,3,0)</f>
        <v>KCS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15">
        <f t="shared" ref="AK11" si="2">((SUM(F11:AJ11))/8)-(SUMIF($F$6:$AJ$6,"C.Nhật",F11:AJ11)/8)</f>
        <v>21</v>
      </c>
      <c r="AL11" s="215">
        <f t="shared" ref="AL11" si="3">SUM(F12:AJ12)/8*1.5</f>
        <v>0</v>
      </c>
      <c r="AM11" s="217">
        <f t="shared" ref="AM11" si="4">SUMIF($F$6:$AJ$6,"C.Nhật",$F11:$AJ12)/8*2</f>
        <v>8</v>
      </c>
      <c r="AN11" s="219">
        <f t="shared" ref="AN11" si="5">SUM(AK11:AM12)</f>
        <v>29</v>
      </c>
      <c r="AO11" s="221">
        <v>0</v>
      </c>
      <c r="AP11" s="219"/>
      <c r="AQ11" s="219"/>
      <c r="AR11" s="219"/>
      <c r="AS11" s="213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26"/>
      <c r="B12" s="226"/>
      <c r="C12" s="228"/>
      <c r="D12" s="224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6"/>
      <c r="AL12" s="216"/>
      <c r="AM12" s="218"/>
      <c r="AN12" s="220"/>
      <c r="AO12" s="222"/>
      <c r="AP12" s="220"/>
      <c r="AQ12" s="220"/>
      <c r="AR12" s="220"/>
      <c r="AS12" s="214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163</v>
      </c>
      <c r="B13" s="182" t="s">
        <v>167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25">
        <v>1</v>
      </c>
      <c r="B14" s="225" t="s">
        <v>170</v>
      </c>
      <c r="C14" s="227" t="str">
        <f>VLOOKUP(B14,DS,2,0)</f>
        <v xml:space="preserve"> Lâm Thị Mộng Kiều </v>
      </c>
      <c r="D14" s="223" t="str">
        <f>VLOOKUP(B14,DS,3,0)</f>
        <v>Công nhân</v>
      </c>
      <c r="E14" s="68" t="s">
        <v>32</v>
      </c>
      <c r="F14" s="143"/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/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/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/>
      <c r="AJ14" s="143">
        <v>8</v>
      </c>
      <c r="AK14" s="215">
        <f t="shared" ref="AK14" si="6">((SUM(F14:AJ14))/8)-(SUMIF($F$6:$AJ$6,"C.Nhật",F14:AJ14)/8)</f>
        <v>21</v>
      </c>
      <c r="AL14" s="215">
        <f t="shared" ref="AL14" si="7">SUM(F15:AJ15)/8*1.5</f>
        <v>0</v>
      </c>
      <c r="AM14" s="217">
        <f>SUMIF($F$6:$AJ$6,"C.Nhật",$F14:$AJ15)/8*2</f>
        <v>8</v>
      </c>
      <c r="AN14" s="219">
        <f>SUM(AK14:AM15)</f>
        <v>29</v>
      </c>
      <c r="AO14" s="221">
        <v>0</v>
      </c>
      <c r="AP14" s="219"/>
      <c r="AQ14" s="219"/>
      <c r="AR14" s="219"/>
      <c r="AS14" s="213"/>
      <c r="AT14" s="14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26"/>
      <c r="B15" s="226"/>
      <c r="C15" s="228"/>
      <c r="D15" s="224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16"/>
      <c r="AL15" s="216"/>
      <c r="AM15" s="218"/>
      <c r="AN15" s="220"/>
      <c r="AO15" s="222"/>
      <c r="AP15" s="220"/>
      <c r="AQ15" s="220"/>
      <c r="AR15" s="220"/>
      <c r="AS15" s="214"/>
      <c r="AT15" s="14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25">
        <f>A14+1</f>
        <v>2</v>
      </c>
      <c r="B16" s="225" t="s">
        <v>171</v>
      </c>
      <c r="C16" s="227" t="str">
        <f>VLOOKUP(B16,DS,2,0)</f>
        <v>Huỳnh Thị Hường</v>
      </c>
      <c r="D16" s="223" t="str">
        <f>VLOOKUP(B16,DS,3,0)</f>
        <v>Công nhân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15">
        <f t="shared" ref="AK16" si="8">((SUM(F16:AJ16))/8)-(SUMIF($F$6:$AJ$6,"C.Nhật",F16:AJ16)/8)</f>
        <v>21</v>
      </c>
      <c r="AL16" s="215">
        <f t="shared" ref="AL16" si="9">SUM(F17:AJ17)/8*1.5</f>
        <v>0</v>
      </c>
      <c r="AM16" s="217">
        <f>SUMIF($F$6:$AJ$6,"C.Nhật",$F16:$AJ17)/8*2</f>
        <v>8</v>
      </c>
      <c r="AN16" s="219">
        <f t="shared" ref="AN16" si="10">SUM(AK16:AM17)</f>
        <v>29</v>
      </c>
      <c r="AO16" s="221">
        <v>0</v>
      </c>
      <c r="AP16" s="219"/>
      <c r="AQ16" s="219"/>
      <c r="AR16" s="219"/>
      <c r="AS16" s="213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26"/>
      <c r="B17" s="226"/>
      <c r="C17" s="228"/>
      <c r="D17" s="224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6"/>
      <c r="AL17" s="216"/>
      <c r="AM17" s="218"/>
      <c r="AN17" s="220"/>
      <c r="AO17" s="222"/>
      <c r="AP17" s="220"/>
      <c r="AQ17" s="220"/>
      <c r="AR17" s="220"/>
      <c r="AS17" s="214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25">
        <f t="shared" ref="A18" si="11">A16+1</f>
        <v>3</v>
      </c>
      <c r="B18" s="225" t="s">
        <v>172</v>
      </c>
      <c r="C18" s="227" t="str">
        <f>VLOOKUP(B18,DS,2,0)</f>
        <v>Nguyễn Thị Rong</v>
      </c>
      <c r="D18" s="223" t="str">
        <f>VLOOKUP(B18,DS,3,0)</f>
        <v>Công nhân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15">
        <f t="shared" ref="AK18" si="12">((SUM(F18:AJ18))/8)-(SUMIF($F$6:$AJ$6,"C.Nhật",F18:AJ18)/8)</f>
        <v>21</v>
      </c>
      <c r="AL18" s="215">
        <f t="shared" ref="AL18" si="13">SUM(F19:AJ19)/8*1.5</f>
        <v>0</v>
      </c>
      <c r="AM18" s="217">
        <f>SUMIF($F$6:$AJ$6,"C.Nhật",$F18:$AJ19)/8*2</f>
        <v>8</v>
      </c>
      <c r="AN18" s="219">
        <f t="shared" ref="AN18" si="14">SUM(AK18:AM19)</f>
        <v>29</v>
      </c>
      <c r="AO18" s="221">
        <v>0</v>
      </c>
      <c r="AP18" s="219"/>
      <c r="AQ18" s="219"/>
      <c r="AR18" s="219"/>
      <c r="AS18" s="213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26"/>
      <c r="B19" s="226"/>
      <c r="C19" s="228"/>
      <c r="D19" s="224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6"/>
      <c r="AL19" s="216"/>
      <c r="AM19" s="218"/>
      <c r="AN19" s="220"/>
      <c r="AO19" s="222"/>
      <c r="AP19" s="220"/>
      <c r="AQ19" s="220"/>
      <c r="AR19" s="220"/>
      <c r="AS19" s="214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25">
        <f t="shared" ref="A20" si="15">A18+1</f>
        <v>4</v>
      </c>
      <c r="B20" s="225" t="s">
        <v>173</v>
      </c>
      <c r="C20" s="227" t="str">
        <f>VLOOKUP(B20,DS,2,0)</f>
        <v>Sơn Thị Nil</v>
      </c>
      <c r="D20" s="223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15">
        <f t="shared" ref="AK20" si="16">((SUM(F20:AJ20))/8)-(SUMIF($F$6:$AJ$6,"C.Nhật",F20:AJ20)/8)</f>
        <v>21</v>
      </c>
      <c r="AL20" s="215">
        <f t="shared" ref="AL20" si="17">SUM(F21:AJ21)/8*1.5</f>
        <v>0</v>
      </c>
      <c r="AM20" s="217">
        <f>SUMIF($F$6:$AJ$6,"C.Nhật",$F20:$AJ21)/8*2</f>
        <v>8</v>
      </c>
      <c r="AN20" s="219">
        <f t="shared" ref="AN20" si="18">SUM(AK20:AM21)</f>
        <v>29</v>
      </c>
      <c r="AO20" s="221">
        <v>0</v>
      </c>
      <c r="AP20" s="219"/>
      <c r="AQ20" s="219"/>
      <c r="AR20" s="219"/>
      <c r="AS20" s="213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26"/>
      <c r="B21" s="226"/>
      <c r="C21" s="228"/>
      <c r="D21" s="224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6"/>
      <c r="AL21" s="216"/>
      <c r="AM21" s="218"/>
      <c r="AN21" s="220"/>
      <c r="AO21" s="222"/>
      <c r="AP21" s="220"/>
      <c r="AQ21" s="220"/>
      <c r="AR21" s="220"/>
      <c r="AS21" s="214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25">
        <f t="shared" ref="A22" si="19">A20+1</f>
        <v>5</v>
      </c>
      <c r="B22" s="225" t="s">
        <v>174</v>
      </c>
      <c r="C22" s="227" t="str">
        <f>VLOOKUP(B22,DS,2,0)</f>
        <v>Huỳnh Thị Bé Tha</v>
      </c>
      <c r="D22" s="223" t="str">
        <f>VLOOKUP(B22,DS,3,0)</f>
        <v>Công nhân</v>
      </c>
      <c r="E22" s="68" t="s">
        <v>32</v>
      </c>
      <c r="F22" s="143"/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>
        <v>8</v>
      </c>
      <c r="AK22" s="215">
        <f t="shared" ref="AK22" si="20">((SUM(F22:AJ22))/8)-(SUMIF($F$6:$AJ$6,"C.Nhật",F22:AJ22)/8)</f>
        <v>21</v>
      </c>
      <c r="AL22" s="215">
        <f t="shared" ref="AL22" si="21">SUM(F23:AJ23)/8*1.5</f>
        <v>0</v>
      </c>
      <c r="AM22" s="217">
        <f>SUMIF($F$6:$AJ$6,"C.Nhật",$F22:$AJ23)/8*2</f>
        <v>8</v>
      </c>
      <c r="AN22" s="219">
        <f t="shared" ref="AN22" si="22">SUM(AK22:AM23)</f>
        <v>29</v>
      </c>
      <c r="AO22" s="221">
        <v>0</v>
      </c>
      <c r="AP22" s="219"/>
      <c r="AQ22" s="219"/>
      <c r="AR22" s="219"/>
      <c r="AS22" s="213"/>
      <c r="AT22" s="14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26"/>
      <c r="B23" s="226"/>
      <c r="C23" s="228"/>
      <c r="D23" s="224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16"/>
      <c r="AL23" s="216"/>
      <c r="AM23" s="218"/>
      <c r="AN23" s="220"/>
      <c r="AO23" s="222"/>
      <c r="AP23" s="220"/>
      <c r="AQ23" s="220"/>
      <c r="AR23" s="220"/>
      <c r="AS23" s="214"/>
      <c r="AT23" s="14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25">
        <f t="shared" ref="A24" si="23">A22+1</f>
        <v>6</v>
      </c>
      <c r="B24" s="225" t="s">
        <v>175</v>
      </c>
      <c r="C24" s="227" t="str">
        <f>VLOOKUP(B24,DS,2,0)</f>
        <v>Huỳnh Thị Bé Thi</v>
      </c>
      <c r="D24" s="223" t="str">
        <f>VLOOKUP(B24,DS,3,0)</f>
        <v>Công nhân</v>
      </c>
      <c r="E24" s="68" t="s">
        <v>32</v>
      </c>
      <c r="F24" s="143"/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>
        <v>8</v>
      </c>
      <c r="AK24" s="215">
        <f t="shared" ref="AK24" si="24">((SUM(F24:AJ24))/8)-(SUMIF($F$6:$AJ$6,"C.Nhật",F24:AJ24)/8)</f>
        <v>21</v>
      </c>
      <c r="AL24" s="215">
        <f t="shared" ref="AL24" si="25">SUM(F25:AJ25)/8*1.5</f>
        <v>0</v>
      </c>
      <c r="AM24" s="217">
        <f>SUMIF($F$6:$AJ$6,"C.Nhật",$F24:$AJ25)/8*2</f>
        <v>8</v>
      </c>
      <c r="AN24" s="219">
        <f t="shared" ref="AN24" si="26">SUM(AK24:AM25)</f>
        <v>29</v>
      </c>
      <c r="AO24" s="221">
        <v>0</v>
      </c>
      <c r="AP24" s="219"/>
      <c r="AQ24" s="219"/>
      <c r="AR24" s="219"/>
      <c r="AS24" s="213"/>
      <c r="AT24" s="14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26"/>
      <c r="B25" s="226"/>
      <c r="C25" s="228"/>
      <c r="D25" s="224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16"/>
      <c r="AL25" s="216"/>
      <c r="AM25" s="218"/>
      <c r="AN25" s="220"/>
      <c r="AO25" s="222"/>
      <c r="AP25" s="220"/>
      <c r="AQ25" s="220"/>
      <c r="AR25" s="220"/>
      <c r="AS25" s="214"/>
      <c r="AT25" s="14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15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15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P24:AP25"/>
    <mergeCell ref="AQ24:AQ25"/>
    <mergeCell ref="AR24:AR25"/>
    <mergeCell ref="AS24:AS25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16:A17"/>
    <mergeCell ref="B16:B17"/>
    <mergeCell ref="C16:C17"/>
    <mergeCell ref="D16:D17"/>
    <mergeCell ref="AK16:AK17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K5:AM5"/>
    <mergeCell ref="AK9:AK10"/>
    <mergeCell ref="AN9:AN10"/>
    <mergeCell ref="AL20:AL21"/>
    <mergeCell ref="AM20:AM21"/>
    <mergeCell ref="AN20:AN21"/>
    <mergeCell ref="AO20:AO21"/>
    <mergeCell ref="D24:D25"/>
    <mergeCell ref="A11:A12"/>
    <mergeCell ref="B11:B12"/>
    <mergeCell ref="C11:C12"/>
    <mergeCell ref="D11:D12"/>
    <mergeCell ref="AN11:AN12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18:A19"/>
    <mergeCell ref="AM1:AS1"/>
    <mergeCell ref="AS11:AS12"/>
    <mergeCell ref="AK11:AK12"/>
    <mergeCell ref="AL11:AL12"/>
    <mergeCell ref="AM11:AM12"/>
    <mergeCell ref="AR11:AR12"/>
    <mergeCell ref="AP18:AP19"/>
    <mergeCell ref="AQ18:AQ19"/>
    <mergeCell ref="AR18:AR19"/>
    <mergeCell ref="AS18:AS19"/>
    <mergeCell ref="AP14:AP15"/>
    <mergeCell ref="AQ14:AQ15"/>
    <mergeCell ref="AR14:AR15"/>
    <mergeCell ref="AS14:AS15"/>
    <mergeCell ref="AP16:AP17"/>
    <mergeCell ref="AQ16:AQ17"/>
    <mergeCell ref="AR16:AR17"/>
    <mergeCell ref="AS16:AS17"/>
  </mergeCells>
  <phoneticPr fontId="47" type="noConversion"/>
  <conditionalFormatting sqref="F5:AJ6 F9:AJ12 F14:AJ25">
    <cfRule type="expression" dxfId="112" priority="21" stopIfTrue="1">
      <formula>IF(WEEKDAY(F$5)=1,TRUE,FALSE)</formula>
    </cfRule>
  </conditionalFormatting>
  <conditionalFormatting sqref="F9:AJ12">
    <cfRule type="expression" dxfId="111" priority="18" stopIfTrue="1">
      <formula>IF(WEEKDAY(F$5)=1,TRUE,FALSE)</formula>
    </cfRule>
  </conditionalFormatting>
  <conditionalFormatting sqref="F14:AJ25">
    <cfRule type="expression" dxfId="1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E5" sqref="E5:E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46" t="str">
        <f>"BẢNG THANH TOÁN LƯƠNG THÁNG"&amp;" "&amp;TEXT($E$4,"mm")&amp;" / "&amp;TEXT($E$4,"yyyy")</f>
        <v>BẢNG THANH TOÁN LƯƠNG THÁNG 05 / 2011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51" t="s">
        <v>157</v>
      </c>
      <c r="S1" s="252"/>
      <c r="T1" s="25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8" t="s">
        <v>19</v>
      </c>
      <c r="B5" s="248" t="s">
        <v>20</v>
      </c>
      <c r="C5" s="203" t="s">
        <v>1</v>
      </c>
      <c r="D5" s="203" t="s">
        <v>2</v>
      </c>
      <c r="E5" s="198" t="s">
        <v>56</v>
      </c>
      <c r="F5" s="239" t="s">
        <v>26</v>
      </c>
      <c r="G5" s="240"/>
      <c r="H5" s="240"/>
      <c r="I5" s="240"/>
      <c r="J5" s="240"/>
      <c r="K5" s="241"/>
      <c r="L5" s="238" t="s">
        <v>57</v>
      </c>
      <c r="M5" s="238" t="s">
        <v>5</v>
      </c>
      <c r="N5" s="203" t="s">
        <v>6</v>
      </c>
      <c r="O5" s="203"/>
      <c r="P5" s="203"/>
      <c r="Q5" s="238" t="s">
        <v>7</v>
      </c>
      <c r="R5" s="238" t="s">
        <v>8</v>
      </c>
      <c r="S5" s="238" t="s">
        <v>9</v>
      </c>
      <c r="T5" s="19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9"/>
      <c r="B6" s="249"/>
      <c r="C6" s="203"/>
      <c r="D6" s="203"/>
      <c r="E6" s="198"/>
      <c r="F6" s="239" t="s">
        <v>59</v>
      </c>
      <c r="G6" s="241"/>
      <c r="H6" s="239" t="s">
        <v>165</v>
      </c>
      <c r="I6" s="240"/>
      <c r="J6" s="243" t="s">
        <v>27</v>
      </c>
      <c r="K6" s="238" t="s">
        <v>4</v>
      </c>
      <c r="L6" s="242"/>
      <c r="M6" s="242"/>
      <c r="N6" s="254" t="s">
        <v>12</v>
      </c>
      <c r="O6" s="238" t="s">
        <v>13</v>
      </c>
      <c r="P6" s="238" t="s">
        <v>34</v>
      </c>
      <c r="Q6" s="242"/>
      <c r="R6" s="242"/>
      <c r="S6" s="242"/>
      <c r="T6" s="20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9"/>
      <c r="B7" s="249"/>
      <c r="C7" s="238"/>
      <c r="D7" s="238"/>
      <c r="E7" s="198"/>
      <c r="F7" s="34" t="s">
        <v>40</v>
      </c>
      <c r="G7" s="35" t="s">
        <v>18</v>
      </c>
      <c r="H7" s="171" t="s">
        <v>40</v>
      </c>
      <c r="I7" s="128" t="s">
        <v>18</v>
      </c>
      <c r="J7" s="244"/>
      <c r="K7" s="242"/>
      <c r="L7" s="250"/>
      <c r="M7" s="250"/>
      <c r="N7" s="255"/>
      <c r="O7" s="242"/>
      <c r="P7" s="242"/>
      <c r="Q7" s="242"/>
      <c r="R7" s="242"/>
      <c r="S7" s="242"/>
      <c r="T7" s="20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161</v>
      </c>
      <c r="B9" s="188" t="s">
        <v>162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168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-5'!$B$8:$AS$25,36,0)</f>
        <v>21</v>
      </c>
      <c r="G10" s="145">
        <f t="shared" ref="G10" si="3">ROUND(E10/$U$2*F10,0)</f>
        <v>3642240</v>
      </c>
      <c r="H10" s="92">
        <f>(VLOOKUP(B10,'CC -5'!$B$8:$AS$25,37,0)+VLOOKUP(B10,'CC -5'!$B$8:$AS$25,38,0))</f>
        <v>8</v>
      </c>
      <c r="I10" s="145">
        <f t="shared" ref="I10" si="4">ROUND(E10/$U$2*H10,0)</f>
        <v>1387520</v>
      </c>
      <c r="J10" s="93">
        <f t="shared" ref="J10" si="5">F10+H10</f>
        <v>29</v>
      </c>
      <c r="K10" s="39">
        <f>G10+I10</f>
        <v>5029760</v>
      </c>
      <c r="L10" s="90">
        <f t="shared" ref="L10:L11" si="6">+F10*15000</f>
        <v>315000</v>
      </c>
      <c r="M10" s="40">
        <f t="shared" ref="M10:M11" si="7">K10+L10</f>
        <v>5344760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5344760</v>
      </c>
      <c r="R10" s="39">
        <f>VLOOKUP(B10,DS,23,0)</f>
        <v>0</v>
      </c>
      <c r="S10" s="45">
        <f t="shared" ref="S10:S11" si="9">Q10-R10</f>
        <v>5344760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169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-5'!$B$8:$AS$25,36,0)</f>
        <v>21</v>
      </c>
      <c r="G11" s="145">
        <f t="shared" ref="G11" si="10">ROUND(E11/$U$2*F11,0)</f>
        <v>3407040</v>
      </c>
      <c r="H11" s="92">
        <f>(VLOOKUP(B11,'CC -5'!$B$8:$AS$25,37,0)+VLOOKUP(B11,'CC -5'!$B$8:$AS$25,38,0))</f>
        <v>8</v>
      </c>
      <c r="I11" s="145">
        <f t="shared" ref="I11" si="11">ROUND(E11/$U$2*H11,0)</f>
        <v>1297920</v>
      </c>
      <c r="J11" s="93">
        <f t="shared" ref="J11" si="12">F11+H11</f>
        <v>29</v>
      </c>
      <c r="K11" s="39">
        <f t="shared" ref="K11" si="13">G11+I11</f>
        <v>4704960</v>
      </c>
      <c r="L11" s="90">
        <f t="shared" si="6"/>
        <v>315000</v>
      </c>
      <c r="M11" s="40">
        <f t="shared" si="7"/>
        <v>5019960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5019960</v>
      </c>
      <c r="R11" s="39">
        <f>VLOOKUP(B11,DS,23,0)</f>
        <v>0</v>
      </c>
      <c r="S11" s="45">
        <f t="shared" si="9"/>
        <v>5019960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163</v>
      </c>
      <c r="B12" s="188" t="s">
        <v>164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170</v>
      </c>
      <c r="C13" s="89" t="str">
        <f t="shared" ref="C13" si="14">VLOOKUP(B13,DS,2,0)</f>
        <v xml:space="preserve"> Lâm Thị Mộng Kiều </v>
      </c>
      <c r="D13" s="116" t="str">
        <f t="shared" ref="D13" si="15">VLOOKUP(B13,DS,3,0)</f>
        <v>Công nhân</v>
      </c>
      <c r="E13" s="90">
        <f t="shared" ref="E13" si="16">VLOOKUP(B13,DS,4,0)</f>
        <v>3549000</v>
      </c>
      <c r="F13" s="92">
        <f>VLOOKUP(B13,'CC -5'!$B$8:$AS$25,36,0)</f>
        <v>21</v>
      </c>
      <c r="G13" s="145">
        <f t="shared" ref="G13" si="17">ROUND(E13/$U$2*F13,0)</f>
        <v>2981160</v>
      </c>
      <c r="H13" s="92">
        <f>(VLOOKUP(B13,'CC -5'!$B$8:$AS$25,37,0)+VLOOKUP(B13,'CC -5'!$B$8:$AS$25,38,0))</f>
        <v>8</v>
      </c>
      <c r="I13" s="145">
        <f t="shared" ref="I13" si="18">ROUND(E13/$U$2*H13,0)</f>
        <v>1135680</v>
      </c>
      <c r="J13" s="146">
        <f t="shared" ref="J13" si="19">F13+H13</f>
        <v>29</v>
      </c>
      <c r="K13" s="39">
        <f t="shared" ref="K13" si="20">G13+I13</f>
        <v>4116840</v>
      </c>
      <c r="L13" s="90">
        <f t="shared" ref="L13" si="21">+F13*15000</f>
        <v>315000</v>
      </c>
      <c r="M13" s="40">
        <f t="shared" ref="M13" si="22">K13+L13</f>
        <v>4431840</v>
      </c>
      <c r="N13" s="40">
        <f>IF(VLOOKUP(B13,DS,9,0)="x",'L - 5'!E13*$N$4,0)</f>
        <v>0</v>
      </c>
      <c r="O13" s="40">
        <f t="shared" ref="O13" si="23">IF(VLOOKUP(B13,DS,9,0)="x",E13*0.015,0)</f>
        <v>0</v>
      </c>
      <c r="P13" s="40">
        <f t="shared" ref="P13" si="24">IF(VLOOKUP(B13,DS,9,0)="x",E13*0.01,0)</f>
        <v>0</v>
      </c>
      <c r="Q13" s="39">
        <f>M13-SUM(N13:P13)</f>
        <v>4431840</v>
      </c>
      <c r="R13" s="39">
        <f t="shared" ref="R13" si="25">VLOOKUP(B13,DS,23,0)</f>
        <v>0</v>
      </c>
      <c r="S13" s="45">
        <f>Q13-R13</f>
        <v>4431840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171</v>
      </c>
      <c r="C14" s="89" t="str">
        <f t="shared" ref="C14:C18" si="26">VLOOKUP(B14,DS,2,0)</f>
        <v>Huỳnh Thị Hường</v>
      </c>
      <c r="D14" s="116" t="str">
        <f t="shared" ref="D14:D18" si="27">VLOOKUP(B14,DS,3,0)</f>
        <v>Công nhân</v>
      </c>
      <c r="E14" s="90">
        <f t="shared" ref="E14:E18" si="28">VLOOKUP(B14,DS,4,0)</f>
        <v>3317000</v>
      </c>
      <c r="F14" s="92">
        <f>VLOOKUP(B14,'CC -5'!$B$8:$AS$25,36,0)</f>
        <v>21</v>
      </c>
      <c r="G14" s="145">
        <f t="shared" ref="G14:G18" si="29">ROUND(E14/$U$2*F14,0)</f>
        <v>2786280</v>
      </c>
      <c r="H14" s="92">
        <f>(VLOOKUP(B14,'CC -5'!$B$8:$AS$25,37,0)+VLOOKUP(B14,'CC -5'!$B$8:$AS$25,38,0))</f>
        <v>8</v>
      </c>
      <c r="I14" s="145">
        <f t="shared" ref="I14:I18" si="30">ROUND(E14/$U$2*H14,0)</f>
        <v>1061440</v>
      </c>
      <c r="J14" s="146">
        <f t="shared" ref="J14:J18" si="31">F14+H14</f>
        <v>29</v>
      </c>
      <c r="K14" s="39">
        <f t="shared" ref="K14:K18" si="32">G14+I14</f>
        <v>3847720</v>
      </c>
      <c r="L14" s="90">
        <f t="shared" ref="L14:L18" si="33">+F14*15000</f>
        <v>315000</v>
      </c>
      <c r="M14" s="40">
        <f t="shared" ref="M14:M18" si="34">K14+L14</f>
        <v>4162720</v>
      </c>
      <c r="N14" s="40">
        <f>IF(VLOOKUP(B14,DS,9,0)="x",'L - 5'!E14*$N$4,0)</f>
        <v>0</v>
      </c>
      <c r="O14" s="40">
        <f t="shared" ref="O14:O18" si="35">IF(VLOOKUP(B14,DS,9,0)="x",E14*0.015,0)</f>
        <v>0</v>
      </c>
      <c r="P14" s="40">
        <f t="shared" ref="P14:P18" si="36">IF(VLOOKUP(B14,DS,9,0)="x",E14*0.01,0)</f>
        <v>0</v>
      </c>
      <c r="Q14" s="39">
        <f t="shared" ref="Q14:Q18" si="37">M14-SUM(N14:P14)</f>
        <v>4162720</v>
      </c>
      <c r="R14" s="39">
        <f t="shared" ref="R14:R18" si="38">VLOOKUP(B14,DS,23,0)</f>
        <v>0</v>
      </c>
      <c r="S14" s="45">
        <f t="shared" ref="S14:S18" si="39">Q14-R14</f>
        <v>4162720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172</v>
      </c>
      <c r="C15" s="89" t="str">
        <f t="shared" si="26"/>
        <v>Nguyễn Thị Rong</v>
      </c>
      <c r="D15" s="116" t="str">
        <f t="shared" si="27"/>
        <v>Công nhân</v>
      </c>
      <c r="E15" s="90">
        <f t="shared" si="28"/>
        <v>3317000</v>
      </c>
      <c r="F15" s="92">
        <f>VLOOKUP(B15,'CC -5'!$B$8:$AS$25,36,0)</f>
        <v>21</v>
      </c>
      <c r="G15" s="145">
        <f t="shared" si="29"/>
        <v>2786280</v>
      </c>
      <c r="H15" s="92">
        <f>(VLOOKUP(B15,'CC -5'!$B$8:$AS$25,37,0)+VLOOKUP(B15,'CC -5'!$B$8:$AS$25,38,0))</f>
        <v>8</v>
      </c>
      <c r="I15" s="145">
        <f t="shared" si="30"/>
        <v>1061440</v>
      </c>
      <c r="J15" s="146">
        <f t="shared" si="31"/>
        <v>29</v>
      </c>
      <c r="K15" s="39">
        <f t="shared" si="32"/>
        <v>3847720</v>
      </c>
      <c r="L15" s="90">
        <f t="shared" si="33"/>
        <v>315000</v>
      </c>
      <c r="M15" s="40">
        <f t="shared" si="34"/>
        <v>4162720</v>
      </c>
      <c r="N15" s="40">
        <f>IF(VLOOKUP(B15,DS,9,0)="x",'L - 5'!E15*$N$4,0)</f>
        <v>0</v>
      </c>
      <c r="O15" s="40">
        <f t="shared" si="35"/>
        <v>0</v>
      </c>
      <c r="P15" s="40">
        <f t="shared" si="36"/>
        <v>0</v>
      </c>
      <c r="Q15" s="39">
        <f t="shared" si="37"/>
        <v>4162720</v>
      </c>
      <c r="R15" s="39">
        <f t="shared" si="38"/>
        <v>0</v>
      </c>
      <c r="S15" s="45">
        <f t="shared" si="39"/>
        <v>4162720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173</v>
      </c>
      <c r="C16" s="89" t="str">
        <f t="shared" si="26"/>
        <v>Sơn Thị Nil</v>
      </c>
      <c r="D16" s="116" t="str">
        <f t="shared" si="27"/>
        <v>Công nhân</v>
      </c>
      <c r="E16" s="90">
        <f t="shared" si="28"/>
        <v>3317000</v>
      </c>
      <c r="F16" s="92">
        <f>VLOOKUP(B16,'CC -5'!$B$8:$AS$25,36,0)</f>
        <v>21</v>
      </c>
      <c r="G16" s="145">
        <f t="shared" si="29"/>
        <v>2786280</v>
      </c>
      <c r="H16" s="92">
        <f>(VLOOKUP(B16,'CC -5'!$B$8:$AS$25,37,0)+VLOOKUP(B16,'CC -5'!$B$8:$AS$25,38,0))</f>
        <v>8</v>
      </c>
      <c r="I16" s="145">
        <f t="shared" si="30"/>
        <v>1061440</v>
      </c>
      <c r="J16" s="146">
        <f t="shared" si="31"/>
        <v>29</v>
      </c>
      <c r="K16" s="39">
        <f t="shared" si="32"/>
        <v>3847720</v>
      </c>
      <c r="L16" s="90">
        <f t="shared" si="33"/>
        <v>315000</v>
      </c>
      <c r="M16" s="40">
        <f t="shared" si="34"/>
        <v>4162720</v>
      </c>
      <c r="N16" s="40">
        <f>IF(VLOOKUP(B16,DS,9,0)="x",'L - 5'!E16*$N$4,0)</f>
        <v>0</v>
      </c>
      <c r="O16" s="40">
        <f t="shared" si="35"/>
        <v>0</v>
      </c>
      <c r="P16" s="40">
        <f t="shared" si="36"/>
        <v>0</v>
      </c>
      <c r="Q16" s="39">
        <f t="shared" si="37"/>
        <v>4162720</v>
      </c>
      <c r="R16" s="39">
        <f t="shared" si="38"/>
        <v>0</v>
      </c>
      <c r="S16" s="45">
        <f t="shared" si="39"/>
        <v>4162720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174</v>
      </c>
      <c r="C17" s="89" t="str">
        <f t="shared" si="26"/>
        <v>Huỳnh Thị Bé Tha</v>
      </c>
      <c r="D17" s="116" t="str">
        <f t="shared" si="27"/>
        <v>Công nhân</v>
      </c>
      <c r="E17" s="90">
        <f t="shared" si="28"/>
        <v>3317000</v>
      </c>
      <c r="F17" s="92">
        <f>VLOOKUP(B17,'CC -5'!$B$8:$AS$25,36,0)</f>
        <v>21</v>
      </c>
      <c r="G17" s="145">
        <f t="shared" si="29"/>
        <v>2786280</v>
      </c>
      <c r="H17" s="92">
        <f>(VLOOKUP(B17,'CC -5'!$B$8:$AS$25,37,0)+VLOOKUP(B17,'CC -5'!$B$8:$AS$25,38,0))</f>
        <v>8</v>
      </c>
      <c r="I17" s="145">
        <f t="shared" si="30"/>
        <v>1061440</v>
      </c>
      <c r="J17" s="146">
        <f t="shared" si="31"/>
        <v>29</v>
      </c>
      <c r="K17" s="39">
        <f t="shared" si="32"/>
        <v>3847720</v>
      </c>
      <c r="L17" s="90">
        <f t="shared" si="33"/>
        <v>315000</v>
      </c>
      <c r="M17" s="40">
        <f t="shared" si="34"/>
        <v>4162720</v>
      </c>
      <c r="N17" s="40">
        <f>IF(VLOOKUP(B17,DS,9,0)="x",'L - 5'!E17*$N$4,0)</f>
        <v>0</v>
      </c>
      <c r="O17" s="40">
        <f t="shared" si="35"/>
        <v>0</v>
      </c>
      <c r="P17" s="40">
        <f t="shared" si="36"/>
        <v>0</v>
      </c>
      <c r="Q17" s="39">
        <f t="shared" si="37"/>
        <v>4162720</v>
      </c>
      <c r="R17" s="39">
        <f t="shared" si="38"/>
        <v>0</v>
      </c>
      <c r="S17" s="45">
        <f t="shared" si="39"/>
        <v>4162720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175</v>
      </c>
      <c r="C18" s="89" t="str">
        <f t="shared" si="26"/>
        <v>Huỳnh Thị Bé Thi</v>
      </c>
      <c r="D18" s="116" t="str">
        <f t="shared" si="27"/>
        <v>Công nhân</v>
      </c>
      <c r="E18" s="90">
        <f t="shared" si="28"/>
        <v>3317000</v>
      </c>
      <c r="F18" s="92">
        <f>VLOOKUP(B18,'CC -5'!$B$8:$AS$25,36,0)</f>
        <v>21</v>
      </c>
      <c r="G18" s="145">
        <f t="shared" si="29"/>
        <v>2786280</v>
      </c>
      <c r="H18" s="92">
        <f>(VLOOKUP(B18,'CC -5'!$B$8:$AS$25,37,0)+VLOOKUP(B18,'CC -5'!$B$8:$AS$25,38,0))</f>
        <v>8</v>
      </c>
      <c r="I18" s="145">
        <f t="shared" si="30"/>
        <v>1061440</v>
      </c>
      <c r="J18" s="146">
        <f t="shared" si="31"/>
        <v>29</v>
      </c>
      <c r="K18" s="39">
        <f t="shared" si="32"/>
        <v>3847720</v>
      </c>
      <c r="L18" s="90">
        <f t="shared" si="33"/>
        <v>315000</v>
      </c>
      <c r="M18" s="40">
        <f t="shared" si="34"/>
        <v>4162720</v>
      </c>
      <c r="N18" s="40">
        <f>IF(VLOOKUP(B18,DS,9,0)="x",'L - 5'!E18*$N$4,0)</f>
        <v>0</v>
      </c>
      <c r="O18" s="40">
        <f t="shared" si="35"/>
        <v>0</v>
      </c>
      <c r="P18" s="40">
        <f t="shared" si="36"/>
        <v>0</v>
      </c>
      <c r="Q18" s="39">
        <f t="shared" si="37"/>
        <v>4162720</v>
      </c>
      <c r="R18" s="39">
        <f t="shared" si="38"/>
        <v>0</v>
      </c>
      <c r="S18" s="45">
        <f t="shared" si="39"/>
        <v>4162720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5" t="s">
        <v>25</v>
      </c>
      <c r="B20" s="245"/>
      <c r="C20" s="245"/>
      <c r="D20" s="245"/>
      <c r="E20" s="140">
        <f>SUM(E10:E19)</f>
        <v>28526000</v>
      </c>
      <c r="F20" s="140"/>
      <c r="G20" s="140">
        <f>SUM(G10:G19)</f>
        <v>23961840</v>
      </c>
      <c r="H20" s="140"/>
      <c r="I20" s="140">
        <f>SUM(I10:I19)</f>
        <v>9128320</v>
      </c>
      <c r="J20" s="26"/>
      <c r="K20" s="26">
        <f t="shared" ref="K20:S20" si="40">SUM(K10:K19)</f>
        <v>33090160</v>
      </c>
      <c r="L20" s="26">
        <f t="shared" si="40"/>
        <v>2520000</v>
      </c>
      <c r="M20" s="26">
        <f t="shared" si="40"/>
        <v>35610160</v>
      </c>
      <c r="N20" s="26">
        <f t="shared" si="40"/>
        <v>0</v>
      </c>
      <c r="O20" s="26">
        <f t="shared" si="40"/>
        <v>0</v>
      </c>
      <c r="P20" s="26">
        <f t="shared" si="40"/>
        <v>0</v>
      </c>
      <c r="Q20" s="26">
        <f t="shared" si="40"/>
        <v>35610160</v>
      </c>
      <c r="R20" s="26">
        <f t="shared" si="40"/>
        <v>0</v>
      </c>
      <c r="S20" s="26">
        <f t="shared" si="40"/>
        <v>35610160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A20:D20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W12" sqref="W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10" t="s">
        <v>158</v>
      </c>
      <c r="AN1" s="211"/>
      <c r="AO1" s="211"/>
      <c r="AP1" s="211"/>
      <c r="AQ1" s="211"/>
      <c r="AR1" s="211"/>
      <c r="AS1" s="21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29" t="s">
        <v>28</v>
      </c>
      <c r="B5" s="229" t="s">
        <v>3</v>
      </c>
      <c r="C5" s="229" t="s">
        <v>1</v>
      </c>
      <c r="D5" s="231" t="s">
        <v>29</v>
      </c>
      <c r="E5" s="229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34" t="s">
        <v>15</v>
      </c>
      <c r="AL5" s="235"/>
      <c r="AM5" s="236"/>
      <c r="AN5" s="232" t="s">
        <v>45</v>
      </c>
      <c r="AO5" s="232" t="s">
        <v>41</v>
      </c>
      <c r="AP5" s="232" t="s">
        <v>42</v>
      </c>
      <c r="AQ5" s="232" t="s">
        <v>43</v>
      </c>
      <c r="AR5" s="232" t="s">
        <v>44</v>
      </c>
      <c r="AS5" s="231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0"/>
      <c r="B6" s="230"/>
      <c r="C6" s="230"/>
      <c r="D6" s="230"/>
      <c r="E6" s="230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33"/>
      <c r="AO6" s="233"/>
      <c r="AP6" s="233"/>
      <c r="AQ6" s="233"/>
      <c r="AR6" s="233"/>
      <c r="AS6" s="230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161</v>
      </c>
      <c r="B8" s="182" t="s">
        <v>162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25">
        <v>1</v>
      </c>
      <c r="B9" s="225" t="s">
        <v>168</v>
      </c>
      <c r="C9" s="227" t="str">
        <f>VLOOKUP(B9,DS,2,0)</f>
        <v>Mai Út Hiền</v>
      </c>
      <c r="D9" s="223" t="str">
        <f>VLOOKUP(B9,DS,3,0)</f>
        <v>Cơ Điện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15">
        <f>((SUM(F9:AJ9))/8)-(SUMIF($F$6:$AJ$6,"C.Nhật",F9:AJ9)/8)</f>
        <v>26</v>
      </c>
      <c r="AL9" s="215">
        <f>SUM(F10:AJ10)/8*1.5</f>
        <v>0</v>
      </c>
      <c r="AM9" s="217">
        <f>SUMIF($F$6:$AJ$6,"C.Nhật",$F9:$AJ10)/8*2</f>
        <v>0</v>
      </c>
      <c r="AN9" s="219">
        <f>SUM(AK9:AM10)</f>
        <v>26</v>
      </c>
      <c r="AO9" s="221">
        <v>0</v>
      </c>
      <c r="AP9" s="219"/>
      <c r="AQ9" s="219"/>
      <c r="AR9" s="219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26"/>
      <c r="B10" s="226"/>
      <c r="C10" s="228"/>
      <c r="D10" s="224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6"/>
      <c r="AL10" s="216"/>
      <c r="AM10" s="218"/>
      <c r="AN10" s="220"/>
      <c r="AO10" s="222"/>
      <c r="AP10" s="220"/>
      <c r="AQ10" s="220"/>
      <c r="AR10" s="220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25">
        <f>A9+1</f>
        <v>2</v>
      </c>
      <c r="B11" s="225" t="s">
        <v>169</v>
      </c>
      <c r="C11" s="227" t="str">
        <f>VLOOKUP(B11,DS,2,0)</f>
        <v>Nguyễn Thị Xuân Thảo</v>
      </c>
      <c r="D11" s="223" t="str">
        <f>VLOOKUP(B11,DS,3,0)</f>
        <v>KCS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15">
        <f t="shared" ref="AK11" si="2">((SUM(F11:AJ11))/8)-(SUMIF($F$6:$AJ$6,"C.Nhật",F11:AJ11)/8)</f>
        <v>26</v>
      </c>
      <c r="AL11" s="215">
        <f t="shared" ref="AL11" si="3">SUM(F12:AJ12)/8*1.5</f>
        <v>0</v>
      </c>
      <c r="AM11" s="217">
        <f t="shared" ref="AM11" si="4">SUMIF($F$6:$AJ$6,"C.Nhật",$F11:$AJ12)/8*2</f>
        <v>0</v>
      </c>
      <c r="AN11" s="219">
        <f t="shared" ref="AN11" si="5">SUM(AK11:AM12)</f>
        <v>26</v>
      </c>
      <c r="AO11" s="221">
        <v>0</v>
      </c>
      <c r="AP11" s="219"/>
      <c r="AQ11" s="219"/>
      <c r="AR11" s="219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26"/>
      <c r="B12" s="226"/>
      <c r="C12" s="228"/>
      <c r="D12" s="224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6"/>
      <c r="AL12" s="216"/>
      <c r="AM12" s="218"/>
      <c r="AN12" s="220"/>
      <c r="AO12" s="222"/>
      <c r="AP12" s="220"/>
      <c r="AQ12" s="220"/>
      <c r="AR12" s="220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163</v>
      </c>
      <c r="B13" s="182" t="s">
        <v>167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25">
        <v>1</v>
      </c>
      <c r="B14" s="225" t="s">
        <v>170</v>
      </c>
      <c r="C14" s="227" t="str">
        <f>VLOOKUP(B14,DS,2,0)</f>
        <v xml:space="preserve"> Lâm Thị Mộng Kiều </v>
      </c>
      <c r="D14" s="223" t="str">
        <f>VLOOKUP(B14,DS,3,0)</f>
        <v>Công nhân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/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/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/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/>
      <c r="AF14" s="143">
        <v>8</v>
      </c>
      <c r="AG14" s="143">
        <v>8</v>
      </c>
      <c r="AH14" s="143">
        <v>8</v>
      </c>
      <c r="AI14" s="143">
        <v>8</v>
      </c>
      <c r="AJ14" s="143"/>
      <c r="AK14" s="215">
        <f t="shared" ref="AK14" si="6">((SUM(F14:AJ14))/8)-(SUMIF($F$6:$AJ$6,"C.Nhật",F14:AJ14)/8)</f>
        <v>26</v>
      </c>
      <c r="AL14" s="215">
        <f t="shared" ref="AL14" si="7">SUM(F15:AJ15)/8*1.5</f>
        <v>0</v>
      </c>
      <c r="AM14" s="217">
        <f>SUMIF($F$6:$AJ$6,"C.Nhật",$F14:$AJ15)/8*2</f>
        <v>0</v>
      </c>
      <c r="AN14" s="219">
        <f>SUM(AK14:AM15)</f>
        <v>26</v>
      </c>
      <c r="AO14" s="221">
        <v>0</v>
      </c>
      <c r="AP14" s="219"/>
      <c r="AQ14" s="219"/>
      <c r="AR14" s="219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26"/>
      <c r="B15" s="226"/>
      <c r="C15" s="228"/>
      <c r="D15" s="224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16"/>
      <c r="AL15" s="216"/>
      <c r="AM15" s="218"/>
      <c r="AN15" s="220"/>
      <c r="AO15" s="222"/>
      <c r="AP15" s="220"/>
      <c r="AQ15" s="220"/>
      <c r="AR15" s="220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25">
        <f>A14+1</f>
        <v>2</v>
      </c>
      <c r="B16" s="225" t="s">
        <v>171</v>
      </c>
      <c r="C16" s="227" t="str">
        <f>VLOOKUP(B16,DS,2,0)</f>
        <v>Huỳnh Thị Hường</v>
      </c>
      <c r="D16" s="223" t="str">
        <f>VLOOKUP(B16,DS,3,0)</f>
        <v>Công nhân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15">
        <f t="shared" ref="AK16" si="8">((SUM(F16:AJ16))/8)-(SUMIF($F$6:$AJ$6,"C.Nhật",F16:AJ16)/8)</f>
        <v>26</v>
      </c>
      <c r="AL16" s="215">
        <f t="shared" ref="AL16" si="9">SUM(F17:AJ17)/8*1.5</f>
        <v>0</v>
      </c>
      <c r="AM16" s="217">
        <f>SUMIF($F$6:$AJ$6,"C.Nhật",$F16:$AJ17)/8*2</f>
        <v>0</v>
      </c>
      <c r="AN16" s="219">
        <f t="shared" ref="AN16" si="10">SUM(AK16:AM17)</f>
        <v>26</v>
      </c>
      <c r="AO16" s="221">
        <v>0</v>
      </c>
      <c r="AP16" s="219"/>
      <c r="AQ16" s="219"/>
      <c r="AR16" s="219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26"/>
      <c r="B17" s="226"/>
      <c r="C17" s="228"/>
      <c r="D17" s="224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6"/>
      <c r="AL17" s="216"/>
      <c r="AM17" s="218"/>
      <c r="AN17" s="220"/>
      <c r="AO17" s="222"/>
      <c r="AP17" s="220"/>
      <c r="AQ17" s="220"/>
      <c r="AR17" s="220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25">
        <f t="shared" ref="A18" si="11">A16+1</f>
        <v>3</v>
      </c>
      <c r="B18" s="225" t="s">
        <v>172</v>
      </c>
      <c r="C18" s="227" t="str">
        <f>VLOOKUP(B18,DS,2,0)</f>
        <v>Nguyễn Thị Rong</v>
      </c>
      <c r="D18" s="223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15">
        <f t="shared" ref="AK18" si="12">((SUM(F18:AJ18))/8)-(SUMIF($F$6:$AJ$6,"C.Nhật",F18:AJ18)/8)</f>
        <v>26</v>
      </c>
      <c r="AL18" s="215">
        <f t="shared" ref="AL18" si="13">SUM(F19:AJ19)/8*1.5</f>
        <v>0</v>
      </c>
      <c r="AM18" s="217">
        <f>SUMIF($F$6:$AJ$6,"C.Nhật",$F18:$AJ19)/8*2</f>
        <v>0</v>
      </c>
      <c r="AN18" s="219">
        <f t="shared" ref="AN18" si="14">SUM(AK18:AM19)</f>
        <v>26</v>
      </c>
      <c r="AO18" s="221">
        <v>0</v>
      </c>
      <c r="AP18" s="219"/>
      <c r="AQ18" s="219"/>
      <c r="AR18" s="219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26"/>
      <c r="B19" s="226"/>
      <c r="C19" s="228"/>
      <c r="D19" s="224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6"/>
      <c r="AL19" s="216"/>
      <c r="AM19" s="218"/>
      <c r="AN19" s="220"/>
      <c r="AO19" s="222"/>
      <c r="AP19" s="220"/>
      <c r="AQ19" s="220"/>
      <c r="AR19" s="220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25">
        <f t="shared" ref="A20" si="15">A18+1</f>
        <v>4</v>
      </c>
      <c r="B20" s="225" t="s">
        <v>173</v>
      </c>
      <c r="C20" s="227" t="str">
        <f>VLOOKUP(B20,DS,2,0)</f>
        <v>Sơn Thị Nil</v>
      </c>
      <c r="D20" s="223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15">
        <f t="shared" ref="AK20" si="16">((SUM(F20:AJ20))/8)-(SUMIF($F$6:$AJ$6,"C.Nhật",F20:AJ20)/8)</f>
        <v>26</v>
      </c>
      <c r="AL20" s="215">
        <f t="shared" ref="AL20" si="17">SUM(F21:AJ21)/8*1.5</f>
        <v>0</v>
      </c>
      <c r="AM20" s="217">
        <f>SUMIF($F$6:$AJ$6,"C.Nhật",$F20:$AJ21)/8*2</f>
        <v>0</v>
      </c>
      <c r="AN20" s="219">
        <f t="shared" ref="AN20" si="18">SUM(AK20:AM21)</f>
        <v>26</v>
      </c>
      <c r="AO20" s="221">
        <v>0</v>
      </c>
      <c r="AP20" s="219"/>
      <c r="AQ20" s="219"/>
      <c r="AR20" s="219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26"/>
      <c r="B21" s="226"/>
      <c r="C21" s="228"/>
      <c r="D21" s="224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6"/>
      <c r="AL21" s="216"/>
      <c r="AM21" s="218"/>
      <c r="AN21" s="220"/>
      <c r="AO21" s="222"/>
      <c r="AP21" s="220"/>
      <c r="AQ21" s="220"/>
      <c r="AR21" s="220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25">
        <f t="shared" ref="A22" si="19">A20+1</f>
        <v>5</v>
      </c>
      <c r="B22" s="225" t="s">
        <v>174</v>
      </c>
      <c r="C22" s="227" t="str">
        <f>VLOOKUP(B22,DS,2,0)</f>
        <v>Huỳnh Thị Bé Tha</v>
      </c>
      <c r="D22" s="223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/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/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/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/>
      <c r="AF22" s="143">
        <v>8</v>
      </c>
      <c r="AG22" s="143">
        <v>8</v>
      </c>
      <c r="AH22" s="143">
        <v>8</v>
      </c>
      <c r="AI22" s="143">
        <v>8</v>
      </c>
      <c r="AJ22" s="143"/>
      <c r="AK22" s="215">
        <f t="shared" ref="AK22" si="20">((SUM(F22:AJ22))/8)-(SUMIF($F$6:$AJ$6,"C.Nhật",F22:AJ22)/8)</f>
        <v>26</v>
      </c>
      <c r="AL22" s="215">
        <f t="shared" ref="AL22" si="21">SUM(F23:AJ23)/8*1.5</f>
        <v>0</v>
      </c>
      <c r="AM22" s="217">
        <f>SUMIF($F$6:$AJ$6,"C.Nhật",$F22:$AJ23)/8*2</f>
        <v>0</v>
      </c>
      <c r="AN22" s="219">
        <f t="shared" ref="AN22" si="22">SUM(AK22:AM23)</f>
        <v>26</v>
      </c>
      <c r="AO22" s="221">
        <v>0</v>
      </c>
      <c r="AP22" s="219"/>
      <c r="AQ22" s="219"/>
      <c r="AR22" s="219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26"/>
      <c r="B23" s="226"/>
      <c r="C23" s="228"/>
      <c r="D23" s="224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16"/>
      <c r="AL23" s="216"/>
      <c r="AM23" s="218"/>
      <c r="AN23" s="220"/>
      <c r="AO23" s="222"/>
      <c r="AP23" s="220"/>
      <c r="AQ23" s="220"/>
      <c r="AR23" s="220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25">
        <f t="shared" ref="A24" si="23">A22+1</f>
        <v>6</v>
      </c>
      <c r="B24" s="225" t="s">
        <v>175</v>
      </c>
      <c r="C24" s="227" t="str">
        <f>VLOOKUP(B24,DS,2,0)</f>
        <v>Huỳnh Thị Bé Thi</v>
      </c>
      <c r="D24" s="223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/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/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/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/>
      <c r="AF24" s="143">
        <v>8</v>
      </c>
      <c r="AG24" s="143">
        <v>8</v>
      </c>
      <c r="AH24" s="143">
        <v>8</v>
      </c>
      <c r="AI24" s="143">
        <v>8</v>
      </c>
      <c r="AJ24" s="143"/>
      <c r="AK24" s="215">
        <f t="shared" ref="AK24" si="24">((SUM(F24:AJ24))/8)-(SUMIF($F$6:$AJ$6,"C.Nhật",F24:AJ24)/8)</f>
        <v>26</v>
      </c>
      <c r="AL24" s="215">
        <f t="shared" ref="AL24" si="25">SUM(F25:AJ25)/8*1.5</f>
        <v>0</v>
      </c>
      <c r="AM24" s="217">
        <f>SUMIF($F$6:$AJ$6,"C.Nhật",$F24:$AJ25)/8*2</f>
        <v>0</v>
      </c>
      <c r="AN24" s="219">
        <f t="shared" ref="AN24" si="26">SUM(AK24:AM25)</f>
        <v>26</v>
      </c>
      <c r="AO24" s="221">
        <v>0</v>
      </c>
      <c r="AP24" s="219"/>
      <c r="AQ24" s="219"/>
      <c r="AR24" s="219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26"/>
      <c r="B25" s="226"/>
      <c r="C25" s="228"/>
      <c r="D25" s="224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16"/>
      <c r="AL25" s="216"/>
      <c r="AM25" s="218"/>
      <c r="AN25" s="220"/>
      <c r="AO25" s="222"/>
      <c r="AP25" s="220"/>
      <c r="AQ25" s="220"/>
      <c r="AR25" s="220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 F14:AJ25">
    <cfRule type="expression" dxfId="17" priority="10" stopIfTrue="1">
      <formula>IF(WEEKDAY(F$5)=1,TRUE,FALSE)</formula>
    </cfRule>
  </conditionalFormatting>
  <conditionalFormatting sqref="F9:AJ12">
    <cfRule type="expression" dxfId="16" priority="9" stopIfTrue="1">
      <formula>IF(WEEKDAY(F$5)=1,TRUE,FALSE)</formula>
    </cfRule>
  </conditionalFormatting>
  <conditionalFormatting sqref="F14:AJ25">
    <cfRule type="expression" dxfId="15" priority="8" stopIfTrue="1">
      <formula>IF(WEEKDAY(F$5)=1,TRUE,FALSE)</formula>
    </cfRule>
  </conditionalFormatting>
  <conditionalFormatting sqref="F14:AJ25">
    <cfRule type="expression" dxfId="14" priority="7" stopIfTrue="1">
      <formula>IF(WEEKDAY(F$5)=1,TRUE,FALSE)</formula>
    </cfRule>
  </conditionalFormatting>
  <conditionalFormatting sqref="F14:AI25">
    <cfRule type="expression" dxfId="13" priority="6" stopIfTrue="1">
      <formula>IF(WEEKDAY(F$5)=1,TRUE,FALSE)</formula>
    </cfRule>
  </conditionalFormatting>
  <conditionalFormatting sqref="F14:AJ25">
    <cfRule type="expression" dxfId="12" priority="5" stopIfTrue="1">
      <formula>IF(WEEKDAY(F$5)=1,TRUE,FALSE)</formula>
    </cfRule>
  </conditionalFormatting>
  <conditionalFormatting sqref="F14:AI25">
    <cfRule type="expression" dxfId="11" priority="4" stopIfTrue="1">
      <formula>IF(WEEKDAY(F$5)=1,TRUE,FALSE)</formula>
    </cfRule>
  </conditionalFormatting>
  <conditionalFormatting sqref="F14:AJ25">
    <cfRule type="expression" dxfId="10" priority="3" stopIfTrue="1">
      <formula>IF(WEEKDAY(F$5)=1,TRUE,FALSE)</formula>
    </cfRule>
  </conditionalFormatting>
  <conditionalFormatting sqref="F14:AJ25">
    <cfRule type="expression" dxfId="9" priority="2" stopIfTrue="1">
      <formula>IF(WEEKDAY(F$5)=1,TRUE,FALSE)</formula>
    </cfRule>
  </conditionalFormatting>
  <conditionalFormatting sqref="F14:AJ25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F14" sqref="F14:AJ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6" t="str">
        <f>"BẢNG THANH TOÁN LƯƠNG THÁNG"&amp;" "&amp;TEXT($E$4,"mm")&amp;" / "&amp;TEXT($E$4,"yyyy")</f>
        <v>BẢNG THANH TOÁN LƯƠNG THÁNG 06 / 2011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51" t="s">
        <v>157</v>
      </c>
      <c r="S1" s="252"/>
      <c r="T1" s="25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8" t="s">
        <v>19</v>
      </c>
      <c r="B5" s="248" t="s">
        <v>20</v>
      </c>
      <c r="C5" s="203" t="s">
        <v>1</v>
      </c>
      <c r="D5" s="203" t="s">
        <v>2</v>
      </c>
      <c r="E5" s="198" t="s">
        <v>56</v>
      </c>
      <c r="F5" s="239" t="s">
        <v>26</v>
      </c>
      <c r="G5" s="240"/>
      <c r="H5" s="240"/>
      <c r="I5" s="240"/>
      <c r="J5" s="240"/>
      <c r="K5" s="241"/>
      <c r="L5" s="238" t="s">
        <v>57</v>
      </c>
      <c r="M5" s="238" t="s">
        <v>5</v>
      </c>
      <c r="N5" s="203" t="s">
        <v>6</v>
      </c>
      <c r="O5" s="203"/>
      <c r="P5" s="203"/>
      <c r="Q5" s="238" t="s">
        <v>7</v>
      </c>
      <c r="R5" s="238" t="s">
        <v>8</v>
      </c>
      <c r="S5" s="238" t="s">
        <v>9</v>
      </c>
      <c r="T5" s="19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9"/>
      <c r="B6" s="249"/>
      <c r="C6" s="203"/>
      <c r="D6" s="203"/>
      <c r="E6" s="198"/>
      <c r="F6" s="239" t="s">
        <v>59</v>
      </c>
      <c r="G6" s="241"/>
      <c r="H6" s="239" t="s">
        <v>165</v>
      </c>
      <c r="I6" s="240"/>
      <c r="J6" s="243" t="s">
        <v>27</v>
      </c>
      <c r="K6" s="238" t="s">
        <v>4</v>
      </c>
      <c r="L6" s="242"/>
      <c r="M6" s="242"/>
      <c r="N6" s="254" t="s">
        <v>12</v>
      </c>
      <c r="O6" s="238" t="s">
        <v>13</v>
      </c>
      <c r="P6" s="238" t="s">
        <v>34</v>
      </c>
      <c r="Q6" s="242"/>
      <c r="R6" s="242"/>
      <c r="S6" s="242"/>
      <c r="T6" s="20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9"/>
      <c r="B7" s="249"/>
      <c r="C7" s="238"/>
      <c r="D7" s="238"/>
      <c r="E7" s="198"/>
      <c r="F7" s="196" t="s">
        <v>40</v>
      </c>
      <c r="G7" s="193" t="s">
        <v>18</v>
      </c>
      <c r="H7" s="196" t="s">
        <v>40</v>
      </c>
      <c r="I7" s="128" t="s">
        <v>18</v>
      </c>
      <c r="J7" s="244"/>
      <c r="K7" s="242"/>
      <c r="L7" s="250"/>
      <c r="M7" s="250"/>
      <c r="N7" s="255"/>
      <c r="O7" s="242"/>
      <c r="P7" s="242"/>
      <c r="Q7" s="242"/>
      <c r="R7" s="242"/>
      <c r="S7" s="242"/>
      <c r="T7" s="20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161</v>
      </c>
      <c r="B9" s="188" t="s">
        <v>162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168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-6'!$B$8:$AS$25,36,0)</f>
        <v>26</v>
      </c>
      <c r="G10" s="145">
        <f t="shared" ref="G10:G11" si="3">ROUND(E10/$U$2*F10,0)</f>
        <v>4175407</v>
      </c>
      <c r="H10" s="92">
        <f>(VLOOKUP(B10,'CC -6'!$B$8:$AS$25,37,0)+VLOOKUP(B10,'CC -6'!$B$8:$AS$25,38,0))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4175407</v>
      </c>
      <c r="L10" s="90">
        <f t="shared" ref="L10:L11" si="6">+F10*15000</f>
        <v>390000</v>
      </c>
      <c r="M10" s="40">
        <f t="shared" ref="M10:M11" si="7">K10+L10</f>
        <v>4565407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4565407</v>
      </c>
      <c r="R10" s="39">
        <f>VLOOKUP(B10,DS,23,0)</f>
        <v>0</v>
      </c>
      <c r="S10" s="45">
        <f t="shared" ref="S10:S11" si="9">Q10-R10</f>
        <v>4565407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169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-6'!$B$8:$AS$25,36,0)</f>
        <v>26</v>
      </c>
      <c r="G11" s="145">
        <f t="shared" si="3"/>
        <v>3905778</v>
      </c>
      <c r="H11" s="92">
        <f>(VLOOKUP(B11,'CC -6'!$B$8:$AS$25,37,0)+VLOOKUP(B11,'CC -6'!$B$8:$AS$25,38,0))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3905778</v>
      </c>
      <c r="L11" s="90">
        <f t="shared" si="6"/>
        <v>390000</v>
      </c>
      <c r="M11" s="40">
        <f t="shared" si="7"/>
        <v>4295778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4295778</v>
      </c>
      <c r="R11" s="39">
        <f>VLOOKUP(B11,DS,23,0)</f>
        <v>0</v>
      </c>
      <c r="S11" s="45">
        <f t="shared" si="9"/>
        <v>4295778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163</v>
      </c>
      <c r="B12" s="188" t="s">
        <v>164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170</v>
      </c>
      <c r="C13" s="89" t="str">
        <f t="shared" ref="C13:C18" si="10">VLOOKUP(B13,DS,2,0)</f>
        <v xml:space="preserve"> Lâm Thị Mộng Kiều </v>
      </c>
      <c r="D13" s="116" t="str">
        <f t="shared" ref="D13:D18" si="11">VLOOKUP(B13,DS,3,0)</f>
        <v>Công nhân</v>
      </c>
      <c r="E13" s="90">
        <f t="shared" ref="E13:E18" si="12">VLOOKUP(B13,DS,4,0)</f>
        <v>3549000</v>
      </c>
      <c r="F13" s="92">
        <f>VLOOKUP(B13,'CC -6'!$B$8:$AS$25,36,0)</f>
        <v>26</v>
      </c>
      <c r="G13" s="145">
        <f t="shared" ref="G13:G18" si="13">ROUND(E13/$U$2*F13,0)</f>
        <v>3417556</v>
      </c>
      <c r="H13" s="92">
        <f>(VLOOKUP(B13,'CC -6'!$B$8:$AS$25,37,0)+VLOOKUP(B13,'CC -6'!$B$8:$AS$25,38,0))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3417556</v>
      </c>
      <c r="L13" s="90">
        <f t="shared" ref="L13:L18" si="16">+F13*15000</f>
        <v>390000</v>
      </c>
      <c r="M13" s="40">
        <f t="shared" ref="M13:M18" si="17">K13+L13</f>
        <v>3807556</v>
      </c>
      <c r="N13" s="40">
        <f>IF(VLOOKUP(B13,DS,9,0)="x",'L - 6'!E13*$N$4,0)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3807556</v>
      </c>
      <c r="R13" s="39">
        <f t="shared" ref="R13:R18" si="20">VLOOKUP(B13,DS,23,0)</f>
        <v>0</v>
      </c>
      <c r="S13" s="45">
        <f>Q13-R13</f>
        <v>3807556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171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-6'!$B$8:$AS$25,36,0)</f>
        <v>26</v>
      </c>
      <c r="G14" s="145">
        <f t="shared" si="13"/>
        <v>3194148</v>
      </c>
      <c r="H14" s="92">
        <f>(VLOOKUP(B14,'CC -6'!$B$8:$AS$25,37,0)+VLOOKUP(B14,'CC -6'!$B$8:$AS$25,38,0))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3194148</v>
      </c>
      <c r="L14" s="90">
        <f t="shared" si="16"/>
        <v>390000</v>
      </c>
      <c r="M14" s="40">
        <f t="shared" si="17"/>
        <v>3584148</v>
      </c>
      <c r="N14" s="40">
        <f>IF(VLOOKUP(B14,DS,9,0)="x",'L - 6'!E14*$N$4,0)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3584148</v>
      </c>
      <c r="R14" s="39">
        <f t="shared" si="20"/>
        <v>0</v>
      </c>
      <c r="S14" s="45">
        <f t="shared" ref="S14:S18" si="22">Q14-R14</f>
        <v>3584148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172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-6'!$B$8:$AS$25,36,0)</f>
        <v>26</v>
      </c>
      <c r="G15" s="145">
        <f t="shared" si="13"/>
        <v>3194148</v>
      </c>
      <c r="H15" s="92">
        <f>(VLOOKUP(B15,'CC -6'!$B$8:$AS$25,37,0)+VLOOKUP(B15,'CC -6'!$B$8:$AS$25,38,0))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3194148</v>
      </c>
      <c r="L15" s="90">
        <f t="shared" si="16"/>
        <v>390000</v>
      </c>
      <c r="M15" s="40">
        <f t="shared" si="17"/>
        <v>3584148</v>
      </c>
      <c r="N15" s="40">
        <f>IF(VLOOKUP(B15,DS,9,0)="x",'L - 6'!E15*$N$4,0)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3584148</v>
      </c>
      <c r="R15" s="39">
        <f t="shared" si="20"/>
        <v>0</v>
      </c>
      <c r="S15" s="45">
        <f t="shared" si="22"/>
        <v>3584148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173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-6'!$B$8:$AS$25,36,0)</f>
        <v>26</v>
      </c>
      <c r="G16" s="145">
        <f t="shared" si="13"/>
        <v>3194148</v>
      </c>
      <c r="H16" s="92">
        <f>(VLOOKUP(B16,'CC -6'!$B$8:$AS$25,37,0)+VLOOKUP(B16,'CC -6'!$B$8:$AS$25,38,0))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3194148</v>
      </c>
      <c r="L16" s="90">
        <f t="shared" si="16"/>
        <v>390000</v>
      </c>
      <c r="M16" s="40">
        <f t="shared" si="17"/>
        <v>3584148</v>
      </c>
      <c r="N16" s="40">
        <f>IF(VLOOKUP(B16,DS,9,0)="x",'L - 6'!E16*$N$4,0)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3584148</v>
      </c>
      <c r="R16" s="39">
        <f t="shared" si="20"/>
        <v>0</v>
      </c>
      <c r="S16" s="45">
        <f t="shared" si="22"/>
        <v>3584148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174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-6'!$B$8:$AS$25,36,0)</f>
        <v>26</v>
      </c>
      <c r="G17" s="145">
        <f t="shared" si="13"/>
        <v>3194148</v>
      </c>
      <c r="H17" s="92">
        <f>(VLOOKUP(B17,'CC -6'!$B$8:$AS$25,37,0)+VLOOKUP(B17,'CC -6'!$B$8:$AS$25,38,0))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3194148</v>
      </c>
      <c r="L17" s="90">
        <f t="shared" si="16"/>
        <v>390000</v>
      </c>
      <c r="M17" s="40">
        <f t="shared" si="17"/>
        <v>3584148</v>
      </c>
      <c r="N17" s="40">
        <f>IF(VLOOKUP(B17,DS,9,0)="x",'L - 6'!E17*$N$4,0)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3584148</v>
      </c>
      <c r="R17" s="39">
        <f t="shared" si="20"/>
        <v>0</v>
      </c>
      <c r="S17" s="45">
        <f t="shared" si="22"/>
        <v>3584148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175</v>
      </c>
      <c r="C18" s="89" t="str">
        <f t="shared" si="10"/>
        <v>Huỳnh Thị Bé Thi</v>
      </c>
      <c r="D18" s="116" t="str">
        <f t="shared" si="11"/>
        <v>Công nhân</v>
      </c>
      <c r="E18" s="90">
        <f t="shared" si="12"/>
        <v>3317000</v>
      </c>
      <c r="F18" s="92">
        <f>VLOOKUP(B18,'CC -6'!$B$8:$AS$25,36,0)</f>
        <v>26</v>
      </c>
      <c r="G18" s="145">
        <f t="shared" si="13"/>
        <v>3194148</v>
      </c>
      <c r="H18" s="92">
        <f>(VLOOKUP(B18,'CC -6'!$B$8:$AS$25,37,0)+VLOOKUP(B18,'CC -6'!$B$8:$AS$25,38,0))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3194148</v>
      </c>
      <c r="L18" s="90">
        <f t="shared" si="16"/>
        <v>390000</v>
      </c>
      <c r="M18" s="40">
        <f t="shared" si="17"/>
        <v>3584148</v>
      </c>
      <c r="N18" s="40">
        <f>IF(VLOOKUP(B18,DS,9,0)="x",'L - 6'!E18*$N$4,0)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3584148</v>
      </c>
      <c r="R18" s="39">
        <f t="shared" si="20"/>
        <v>0</v>
      </c>
      <c r="S18" s="45">
        <f t="shared" si="22"/>
        <v>3584148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5" t="s">
        <v>25</v>
      </c>
      <c r="B20" s="245"/>
      <c r="C20" s="245"/>
      <c r="D20" s="245"/>
      <c r="E20" s="140">
        <f>SUM(E10:E19)</f>
        <v>28526000</v>
      </c>
      <c r="F20" s="140"/>
      <c r="G20" s="140">
        <f>SUM(G10:G19)</f>
        <v>27469481</v>
      </c>
      <c r="H20" s="140"/>
      <c r="I20" s="140">
        <f>SUM(I10:I19)</f>
        <v>0</v>
      </c>
      <c r="J20" s="26"/>
      <c r="K20" s="26">
        <f t="shared" ref="K20:S20" si="23">SUM(K10:K19)</f>
        <v>27469481</v>
      </c>
      <c r="L20" s="26">
        <f t="shared" si="23"/>
        <v>3120000</v>
      </c>
      <c r="M20" s="26">
        <f t="shared" si="23"/>
        <v>30589481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30589481</v>
      </c>
      <c r="R20" s="26">
        <f t="shared" si="23"/>
        <v>0</v>
      </c>
      <c r="S20" s="26">
        <f t="shared" si="23"/>
        <v>30589481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O6:O7"/>
    <mergeCell ref="P6:P7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F14" sqref="F14:AJ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10" t="s">
        <v>158</v>
      </c>
      <c r="AN1" s="211"/>
      <c r="AO1" s="211"/>
      <c r="AP1" s="211"/>
      <c r="AQ1" s="211"/>
      <c r="AR1" s="211"/>
      <c r="AS1" s="21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29" t="s">
        <v>28</v>
      </c>
      <c r="B5" s="229" t="s">
        <v>3</v>
      </c>
      <c r="C5" s="229" t="s">
        <v>1</v>
      </c>
      <c r="D5" s="231" t="s">
        <v>29</v>
      </c>
      <c r="E5" s="229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34" t="s">
        <v>15</v>
      </c>
      <c r="AL5" s="235"/>
      <c r="AM5" s="236"/>
      <c r="AN5" s="232" t="s">
        <v>45</v>
      </c>
      <c r="AO5" s="232" t="s">
        <v>41</v>
      </c>
      <c r="AP5" s="232" t="s">
        <v>42</v>
      </c>
      <c r="AQ5" s="232" t="s">
        <v>43</v>
      </c>
      <c r="AR5" s="232" t="s">
        <v>44</v>
      </c>
      <c r="AS5" s="231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0"/>
      <c r="B6" s="230"/>
      <c r="C6" s="230"/>
      <c r="D6" s="230"/>
      <c r="E6" s="230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33"/>
      <c r="AO6" s="233"/>
      <c r="AP6" s="233"/>
      <c r="AQ6" s="233"/>
      <c r="AR6" s="233"/>
      <c r="AS6" s="230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161</v>
      </c>
      <c r="B8" s="182" t="s">
        <v>162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25">
        <v>1</v>
      </c>
      <c r="B9" s="225" t="s">
        <v>168</v>
      </c>
      <c r="C9" s="227" t="str">
        <f>VLOOKUP(B9,DS,2,0)</f>
        <v>Mai Út Hiền</v>
      </c>
      <c r="D9" s="223" t="str">
        <f>VLOOKUP(B9,DS,3,0)</f>
        <v>Cơ Điện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15">
        <f>((SUM(F9:AJ9))/8)-(SUMIF($F$6:$AJ$6,"C.Nhật",F9:AJ9)/8)</f>
        <v>26</v>
      </c>
      <c r="AL9" s="215">
        <f>SUM(F10:AJ10)/8*1.5</f>
        <v>0</v>
      </c>
      <c r="AM9" s="217">
        <f>SUMIF($F$6:$AJ$6,"C.Nhật",$F9:$AJ10)/8*2</f>
        <v>0</v>
      </c>
      <c r="AN9" s="219">
        <f>SUM(AK9:AM10)</f>
        <v>26</v>
      </c>
      <c r="AO9" s="221">
        <v>0</v>
      </c>
      <c r="AP9" s="219"/>
      <c r="AQ9" s="219"/>
      <c r="AR9" s="219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26"/>
      <c r="B10" s="226"/>
      <c r="C10" s="228"/>
      <c r="D10" s="224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6"/>
      <c r="AL10" s="216"/>
      <c r="AM10" s="218"/>
      <c r="AN10" s="220"/>
      <c r="AO10" s="222"/>
      <c r="AP10" s="220"/>
      <c r="AQ10" s="220"/>
      <c r="AR10" s="220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25">
        <f>A9+1</f>
        <v>2</v>
      </c>
      <c r="B11" s="225" t="s">
        <v>169</v>
      </c>
      <c r="C11" s="227" t="str">
        <f>VLOOKUP(B11,DS,2,0)</f>
        <v>Nguyễn Thị Xuân Thảo</v>
      </c>
      <c r="D11" s="223" t="str">
        <f>VLOOKUP(B11,DS,3,0)</f>
        <v>KCS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15">
        <f t="shared" ref="AK11" si="2">((SUM(F11:AJ11))/8)-(SUMIF($F$6:$AJ$6,"C.Nhật",F11:AJ11)/8)</f>
        <v>26</v>
      </c>
      <c r="AL11" s="215">
        <f t="shared" ref="AL11" si="3">SUM(F12:AJ12)/8*1.5</f>
        <v>0</v>
      </c>
      <c r="AM11" s="217">
        <f t="shared" ref="AM11" si="4">SUMIF($F$6:$AJ$6,"C.Nhật",$F11:$AJ12)/8*2</f>
        <v>0</v>
      </c>
      <c r="AN11" s="219">
        <f t="shared" ref="AN11" si="5">SUM(AK11:AM12)</f>
        <v>26</v>
      </c>
      <c r="AO11" s="221">
        <v>0</v>
      </c>
      <c r="AP11" s="219"/>
      <c r="AQ11" s="219"/>
      <c r="AR11" s="219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26"/>
      <c r="B12" s="226"/>
      <c r="C12" s="228"/>
      <c r="D12" s="224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6"/>
      <c r="AL12" s="216"/>
      <c r="AM12" s="218"/>
      <c r="AN12" s="220"/>
      <c r="AO12" s="222"/>
      <c r="AP12" s="220"/>
      <c r="AQ12" s="220"/>
      <c r="AR12" s="220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163</v>
      </c>
      <c r="B13" s="182" t="s">
        <v>167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25">
        <v>1</v>
      </c>
      <c r="B14" s="225" t="s">
        <v>170</v>
      </c>
      <c r="C14" s="227" t="str">
        <f>VLOOKUP(B14,DS,2,0)</f>
        <v xml:space="preserve"> Lâm Thị Mộng Kiều </v>
      </c>
      <c r="D14" s="223" t="str">
        <f>VLOOKUP(B14,DS,3,0)</f>
        <v>Công nhân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15">
        <f t="shared" ref="AK14" si="6">((SUM(F14:AJ14))/8)-(SUMIF($F$6:$AJ$6,"C.Nhật",F14:AJ14)/8)</f>
        <v>26</v>
      </c>
      <c r="AL14" s="215">
        <f t="shared" ref="AL14" si="7">SUM(F15:AJ15)/8*1.5</f>
        <v>0</v>
      </c>
      <c r="AM14" s="217">
        <f>SUMIF($F$6:$AJ$6,"C.Nhật",$F14:$AJ15)/8*2</f>
        <v>0</v>
      </c>
      <c r="AN14" s="219">
        <f>SUM(AK14:AM15)</f>
        <v>26</v>
      </c>
      <c r="AO14" s="221">
        <v>0</v>
      </c>
      <c r="AP14" s="219"/>
      <c r="AQ14" s="219"/>
      <c r="AR14" s="219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26"/>
      <c r="B15" s="226"/>
      <c r="C15" s="228"/>
      <c r="D15" s="224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16"/>
      <c r="AL15" s="216"/>
      <c r="AM15" s="218"/>
      <c r="AN15" s="220"/>
      <c r="AO15" s="222"/>
      <c r="AP15" s="220"/>
      <c r="AQ15" s="220"/>
      <c r="AR15" s="220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25">
        <f>A14+1</f>
        <v>2</v>
      </c>
      <c r="B16" s="225" t="s">
        <v>171</v>
      </c>
      <c r="C16" s="227" t="str">
        <f>VLOOKUP(B16,DS,2,0)</f>
        <v>Huỳnh Thị Hường</v>
      </c>
      <c r="D16" s="223" t="str">
        <f>VLOOKUP(B16,DS,3,0)</f>
        <v>Công nhân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15">
        <f t="shared" ref="AK16" si="8">((SUM(F16:AJ16))/8)-(SUMIF($F$6:$AJ$6,"C.Nhật",F16:AJ16)/8)</f>
        <v>26</v>
      </c>
      <c r="AL16" s="215">
        <f t="shared" ref="AL16" si="9">SUM(F17:AJ17)/8*1.5</f>
        <v>0</v>
      </c>
      <c r="AM16" s="217">
        <f>SUMIF($F$6:$AJ$6,"C.Nhật",$F16:$AJ17)/8*2</f>
        <v>0</v>
      </c>
      <c r="AN16" s="219">
        <f t="shared" ref="AN16" si="10">SUM(AK16:AM17)</f>
        <v>26</v>
      </c>
      <c r="AO16" s="221">
        <v>0</v>
      </c>
      <c r="AP16" s="219"/>
      <c r="AQ16" s="219"/>
      <c r="AR16" s="219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26"/>
      <c r="B17" s="226"/>
      <c r="C17" s="228"/>
      <c r="D17" s="224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6"/>
      <c r="AL17" s="216"/>
      <c r="AM17" s="218"/>
      <c r="AN17" s="220"/>
      <c r="AO17" s="222"/>
      <c r="AP17" s="220"/>
      <c r="AQ17" s="220"/>
      <c r="AR17" s="220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25">
        <f t="shared" ref="A18" si="11">A16+1</f>
        <v>3</v>
      </c>
      <c r="B18" s="225" t="s">
        <v>172</v>
      </c>
      <c r="C18" s="227" t="str">
        <f>VLOOKUP(B18,DS,2,0)</f>
        <v>Nguyễn Thị Rong</v>
      </c>
      <c r="D18" s="223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15">
        <f t="shared" ref="AK18" si="12">((SUM(F18:AJ18))/8)-(SUMIF($F$6:$AJ$6,"C.Nhật",F18:AJ18)/8)</f>
        <v>26</v>
      </c>
      <c r="AL18" s="215">
        <f t="shared" ref="AL18" si="13">SUM(F19:AJ19)/8*1.5</f>
        <v>0</v>
      </c>
      <c r="AM18" s="217">
        <f>SUMIF($F$6:$AJ$6,"C.Nhật",$F18:$AJ19)/8*2</f>
        <v>0</v>
      </c>
      <c r="AN18" s="219">
        <f t="shared" ref="AN18" si="14">SUM(AK18:AM19)</f>
        <v>26</v>
      </c>
      <c r="AO18" s="221">
        <v>0</v>
      </c>
      <c r="AP18" s="219"/>
      <c r="AQ18" s="219"/>
      <c r="AR18" s="219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26"/>
      <c r="B19" s="226"/>
      <c r="C19" s="228"/>
      <c r="D19" s="224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6"/>
      <c r="AL19" s="216"/>
      <c r="AM19" s="218"/>
      <c r="AN19" s="220"/>
      <c r="AO19" s="222"/>
      <c r="AP19" s="220"/>
      <c r="AQ19" s="220"/>
      <c r="AR19" s="220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25">
        <f t="shared" ref="A20" si="15">A18+1</f>
        <v>4</v>
      </c>
      <c r="B20" s="225" t="s">
        <v>173</v>
      </c>
      <c r="C20" s="227" t="str">
        <f>VLOOKUP(B20,DS,2,0)</f>
        <v>Sơn Thị Nil</v>
      </c>
      <c r="D20" s="223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15">
        <f t="shared" ref="AK20" si="16">((SUM(F20:AJ20))/8)-(SUMIF($F$6:$AJ$6,"C.Nhật",F20:AJ20)/8)</f>
        <v>26</v>
      </c>
      <c r="AL20" s="215">
        <f t="shared" ref="AL20" si="17">SUM(F21:AJ21)/8*1.5</f>
        <v>0</v>
      </c>
      <c r="AM20" s="217">
        <f>SUMIF($F$6:$AJ$6,"C.Nhật",$F20:$AJ21)/8*2</f>
        <v>0</v>
      </c>
      <c r="AN20" s="219">
        <f t="shared" ref="AN20" si="18">SUM(AK20:AM21)</f>
        <v>26</v>
      </c>
      <c r="AO20" s="221">
        <v>0</v>
      </c>
      <c r="AP20" s="219"/>
      <c r="AQ20" s="219"/>
      <c r="AR20" s="219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26"/>
      <c r="B21" s="226"/>
      <c r="C21" s="228"/>
      <c r="D21" s="224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6"/>
      <c r="AL21" s="216"/>
      <c r="AM21" s="218"/>
      <c r="AN21" s="220"/>
      <c r="AO21" s="222"/>
      <c r="AP21" s="220"/>
      <c r="AQ21" s="220"/>
      <c r="AR21" s="220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25">
        <f t="shared" ref="A22" si="19">A20+1</f>
        <v>5</v>
      </c>
      <c r="B22" s="225" t="s">
        <v>174</v>
      </c>
      <c r="C22" s="227" t="str">
        <f>VLOOKUP(B22,DS,2,0)</f>
        <v>Huỳnh Thị Bé Tha</v>
      </c>
      <c r="D22" s="223" t="str">
        <f>VLOOKUP(B22,DS,3,0)</f>
        <v>Công nhân</v>
      </c>
      <c r="E22" s="68" t="s">
        <v>32</v>
      </c>
      <c r="F22" s="143">
        <v>8</v>
      </c>
      <c r="G22" s="143">
        <v>8</v>
      </c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/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/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/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15">
        <f t="shared" ref="AK22" si="20">((SUM(F22:AJ22))/8)-(SUMIF($F$6:$AJ$6,"C.Nhật",F22:AJ22)/8)</f>
        <v>26</v>
      </c>
      <c r="AL22" s="215">
        <f t="shared" ref="AL22" si="21">SUM(F23:AJ23)/8*1.5</f>
        <v>0</v>
      </c>
      <c r="AM22" s="217">
        <f>SUMIF($F$6:$AJ$6,"C.Nhật",$F22:$AJ23)/8*2</f>
        <v>0</v>
      </c>
      <c r="AN22" s="219">
        <f t="shared" ref="AN22" si="22">SUM(AK22:AM23)</f>
        <v>26</v>
      </c>
      <c r="AO22" s="221">
        <v>0</v>
      </c>
      <c r="AP22" s="219"/>
      <c r="AQ22" s="219"/>
      <c r="AR22" s="219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26"/>
      <c r="B23" s="226"/>
      <c r="C23" s="228"/>
      <c r="D23" s="224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16"/>
      <c r="AL23" s="216"/>
      <c r="AM23" s="218"/>
      <c r="AN23" s="220"/>
      <c r="AO23" s="222"/>
      <c r="AP23" s="220"/>
      <c r="AQ23" s="220"/>
      <c r="AR23" s="220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25">
        <f t="shared" ref="A24" si="23">A22+1</f>
        <v>6</v>
      </c>
      <c r="B24" s="225" t="s">
        <v>175</v>
      </c>
      <c r="C24" s="227" t="str">
        <f>VLOOKUP(B24,DS,2,0)</f>
        <v>Huỳnh Thị Bé Thi</v>
      </c>
      <c r="D24" s="223" t="str">
        <f>VLOOKUP(B24,DS,3,0)</f>
        <v>Công nhân</v>
      </c>
      <c r="E24" s="68" t="s">
        <v>32</v>
      </c>
      <c r="F24" s="143">
        <v>8</v>
      </c>
      <c r="G24" s="143">
        <v>8</v>
      </c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/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/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/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15">
        <f t="shared" ref="AK24" si="24">((SUM(F24:AJ24))/8)-(SUMIF($F$6:$AJ$6,"C.Nhật",F24:AJ24)/8)</f>
        <v>26</v>
      </c>
      <c r="AL24" s="215">
        <f t="shared" ref="AL24" si="25">SUM(F25:AJ25)/8*1.5</f>
        <v>0</v>
      </c>
      <c r="AM24" s="217">
        <f>SUMIF($F$6:$AJ$6,"C.Nhật",$F24:$AJ25)/8*2</f>
        <v>0</v>
      </c>
      <c r="AN24" s="219">
        <f t="shared" ref="AN24" si="26">SUM(AK24:AM25)</f>
        <v>26</v>
      </c>
      <c r="AO24" s="221">
        <v>0</v>
      </c>
      <c r="AP24" s="219"/>
      <c r="AQ24" s="219"/>
      <c r="AR24" s="219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26"/>
      <c r="B25" s="226"/>
      <c r="C25" s="228"/>
      <c r="D25" s="224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16"/>
      <c r="AL25" s="216"/>
      <c r="AM25" s="218"/>
      <c r="AN25" s="220"/>
      <c r="AO25" s="222"/>
      <c r="AP25" s="220"/>
      <c r="AQ25" s="220"/>
      <c r="AR25" s="220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 F14:AJ25">
    <cfRule type="expression" dxfId="34" priority="9" stopIfTrue="1">
      <formula>IF(WEEKDAY(F$5)=1,TRUE,FALSE)</formula>
    </cfRule>
  </conditionalFormatting>
  <conditionalFormatting sqref="F9:AJ12">
    <cfRule type="expression" dxfId="33" priority="8" stopIfTrue="1">
      <formula>IF(WEEKDAY(F$5)=1,TRUE,FALSE)</formula>
    </cfRule>
  </conditionalFormatting>
  <conditionalFormatting sqref="F14:AJ25">
    <cfRule type="expression" dxfId="32" priority="7" stopIfTrue="1">
      <formula>IF(WEEKDAY(F$5)=1,TRUE,FALSE)</formula>
    </cfRule>
  </conditionalFormatting>
  <conditionalFormatting sqref="F14:AJ25">
    <cfRule type="expression" dxfId="31" priority="6" stopIfTrue="1">
      <formula>IF(WEEKDAY(F$5)=1,TRUE,FALSE)</formula>
    </cfRule>
  </conditionalFormatting>
  <conditionalFormatting sqref="F14:AI25">
    <cfRule type="expression" dxfId="30" priority="5" stopIfTrue="1">
      <formula>IF(WEEKDAY(F$5)=1,TRUE,FALSE)</formula>
    </cfRule>
  </conditionalFormatting>
  <conditionalFormatting sqref="F14:AJ25">
    <cfRule type="expression" dxfId="29" priority="4" stopIfTrue="1">
      <formula>IF(WEEKDAY(F$5)=1,TRUE,FALSE)</formula>
    </cfRule>
  </conditionalFormatting>
  <conditionalFormatting sqref="F14:AI25">
    <cfRule type="expression" dxfId="28" priority="3" stopIfTrue="1">
      <formula>IF(WEEKDAY(F$5)=1,TRUE,FALSE)</formula>
    </cfRule>
  </conditionalFormatting>
  <conditionalFormatting sqref="F14:AJ25">
    <cfRule type="expression" dxfId="27" priority="2" stopIfTrue="1">
      <formula>IF(WEEKDAY(F$5)=1,TRUE,FALSE)</formula>
    </cfRule>
  </conditionalFormatting>
  <conditionalFormatting sqref="F14:AJ25">
    <cfRule type="expression" dxfId="2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F14" sqref="F14:AJ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6" t="str">
        <f>"BẢNG THANH TOÁN LƯƠNG THÁNG"&amp;" "&amp;TEXT($E$4,"mm")&amp;" / "&amp;TEXT($E$4,"yyyy")</f>
        <v>BẢNG THANH TOÁN LƯƠNG THÁNG 07 / 2011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51" t="s">
        <v>157</v>
      </c>
      <c r="S1" s="252"/>
      <c r="T1" s="25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8" t="s">
        <v>19</v>
      </c>
      <c r="B5" s="248" t="s">
        <v>20</v>
      </c>
      <c r="C5" s="203" t="s">
        <v>1</v>
      </c>
      <c r="D5" s="203" t="s">
        <v>2</v>
      </c>
      <c r="E5" s="198" t="s">
        <v>56</v>
      </c>
      <c r="F5" s="239" t="s">
        <v>26</v>
      </c>
      <c r="G5" s="240"/>
      <c r="H5" s="240"/>
      <c r="I5" s="240"/>
      <c r="J5" s="240"/>
      <c r="K5" s="241"/>
      <c r="L5" s="238" t="s">
        <v>57</v>
      </c>
      <c r="M5" s="238" t="s">
        <v>5</v>
      </c>
      <c r="N5" s="203" t="s">
        <v>6</v>
      </c>
      <c r="O5" s="203"/>
      <c r="P5" s="203"/>
      <c r="Q5" s="238" t="s">
        <v>7</v>
      </c>
      <c r="R5" s="238" t="s">
        <v>8</v>
      </c>
      <c r="S5" s="238" t="s">
        <v>9</v>
      </c>
      <c r="T5" s="19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9"/>
      <c r="B6" s="249"/>
      <c r="C6" s="203"/>
      <c r="D6" s="203"/>
      <c r="E6" s="198"/>
      <c r="F6" s="239" t="s">
        <v>59</v>
      </c>
      <c r="G6" s="241"/>
      <c r="H6" s="239" t="s">
        <v>165</v>
      </c>
      <c r="I6" s="240"/>
      <c r="J6" s="243" t="s">
        <v>27</v>
      </c>
      <c r="K6" s="238" t="s">
        <v>4</v>
      </c>
      <c r="L6" s="242"/>
      <c r="M6" s="242"/>
      <c r="N6" s="254" t="s">
        <v>12</v>
      </c>
      <c r="O6" s="238" t="s">
        <v>13</v>
      </c>
      <c r="P6" s="238" t="s">
        <v>34</v>
      </c>
      <c r="Q6" s="242"/>
      <c r="R6" s="242"/>
      <c r="S6" s="242"/>
      <c r="T6" s="20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9"/>
      <c r="B7" s="249"/>
      <c r="C7" s="238"/>
      <c r="D7" s="238"/>
      <c r="E7" s="198"/>
      <c r="F7" s="196" t="s">
        <v>40</v>
      </c>
      <c r="G7" s="193" t="s">
        <v>18</v>
      </c>
      <c r="H7" s="196" t="s">
        <v>40</v>
      </c>
      <c r="I7" s="128" t="s">
        <v>18</v>
      </c>
      <c r="J7" s="244"/>
      <c r="K7" s="242"/>
      <c r="L7" s="250"/>
      <c r="M7" s="250"/>
      <c r="N7" s="255"/>
      <c r="O7" s="242"/>
      <c r="P7" s="242"/>
      <c r="Q7" s="242"/>
      <c r="R7" s="242"/>
      <c r="S7" s="242"/>
      <c r="T7" s="20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161</v>
      </c>
      <c r="B9" s="188" t="s">
        <v>162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168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-7'!$B$8:$AS$25,36,0)</f>
        <v>26</v>
      </c>
      <c r="G10" s="145">
        <f t="shared" ref="G10:G11" si="3">ROUND(E10/$U$2*F10,0)</f>
        <v>4175407</v>
      </c>
      <c r="H10" s="92">
        <f>(VLOOKUP(B10,'CC -7'!$B$8:$AS$25,37,0)+VLOOKUP(B10,'CC -7'!$B$8:$AS$25,38,0))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4175407</v>
      </c>
      <c r="L10" s="90">
        <f t="shared" ref="L10:L11" si="6">+F10*15000</f>
        <v>390000</v>
      </c>
      <c r="M10" s="40">
        <f t="shared" ref="M10:M11" si="7">K10+L10</f>
        <v>4565407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4565407</v>
      </c>
      <c r="R10" s="39">
        <f>VLOOKUP(B10,DS,23,0)</f>
        <v>0</v>
      </c>
      <c r="S10" s="45">
        <f t="shared" ref="S10:S11" si="9">Q10-R10</f>
        <v>4565407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169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-7'!$B$8:$AS$25,36,0)</f>
        <v>26</v>
      </c>
      <c r="G11" s="145">
        <f t="shared" si="3"/>
        <v>3905778</v>
      </c>
      <c r="H11" s="92">
        <f>(VLOOKUP(B11,'CC -7'!$B$8:$AS$25,37,0)+VLOOKUP(B11,'CC -7'!$B$8:$AS$25,38,0))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3905778</v>
      </c>
      <c r="L11" s="90">
        <f t="shared" si="6"/>
        <v>390000</v>
      </c>
      <c r="M11" s="40">
        <f t="shared" si="7"/>
        <v>4295778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4295778</v>
      </c>
      <c r="R11" s="39">
        <f>VLOOKUP(B11,DS,23,0)</f>
        <v>0</v>
      </c>
      <c r="S11" s="45">
        <f t="shared" si="9"/>
        <v>4295778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163</v>
      </c>
      <c r="B12" s="188" t="s">
        <v>164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170</v>
      </c>
      <c r="C13" s="89" t="str">
        <f t="shared" ref="C13:C18" si="10">VLOOKUP(B13,DS,2,0)</f>
        <v xml:space="preserve"> Lâm Thị Mộng Kiều </v>
      </c>
      <c r="D13" s="116" t="str">
        <f t="shared" ref="D13:D18" si="11">VLOOKUP(B13,DS,3,0)</f>
        <v>Công nhân</v>
      </c>
      <c r="E13" s="90">
        <f t="shared" ref="E13:E18" si="12">VLOOKUP(B13,DS,4,0)</f>
        <v>3549000</v>
      </c>
      <c r="F13" s="92">
        <f>VLOOKUP(B13,'CC -7'!$B$8:$AS$25,36,0)</f>
        <v>26</v>
      </c>
      <c r="G13" s="145">
        <f t="shared" ref="G13:G18" si="13">ROUND(E13/$U$2*F13,0)</f>
        <v>3417556</v>
      </c>
      <c r="H13" s="92">
        <f>(VLOOKUP(B13,'CC -7'!$B$8:$AS$25,37,0)+VLOOKUP(B13,'CC -7'!$B$8:$AS$25,38,0))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3417556</v>
      </c>
      <c r="L13" s="90">
        <f t="shared" ref="L13:L18" si="16">+F13*15000</f>
        <v>390000</v>
      </c>
      <c r="M13" s="40">
        <f t="shared" ref="M13:M18" si="17">K13+L13</f>
        <v>3807556</v>
      </c>
      <c r="N13" s="40">
        <f>IF(VLOOKUP(B13,DS,9,0)="x",'L - 7'!E13*$N$4,0)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3807556</v>
      </c>
      <c r="R13" s="39">
        <f t="shared" ref="R13:R18" si="20">VLOOKUP(B13,DS,23,0)</f>
        <v>0</v>
      </c>
      <c r="S13" s="45">
        <f>Q13-R13</f>
        <v>3807556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171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-7'!$B$8:$AS$25,36,0)</f>
        <v>26</v>
      </c>
      <c r="G14" s="145">
        <f t="shared" si="13"/>
        <v>3194148</v>
      </c>
      <c r="H14" s="92">
        <f>(VLOOKUP(B14,'CC -7'!$B$8:$AS$25,37,0)+VLOOKUP(B14,'CC -7'!$B$8:$AS$25,38,0))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3194148</v>
      </c>
      <c r="L14" s="90">
        <f t="shared" si="16"/>
        <v>390000</v>
      </c>
      <c r="M14" s="40">
        <f t="shared" si="17"/>
        <v>3584148</v>
      </c>
      <c r="N14" s="40">
        <f>IF(VLOOKUP(B14,DS,9,0)="x",'L - 7'!E14*$N$4,0)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3584148</v>
      </c>
      <c r="R14" s="39">
        <f t="shared" si="20"/>
        <v>0</v>
      </c>
      <c r="S14" s="45">
        <f t="shared" ref="S14:S18" si="22">Q14-R14</f>
        <v>3584148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172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-7'!$B$8:$AS$25,36,0)</f>
        <v>26</v>
      </c>
      <c r="G15" s="145">
        <f t="shared" si="13"/>
        <v>3194148</v>
      </c>
      <c r="H15" s="92">
        <f>(VLOOKUP(B15,'CC -7'!$B$8:$AS$25,37,0)+VLOOKUP(B15,'CC -7'!$B$8:$AS$25,38,0))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3194148</v>
      </c>
      <c r="L15" s="90">
        <f t="shared" si="16"/>
        <v>390000</v>
      </c>
      <c r="M15" s="40">
        <f t="shared" si="17"/>
        <v>3584148</v>
      </c>
      <c r="N15" s="40">
        <f>IF(VLOOKUP(B15,DS,9,0)="x",'L - 7'!E15*$N$4,0)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3584148</v>
      </c>
      <c r="R15" s="39">
        <f t="shared" si="20"/>
        <v>0</v>
      </c>
      <c r="S15" s="45">
        <f t="shared" si="22"/>
        <v>3584148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173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-7'!$B$8:$AS$25,36,0)</f>
        <v>26</v>
      </c>
      <c r="G16" s="145">
        <f t="shared" si="13"/>
        <v>3194148</v>
      </c>
      <c r="H16" s="92">
        <f>(VLOOKUP(B16,'CC -7'!$B$8:$AS$25,37,0)+VLOOKUP(B16,'CC -7'!$B$8:$AS$25,38,0))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3194148</v>
      </c>
      <c r="L16" s="90">
        <f t="shared" si="16"/>
        <v>390000</v>
      </c>
      <c r="M16" s="40">
        <f t="shared" si="17"/>
        <v>3584148</v>
      </c>
      <c r="N16" s="40">
        <f>IF(VLOOKUP(B16,DS,9,0)="x",'L - 7'!E16*$N$4,0)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3584148</v>
      </c>
      <c r="R16" s="39">
        <f t="shared" si="20"/>
        <v>0</v>
      </c>
      <c r="S16" s="45">
        <f t="shared" si="22"/>
        <v>3584148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174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-7'!$B$8:$AS$25,36,0)</f>
        <v>26</v>
      </c>
      <c r="G17" s="145">
        <f t="shared" si="13"/>
        <v>3194148</v>
      </c>
      <c r="H17" s="92">
        <f>(VLOOKUP(B17,'CC -7'!$B$8:$AS$25,37,0)+VLOOKUP(B17,'CC -7'!$B$8:$AS$25,38,0))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3194148</v>
      </c>
      <c r="L17" s="90">
        <f t="shared" si="16"/>
        <v>390000</v>
      </c>
      <c r="M17" s="40">
        <f t="shared" si="17"/>
        <v>3584148</v>
      </c>
      <c r="N17" s="40">
        <f>IF(VLOOKUP(B17,DS,9,0)="x",'L - 7'!E17*$N$4,0)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3584148</v>
      </c>
      <c r="R17" s="39">
        <f t="shared" si="20"/>
        <v>0</v>
      </c>
      <c r="S17" s="45">
        <f t="shared" si="22"/>
        <v>3584148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175</v>
      </c>
      <c r="C18" s="89" t="str">
        <f t="shared" si="10"/>
        <v>Huỳnh Thị Bé Thi</v>
      </c>
      <c r="D18" s="116" t="str">
        <f t="shared" si="11"/>
        <v>Công nhân</v>
      </c>
      <c r="E18" s="90">
        <f t="shared" si="12"/>
        <v>3317000</v>
      </c>
      <c r="F18" s="92">
        <f>VLOOKUP(B18,'CC -7'!$B$8:$AS$25,36,0)</f>
        <v>26</v>
      </c>
      <c r="G18" s="145">
        <f t="shared" si="13"/>
        <v>3194148</v>
      </c>
      <c r="H18" s="92">
        <f>(VLOOKUP(B18,'CC -7'!$B$8:$AS$25,37,0)+VLOOKUP(B18,'CC -7'!$B$8:$AS$25,38,0))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3194148</v>
      </c>
      <c r="L18" s="90">
        <f t="shared" si="16"/>
        <v>390000</v>
      </c>
      <c r="M18" s="40">
        <f t="shared" si="17"/>
        <v>3584148</v>
      </c>
      <c r="N18" s="40">
        <f>IF(VLOOKUP(B18,DS,9,0)="x",'L - 7'!E18*$N$4,0)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3584148</v>
      </c>
      <c r="R18" s="39">
        <f t="shared" si="20"/>
        <v>0</v>
      </c>
      <c r="S18" s="45">
        <f t="shared" si="22"/>
        <v>3584148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5" t="s">
        <v>25</v>
      </c>
      <c r="B20" s="245"/>
      <c r="C20" s="245"/>
      <c r="D20" s="245"/>
      <c r="E20" s="140">
        <f>SUM(E10:E19)</f>
        <v>28526000</v>
      </c>
      <c r="F20" s="140"/>
      <c r="G20" s="140">
        <f>SUM(G10:G19)</f>
        <v>27469481</v>
      </c>
      <c r="H20" s="140"/>
      <c r="I20" s="140">
        <f>SUM(I10:I19)</f>
        <v>0</v>
      </c>
      <c r="J20" s="26"/>
      <c r="K20" s="26">
        <f t="shared" ref="K20:S20" si="23">SUM(K10:K19)</f>
        <v>27469481</v>
      </c>
      <c r="L20" s="26">
        <f t="shared" si="23"/>
        <v>3120000</v>
      </c>
      <c r="M20" s="26">
        <f t="shared" si="23"/>
        <v>30589481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30589481</v>
      </c>
      <c r="R20" s="26">
        <f t="shared" si="23"/>
        <v>0</v>
      </c>
      <c r="S20" s="26">
        <f t="shared" si="23"/>
        <v>30589481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O6:O7"/>
    <mergeCell ref="P6:P7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P31" sqref="P31"/>
      <selection pane="topRight" activeCell="P31" sqref="P31"/>
      <selection pane="bottomLeft" activeCell="P31" sqref="P31"/>
      <selection pane="bottomRight" activeCell="P31" sqref="P3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10" t="s">
        <v>158</v>
      </c>
      <c r="AN1" s="211"/>
      <c r="AO1" s="211"/>
      <c r="AP1" s="211"/>
      <c r="AQ1" s="211"/>
      <c r="AR1" s="211"/>
      <c r="AS1" s="21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29" t="s">
        <v>28</v>
      </c>
      <c r="B5" s="229" t="s">
        <v>3</v>
      </c>
      <c r="C5" s="229" t="s">
        <v>1</v>
      </c>
      <c r="D5" s="231" t="s">
        <v>29</v>
      </c>
      <c r="E5" s="229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34" t="s">
        <v>15</v>
      </c>
      <c r="AL5" s="235"/>
      <c r="AM5" s="236"/>
      <c r="AN5" s="232" t="s">
        <v>45</v>
      </c>
      <c r="AO5" s="232" t="s">
        <v>41</v>
      </c>
      <c r="AP5" s="232" t="s">
        <v>42</v>
      </c>
      <c r="AQ5" s="232" t="s">
        <v>43</v>
      </c>
      <c r="AR5" s="232" t="s">
        <v>44</v>
      </c>
      <c r="AS5" s="231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0"/>
      <c r="B6" s="230"/>
      <c r="C6" s="230"/>
      <c r="D6" s="230"/>
      <c r="E6" s="230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ref="AJ6" si="2">CHOOSE(WEEKDAY(AJ5),"C.Nhật","T.Hai","T.Ba","T.Tư","T.Năm","T.Sáu","T.Bảy")</f>
        <v>T.Tư</v>
      </c>
      <c r="AK6" s="176" t="s">
        <v>16</v>
      </c>
      <c r="AL6" s="176" t="s">
        <v>31</v>
      </c>
      <c r="AM6" s="177" t="s">
        <v>17</v>
      </c>
      <c r="AN6" s="233"/>
      <c r="AO6" s="233"/>
      <c r="AP6" s="233"/>
      <c r="AQ6" s="233"/>
      <c r="AR6" s="233"/>
      <c r="AS6" s="230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161</v>
      </c>
      <c r="B8" s="182" t="s">
        <v>162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25">
        <v>1</v>
      </c>
      <c r="B9" s="225" t="s">
        <v>168</v>
      </c>
      <c r="C9" s="227" t="str">
        <f>VLOOKUP(B9,DS,2,0)</f>
        <v>Mai Út Hiền</v>
      </c>
      <c r="D9" s="223" t="str">
        <f>VLOOKUP(B9,DS,3,0)</f>
        <v>Cơ Điện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15">
        <f>((SUM(F9:AJ9))/8)-(SUMIF($F$6:$AJ$6,"C.Nhật",F9:AJ9)/8)</f>
        <v>27</v>
      </c>
      <c r="AL9" s="215">
        <f>SUM(F10:AJ10)/8*1.5</f>
        <v>0</v>
      </c>
      <c r="AM9" s="217">
        <f>SUMIF($F$6:$AJ$6,"C.Nhật",$F9:$AJ10)/8*2</f>
        <v>0</v>
      </c>
      <c r="AN9" s="219">
        <f>SUM(AK9:AM10)</f>
        <v>27</v>
      </c>
      <c r="AO9" s="221">
        <v>0</v>
      </c>
      <c r="AP9" s="219"/>
      <c r="AQ9" s="219"/>
      <c r="AR9" s="219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26"/>
      <c r="B10" s="226"/>
      <c r="C10" s="228"/>
      <c r="D10" s="224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6"/>
      <c r="AL10" s="216"/>
      <c r="AM10" s="218"/>
      <c r="AN10" s="220"/>
      <c r="AO10" s="222"/>
      <c r="AP10" s="220"/>
      <c r="AQ10" s="220"/>
      <c r="AR10" s="220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25">
        <f>A9+1</f>
        <v>2</v>
      </c>
      <c r="B11" s="225" t="s">
        <v>169</v>
      </c>
      <c r="C11" s="227" t="str">
        <f>VLOOKUP(B11,DS,2,0)</f>
        <v>Nguyễn Thị Xuân Thảo</v>
      </c>
      <c r="D11" s="223" t="str">
        <f>VLOOKUP(B11,DS,3,0)</f>
        <v>KCS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15">
        <f t="shared" ref="AK11" si="3">((SUM(F11:AJ11))/8)-(SUMIF($F$6:$AJ$6,"C.Nhật",F11:AJ11)/8)</f>
        <v>27</v>
      </c>
      <c r="AL11" s="215">
        <f t="shared" ref="AL11" si="4">SUM(F12:AJ12)/8*1.5</f>
        <v>0</v>
      </c>
      <c r="AM11" s="217">
        <f t="shared" ref="AM11" si="5">SUMIF($F$6:$AJ$6,"C.Nhật",$F11:$AJ12)/8*2</f>
        <v>0</v>
      </c>
      <c r="AN11" s="219">
        <f t="shared" ref="AN11" si="6">SUM(AK11:AM12)</f>
        <v>27</v>
      </c>
      <c r="AO11" s="221">
        <v>0</v>
      </c>
      <c r="AP11" s="219"/>
      <c r="AQ11" s="219"/>
      <c r="AR11" s="219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26"/>
      <c r="B12" s="226"/>
      <c r="C12" s="228"/>
      <c r="D12" s="224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6"/>
      <c r="AL12" s="216"/>
      <c r="AM12" s="218"/>
      <c r="AN12" s="220"/>
      <c r="AO12" s="222"/>
      <c r="AP12" s="220"/>
      <c r="AQ12" s="220"/>
      <c r="AR12" s="220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163</v>
      </c>
      <c r="B13" s="182" t="s">
        <v>167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25">
        <v>1</v>
      </c>
      <c r="B14" s="225" t="s">
        <v>170</v>
      </c>
      <c r="C14" s="227" t="str">
        <f>VLOOKUP(B14,DS,2,0)</f>
        <v xml:space="preserve"> Lâm Thị Mộng Kiều </v>
      </c>
      <c r="D14" s="223" t="str">
        <f>VLOOKUP(B14,DS,3,0)</f>
        <v>Công nhân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143">
        <v>8</v>
      </c>
      <c r="AJ14" s="143">
        <v>8</v>
      </c>
      <c r="AK14" s="215">
        <f t="shared" ref="AK14" si="7">((SUM(F14:AJ14))/8)-(SUMIF($F$6:$AJ$6,"C.Nhật",F14:AJ14)/8)</f>
        <v>27</v>
      </c>
      <c r="AL14" s="215">
        <f t="shared" ref="AL14" si="8">SUM(F15:AJ15)/8*1.5</f>
        <v>0</v>
      </c>
      <c r="AM14" s="217">
        <f>SUMIF($F$6:$AJ$6,"C.Nhật",$F14:$AJ15)/8*2</f>
        <v>0</v>
      </c>
      <c r="AN14" s="219">
        <f>SUM(AK14:AM15)</f>
        <v>27</v>
      </c>
      <c r="AO14" s="221">
        <v>0</v>
      </c>
      <c r="AP14" s="219"/>
      <c r="AQ14" s="219"/>
      <c r="AR14" s="219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26"/>
      <c r="B15" s="226"/>
      <c r="C15" s="228"/>
      <c r="D15" s="224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16"/>
      <c r="AL15" s="216"/>
      <c r="AM15" s="218"/>
      <c r="AN15" s="220"/>
      <c r="AO15" s="222"/>
      <c r="AP15" s="220"/>
      <c r="AQ15" s="220"/>
      <c r="AR15" s="220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25">
        <f>A14+1</f>
        <v>2</v>
      </c>
      <c r="B16" s="225" t="s">
        <v>171</v>
      </c>
      <c r="C16" s="227" t="str">
        <f>VLOOKUP(B16,DS,2,0)</f>
        <v>Huỳnh Thị Hường</v>
      </c>
      <c r="D16" s="223" t="str">
        <f>VLOOKUP(B16,DS,3,0)</f>
        <v>Công nhân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15">
        <f t="shared" ref="AK16" si="9">((SUM(F16:AJ16))/8)-(SUMIF($F$6:$AJ$6,"C.Nhật",F16:AJ16)/8)</f>
        <v>27</v>
      </c>
      <c r="AL16" s="215">
        <f t="shared" ref="AL16" si="10">SUM(F17:AJ17)/8*1.5</f>
        <v>0</v>
      </c>
      <c r="AM16" s="217">
        <f>SUMIF($F$6:$AJ$6,"C.Nhật",$F16:$AJ17)/8*2</f>
        <v>0</v>
      </c>
      <c r="AN16" s="219">
        <f t="shared" ref="AN16" si="11">SUM(AK16:AM17)</f>
        <v>27</v>
      </c>
      <c r="AO16" s="221">
        <v>0</v>
      </c>
      <c r="AP16" s="219"/>
      <c r="AQ16" s="219"/>
      <c r="AR16" s="219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26"/>
      <c r="B17" s="226"/>
      <c r="C17" s="228"/>
      <c r="D17" s="224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6"/>
      <c r="AL17" s="216"/>
      <c r="AM17" s="218"/>
      <c r="AN17" s="220"/>
      <c r="AO17" s="222"/>
      <c r="AP17" s="220"/>
      <c r="AQ17" s="220"/>
      <c r="AR17" s="220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25">
        <f t="shared" ref="A18" si="12">A16+1</f>
        <v>3</v>
      </c>
      <c r="B18" s="225" t="s">
        <v>172</v>
      </c>
      <c r="C18" s="227" t="str">
        <f>VLOOKUP(B18,DS,2,0)</f>
        <v>Nguyễn Thị Rong</v>
      </c>
      <c r="D18" s="223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15">
        <f t="shared" ref="AK18" si="13">((SUM(F18:AJ18))/8)-(SUMIF($F$6:$AJ$6,"C.Nhật",F18:AJ18)/8)</f>
        <v>27</v>
      </c>
      <c r="AL18" s="215">
        <f t="shared" ref="AL18" si="14">SUM(F19:AJ19)/8*1.5</f>
        <v>0</v>
      </c>
      <c r="AM18" s="217">
        <f>SUMIF($F$6:$AJ$6,"C.Nhật",$F18:$AJ19)/8*2</f>
        <v>0</v>
      </c>
      <c r="AN18" s="219">
        <f t="shared" ref="AN18" si="15">SUM(AK18:AM19)</f>
        <v>27</v>
      </c>
      <c r="AO18" s="221">
        <v>0</v>
      </c>
      <c r="AP18" s="219"/>
      <c r="AQ18" s="219"/>
      <c r="AR18" s="219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26"/>
      <c r="B19" s="226"/>
      <c r="C19" s="228"/>
      <c r="D19" s="224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6"/>
      <c r="AL19" s="216"/>
      <c r="AM19" s="218"/>
      <c r="AN19" s="220"/>
      <c r="AO19" s="222"/>
      <c r="AP19" s="220"/>
      <c r="AQ19" s="220"/>
      <c r="AR19" s="220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25">
        <f t="shared" ref="A20" si="16">A18+1</f>
        <v>4</v>
      </c>
      <c r="B20" s="225" t="s">
        <v>173</v>
      </c>
      <c r="C20" s="227" t="str">
        <f>VLOOKUP(B20,DS,2,0)</f>
        <v>Sơn Thị Nil</v>
      </c>
      <c r="D20" s="223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15">
        <f t="shared" ref="AK20" si="17">((SUM(F20:AJ20))/8)-(SUMIF($F$6:$AJ$6,"C.Nhật",F20:AJ20)/8)</f>
        <v>27</v>
      </c>
      <c r="AL20" s="215">
        <f t="shared" ref="AL20" si="18">SUM(F21:AJ21)/8*1.5</f>
        <v>0</v>
      </c>
      <c r="AM20" s="217">
        <f>SUMIF($F$6:$AJ$6,"C.Nhật",$F20:$AJ21)/8*2</f>
        <v>0</v>
      </c>
      <c r="AN20" s="219">
        <f t="shared" ref="AN20" si="19">SUM(AK20:AM21)</f>
        <v>27</v>
      </c>
      <c r="AO20" s="221">
        <v>0</v>
      </c>
      <c r="AP20" s="219"/>
      <c r="AQ20" s="219"/>
      <c r="AR20" s="219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26"/>
      <c r="B21" s="226"/>
      <c r="C21" s="228"/>
      <c r="D21" s="224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6"/>
      <c r="AL21" s="216"/>
      <c r="AM21" s="218"/>
      <c r="AN21" s="220"/>
      <c r="AO21" s="222"/>
      <c r="AP21" s="220"/>
      <c r="AQ21" s="220"/>
      <c r="AR21" s="220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25">
        <f t="shared" ref="A22" si="20">A20+1</f>
        <v>5</v>
      </c>
      <c r="B22" s="225" t="s">
        <v>174</v>
      </c>
      <c r="C22" s="227" t="str">
        <f>VLOOKUP(B22,DS,2,0)</f>
        <v>Huỳnh Thị Bé Tha</v>
      </c>
      <c r="D22" s="223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/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/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/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/>
      <c r="AH22" s="143">
        <v>8</v>
      </c>
      <c r="AI22" s="143">
        <v>8</v>
      </c>
      <c r="AJ22" s="143">
        <v>8</v>
      </c>
      <c r="AK22" s="215">
        <f t="shared" ref="AK22" si="21">((SUM(F22:AJ22))/8)-(SUMIF($F$6:$AJ$6,"C.Nhật",F22:AJ22)/8)</f>
        <v>27</v>
      </c>
      <c r="AL22" s="215">
        <f t="shared" ref="AL22" si="22">SUM(F23:AJ23)/8*1.5</f>
        <v>0</v>
      </c>
      <c r="AM22" s="217">
        <f>SUMIF($F$6:$AJ$6,"C.Nhật",$F22:$AJ23)/8*2</f>
        <v>0</v>
      </c>
      <c r="AN22" s="219">
        <f t="shared" ref="AN22" si="23">SUM(AK22:AM23)</f>
        <v>27</v>
      </c>
      <c r="AO22" s="221">
        <v>0</v>
      </c>
      <c r="AP22" s="219"/>
      <c r="AQ22" s="219"/>
      <c r="AR22" s="219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26"/>
      <c r="B23" s="226"/>
      <c r="C23" s="228"/>
      <c r="D23" s="224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16"/>
      <c r="AL23" s="216"/>
      <c r="AM23" s="218"/>
      <c r="AN23" s="220"/>
      <c r="AO23" s="222"/>
      <c r="AP23" s="220"/>
      <c r="AQ23" s="220"/>
      <c r="AR23" s="220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25">
        <f t="shared" ref="A24" si="24">A22+1</f>
        <v>6</v>
      </c>
      <c r="B24" s="225" t="s">
        <v>175</v>
      </c>
      <c r="C24" s="227" t="str">
        <f>VLOOKUP(B24,DS,2,0)</f>
        <v>Huỳnh Thị Bé Thi</v>
      </c>
      <c r="D24" s="223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/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/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/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/>
      <c r="AH24" s="143">
        <v>8</v>
      </c>
      <c r="AI24" s="143">
        <v>8</v>
      </c>
      <c r="AJ24" s="143">
        <v>8</v>
      </c>
      <c r="AK24" s="215">
        <f t="shared" ref="AK24" si="25">((SUM(F24:AJ24))/8)-(SUMIF($F$6:$AJ$6,"C.Nhật",F24:AJ24)/8)</f>
        <v>27</v>
      </c>
      <c r="AL24" s="215">
        <f t="shared" ref="AL24" si="26">SUM(F25:AJ25)/8*1.5</f>
        <v>0</v>
      </c>
      <c r="AM24" s="217">
        <f>SUMIF($F$6:$AJ$6,"C.Nhật",$F24:$AJ25)/8*2</f>
        <v>0</v>
      </c>
      <c r="AN24" s="219">
        <f t="shared" ref="AN24" si="27">SUM(AK24:AM25)</f>
        <v>27</v>
      </c>
      <c r="AO24" s="221">
        <v>0</v>
      </c>
      <c r="AP24" s="219"/>
      <c r="AQ24" s="219"/>
      <c r="AR24" s="219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26"/>
      <c r="B25" s="226"/>
      <c r="C25" s="228"/>
      <c r="D25" s="224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16"/>
      <c r="AL25" s="216"/>
      <c r="AM25" s="218"/>
      <c r="AN25" s="220"/>
      <c r="AO25" s="222"/>
      <c r="AP25" s="220"/>
      <c r="AQ25" s="220"/>
      <c r="AR25" s="220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 F14:AJ25">
    <cfRule type="expression" dxfId="52" priority="8" stopIfTrue="1">
      <formula>IF(WEEKDAY(F$5)=1,TRUE,FALSE)</formula>
    </cfRule>
  </conditionalFormatting>
  <conditionalFormatting sqref="F9:AJ12">
    <cfRule type="expression" dxfId="51" priority="7" stopIfTrue="1">
      <formula>IF(WEEKDAY(F$5)=1,TRUE,FALSE)</formula>
    </cfRule>
  </conditionalFormatting>
  <conditionalFormatting sqref="F14:AJ25">
    <cfRule type="expression" dxfId="50" priority="6" stopIfTrue="1">
      <formula>IF(WEEKDAY(F$5)=1,TRUE,FALSE)</formula>
    </cfRule>
  </conditionalFormatting>
  <conditionalFormatting sqref="F14:AJ25">
    <cfRule type="expression" dxfId="49" priority="5" stopIfTrue="1">
      <formula>IF(WEEKDAY(F$5)=1,TRUE,FALSE)</formula>
    </cfRule>
  </conditionalFormatting>
  <conditionalFormatting sqref="F14:AI25">
    <cfRule type="expression" dxfId="48" priority="4" stopIfTrue="1">
      <formula>IF(WEEKDAY(F$5)=1,TRUE,FALSE)</formula>
    </cfRule>
  </conditionalFormatting>
  <conditionalFormatting sqref="F14:AJ25">
    <cfRule type="expression" dxfId="47" priority="3" stopIfTrue="1">
      <formula>IF(WEEKDAY(F$5)=1,TRUE,FALSE)</formula>
    </cfRule>
  </conditionalFormatting>
  <conditionalFormatting sqref="F14:AI25">
    <cfRule type="expression" dxfId="46" priority="2" stopIfTrue="1">
      <formula>IF(WEEKDAY(F$5)=1,TRUE,FALSE)</formula>
    </cfRule>
  </conditionalFormatting>
  <conditionalFormatting sqref="F14:AJ25">
    <cfRule type="expression" dxfId="3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P31" sqref="P31"/>
      <selection pane="topRight" activeCell="P31" sqref="P31"/>
      <selection pane="bottomLeft" activeCell="P31" sqref="P31"/>
      <selection pane="bottomRight" activeCell="P31" sqref="P3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6" t="str">
        <f>"BẢNG THANH TOÁN LƯƠNG THÁNG"&amp;" "&amp;TEXT($E$4,"mm")&amp;" / "&amp;TEXT($E$4,"yyyy")</f>
        <v>BẢNG THANH TOÁN LƯƠNG THÁNG 08 / 2011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51" t="s">
        <v>157</v>
      </c>
      <c r="S1" s="252"/>
      <c r="T1" s="25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8" t="s">
        <v>19</v>
      </c>
      <c r="B5" s="248" t="s">
        <v>20</v>
      </c>
      <c r="C5" s="203" t="s">
        <v>1</v>
      </c>
      <c r="D5" s="203" t="s">
        <v>2</v>
      </c>
      <c r="E5" s="198" t="s">
        <v>56</v>
      </c>
      <c r="F5" s="239" t="s">
        <v>26</v>
      </c>
      <c r="G5" s="240"/>
      <c r="H5" s="240"/>
      <c r="I5" s="240"/>
      <c r="J5" s="240"/>
      <c r="K5" s="241"/>
      <c r="L5" s="238" t="s">
        <v>57</v>
      </c>
      <c r="M5" s="238" t="s">
        <v>5</v>
      </c>
      <c r="N5" s="203" t="s">
        <v>6</v>
      </c>
      <c r="O5" s="203"/>
      <c r="P5" s="203"/>
      <c r="Q5" s="238" t="s">
        <v>7</v>
      </c>
      <c r="R5" s="238" t="s">
        <v>8</v>
      </c>
      <c r="S5" s="238" t="s">
        <v>9</v>
      </c>
      <c r="T5" s="19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9"/>
      <c r="B6" s="249"/>
      <c r="C6" s="203"/>
      <c r="D6" s="203"/>
      <c r="E6" s="198"/>
      <c r="F6" s="239" t="s">
        <v>59</v>
      </c>
      <c r="G6" s="241"/>
      <c r="H6" s="239" t="s">
        <v>165</v>
      </c>
      <c r="I6" s="240"/>
      <c r="J6" s="243" t="s">
        <v>27</v>
      </c>
      <c r="K6" s="238" t="s">
        <v>4</v>
      </c>
      <c r="L6" s="242"/>
      <c r="M6" s="242"/>
      <c r="N6" s="254" t="s">
        <v>12</v>
      </c>
      <c r="O6" s="238" t="s">
        <v>13</v>
      </c>
      <c r="P6" s="238" t="s">
        <v>34</v>
      </c>
      <c r="Q6" s="242"/>
      <c r="R6" s="242"/>
      <c r="S6" s="242"/>
      <c r="T6" s="20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9"/>
      <c r="B7" s="249"/>
      <c r="C7" s="238"/>
      <c r="D7" s="238"/>
      <c r="E7" s="198"/>
      <c r="F7" s="196" t="s">
        <v>40</v>
      </c>
      <c r="G7" s="193" t="s">
        <v>18</v>
      </c>
      <c r="H7" s="196" t="s">
        <v>40</v>
      </c>
      <c r="I7" s="128" t="s">
        <v>18</v>
      </c>
      <c r="J7" s="244"/>
      <c r="K7" s="242"/>
      <c r="L7" s="250"/>
      <c r="M7" s="250"/>
      <c r="N7" s="255"/>
      <c r="O7" s="242"/>
      <c r="P7" s="242"/>
      <c r="Q7" s="242"/>
      <c r="R7" s="242"/>
      <c r="S7" s="242"/>
      <c r="T7" s="20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161</v>
      </c>
      <c r="B9" s="188" t="s">
        <v>162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168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-8'!$B$8:$AS$25,36,0)</f>
        <v>27</v>
      </c>
      <c r="G10" s="145">
        <f t="shared" ref="G10:G11" si="3">ROUND(E10/$U$2*F10,0)</f>
        <v>4336000</v>
      </c>
      <c r="H10" s="92">
        <f>(VLOOKUP(B10,'CC -8'!$B$8:$AS$25,37,0)+VLOOKUP(B10,'CC -8'!$B$8:$AS$25,38,0))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4336000</v>
      </c>
      <c r="L10" s="90">
        <f t="shared" ref="L10:L11" si="6">+F10*15000</f>
        <v>405000</v>
      </c>
      <c r="M10" s="40">
        <f t="shared" ref="M10:M11" si="7">K10+L10</f>
        <v>4741000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4741000</v>
      </c>
      <c r="R10" s="39">
        <f>VLOOKUP(B10,DS,23,0)</f>
        <v>0</v>
      </c>
      <c r="S10" s="45">
        <f t="shared" ref="S10:S11" si="9">Q10-R10</f>
        <v>4741000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169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-8'!$B$8:$AS$25,36,0)</f>
        <v>27</v>
      </c>
      <c r="G11" s="145">
        <f t="shared" si="3"/>
        <v>4056000</v>
      </c>
      <c r="H11" s="92">
        <f>(VLOOKUP(B11,'CC -8'!$B$8:$AS$25,37,0)+VLOOKUP(B11,'CC -8'!$B$8:$AS$25,38,0))</f>
        <v>0</v>
      </c>
      <c r="I11" s="145">
        <f t="shared" si="4"/>
        <v>0</v>
      </c>
      <c r="J11" s="93">
        <f t="shared" si="5"/>
        <v>27</v>
      </c>
      <c r="K11" s="39">
        <f t="shared" si="5"/>
        <v>4056000</v>
      </c>
      <c r="L11" s="90">
        <f t="shared" si="6"/>
        <v>405000</v>
      </c>
      <c r="M11" s="40">
        <f t="shared" si="7"/>
        <v>4461000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4461000</v>
      </c>
      <c r="R11" s="39">
        <f>VLOOKUP(B11,DS,23,0)</f>
        <v>0</v>
      </c>
      <c r="S11" s="45">
        <f t="shared" si="9"/>
        <v>4461000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163</v>
      </c>
      <c r="B12" s="188" t="s">
        <v>164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170</v>
      </c>
      <c r="C13" s="89" t="str">
        <f t="shared" ref="C13:C18" si="10">VLOOKUP(B13,DS,2,0)</f>
        <v xml:space="preserve"> Lâm Thị Mộng Kiều </v>
      </c>
      <c r="D13" s="116" t="str">
        <f t="shared" ref="D13:D18" si="11">VLOOKUP(B13,DS,3,0)</f>
        <v>Công nhân</v>
      </c>
      <c r="E13" s="90">
        <f t="shared" ref="E13:E18" si="12">VLOOKUP(B13,DS,4,0)</f>
        <v>3549000</v>
      </c>
      <c r="F13" s="92">
        <f>VLOOKUP(B13,'CC -8'!$B$8:$AS$25,36,0)</f>
        <v>27</v>
      </c>
      <c r="G13" s="145">
        <f t="shared" ref="G13:G18" si="13">ROUND(E13/$U$2*F13,0)</f>
        <v>3549000</v>
      </c>
      <c r="H13" s="92">
        <f>(VLOOKUP(B13,'CC -8'!$B$8:$AS$25,37,0)+VLOOKUP(B13,'CC -8'!$B$8:$AS$25,38,0))</f>
        <v>0</v>
      </c>
      <c r="I13" s="145">
        <f t="shared" ref="I13:I18" si="14">ROUND(E13/$U$2*H13,0)</f>
        <v>0</v>
      </c>
      <c r="J13" s="146">
        <f t="shared" ref="J13:K18" si="15">F13+H13</f>
        <v>27</v>
      </c>
      <c r="K13" s="39">
        <f t="shared" si="15"/>
        <v>3549000</v>
      </c>
      <c r="L13" s="90">
        <f t="shared" ref="L13:L18" si="16">+F13*15000</f>
        <v>405000</v>
      </c>
      <c r="M13" s="40">
        <f t="shared" ref="M13:M18" si="17">K13+L13</f>
        <v>3954000</v>
      </c>
      <c r="N13" s="40">
        <f>IF(VLOOKUP(B13,DS,9,0)="x",'L - 8'!E13*$N$4,0)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3954000</v>
      </c>
      <c r="R13" s="39">
        <f t="shared" ref="R13:R18" si="20">VLOOKUP(B13,DS,23,0)</f>
        <v>0</v>
      </c>
      <c r="S13" s="45">
        <f>Q13-R13</f>
        <v>3954000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171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-8'!$B$8:$AS$25,36,0)</f>
        <v>27</v>
      </c>
      <c r="G14" s="145">
        <f t="shared" si="13"/>
        <v>3317000</v>
      </c>
      <c r="H14" s="92">
        <f>(VLOOKUP(B14,'CC -8'!$B$8:$AS$25,37,0)+VLOOKUP(B14,'CC -8'!$B$8:$AS$25,38,0))</f>
        <v>0</v>
      </c>
      <c r="I14" s="145">
        <f t="shared" si="14"/>
        <v>0</v>
      </c>
      <c r="J14" s="146">
        <f t="shared" si="15"/>
        <v>27</v>
      </c>
      <c r="K14" s="39">
        <f t="shared" si="15"/>
        <v>3317000</v>
      </c>
      <c r="L14" s="90">
        <f t="shared" si="16"/>
        <v>405000</v>
      </c>
      <c r="M14" s="40">
        <f t="shared" si="17"/>
        <v>3722000</v>
      </c>
      <c r="N14" s="40">
        <f>IF(VLOOKUP(B14,DS,9,0)="x",'L - 8'!E14*$N$4,0)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3722000</v>
      </c>
      <c r="R14" s="39">
        <f t="shared" si="20"/>
        <v>0</v>
      </c>
      <c r="S14" s="45">
        <f t="shared" ref="S14:S18" si="22">Q14-R14</f>
        <v>3722000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172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-8'!$B$8:$AS$25,36,0)</f>
        <v>27</v>
      </c>
      <c r="G15" s="145">
        <f t="shared" si="13"/>
        <v>3317000</v>
      </c>
      <c r="H15" s="92">
        <f>(VLOOKUP(B15,'CC -8'!$B$8:$AS$25,37,0)+VLOOKUP(B15,'CC -8'!$B$8:$AS$25,38,0))</f>
        <v>0</v>
      </c>
      <c r="I15" s="145">
        <f t="shared" si="14"/>
        <v>0</v>
      </c>
      <c r="J15" s="146">
        <f t="shared" si="15"/>
        <v>27</v>
      </c>
      <c r="K15" s="39">
        <f t="shared" si="15"/>
        <v>3317000</v>
      </c>
      <c r="L15" s="90">
        <f t="shared" si="16"/>
        <v>405000</v>
      </c>
      <c r="M15" s="40">
        <f t="shared" si="17"/>
        <v>3722000</v>
      </c>
      <c r="N15" s="40">
        <f>IF(VLOOKUP(B15,DS,9,0)="x",'L - 8'!E15*$N$4,0)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3722000</v>
      </c>
      <c r="R15" s="39">
        <f t="shared" si="20"/>
        <v>0</v>
      </c>
      <c r="S15" s="45">
        <f t="shared" si="22"/>
        <v>3722000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173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-8'!$B$8:$AS$25,36,0)</f>
        <v>27</v>
      </c>
      <c r="G16" s="145">
        <f t="shared" si="13"/>
        <v>3317000</v>
      </c>
      <c r="H16" s="92">
        <f>(VLOOKUP(B16,'CC -8'!$B$8:$AS$25,37,0)+VLOOKUP(B16,'CC -8'!$B$8:$AS$25,38,0))</f>
        <v>0</v>
      </c>
      <c r="I16" s="145">
        <f t="shared" si="14"/>
        <v>0</v>
      </c>
      <c r="J16" s="146">
        <f t="shared" si="15"/>
        <v>27</v>
      </c>
      <c r="K16" s="39">
        <f t="shared" si="15"/>
        <v>3317000</v>
      </c>
      <c r="L16" s="90">
        <f t="shared" si="16"/>
        <v>405000</v>
      </c>
      <c r="M16" s="40">
        <f t="shared" si="17"/>
        <v>3722000</v>
      </c>
      <c r="N16" s="40">
        <f>IF(VLOOKUP(B16,DS,9,0)="x",'L - 8'!E16*$N$4,0)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3722000</v>
      </c>
      <c r="R16" s="39">
        <f t="shared" si="20"/>
        <v>0</v>
      </c>
      <c r="S16" s="45">
        <f t="shared" si="22"/>
        <v>3722000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174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-8'!$B$8:$AS$25,36,0)</f>
        <v>27</v>
      </c>
      <c r="G17" s="145">
        <f t="shared" si="13"/>
        <v>3317000</v>
      </c>
      <c r="H17" s="92">
        <f>(VLOOKUP(B17,'CC -8'!$B$8:$AS$25,37,0)+VLOOKUP(B17,'CC -8'!$B$8:$AS$25,38,0))</f>
        <v>0</v>
      </c>
      <c r="I17" s="145">
        <f t="shared" si="14"/>
        <v>0</v>
      </c>
      <c r="J17" s="146">
        <f t="shared" si="15"/>
        <v>27</v>
      </c>
      <c r="K17" s="39">
        <f t="shared" si="15"/>
        <v>3317000</v>
      </c>
      <c r="L17" s="90">
        <f t="shared" si="16"/>
        <v>405000</v>
      </c>
      <c r="M17" s="40">
        <f t="shared" si="17"/>
        <v>3722000</v>
      </c>
      <c r="N17" s="40">
        <f>IF(VLOOKUP(B17,DS,9,0)="x",'L - 8'!E17*$N$4,0)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3722000</v>
      </c>
      <c r="R17" s="39">
        <f t="shared" si="20"/>
        <v>0</v>
      </c>
      <c r="S17" s="45">
        <f t="shared" si="22"/>
        <v>3722000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175</v>
      </c>
      <c r="C18" s="89" t="str">
        <f t="shared" si="10"/>
        <v>Huỳnh Thị Bé Thi</v>
      </c>
      <c r="D18" s="116" t="str">
        <f t="shared" si="11"/>
        <v>Công nhân</v>
      </c>
      <c r="E18" s="90">
        <f t="shared" si="12"/>
        <v>3317000</v>
      </c>
      <c r="F18" s="92">
        <f>VLOOKUP(B18,'CC -8'!$B$8:$AS$25,36,0)</f>
        <v>27</v>
      </c>
      <c r="G18" s="145">
        <f t="shared" si="13"/>
        <v>3317000</v>
      </c>
      <c r="H18" s="92">
        <f>(VLOOKUP(B18,'CC -8'!$B$8:$AS$25,37,0)+VLOOKUP(B18,'CC -8'!$B$8:$AS$25,38,0))</f>
        <v>0</v>
      </c>
      <c r="I18" s="145">
        <f t="shared" si="14"/>
        <v>0</v>
      </c>
      <c r="J18" s="146">
        <f t="shared" si="15"/>
        <v>27</v>
      </c>
      <c r="K18" s="39">
        <f t="shared" si="15"/>
        <v>3317000</v>
      </c>
      <c r="L18" s="90">
        <f t="shared" si="16"/>
        <v>405000</v>
      </c>
      <c r="M18" s="40">
        <f t="shared" si="17"/>
        <v>3722000</v>
      </c>
      <c r="N18" s="40">
        <f>IF(VLOOKUP(B18,DS,9,0)="x",'L - 8'!E18*$N$4,0)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3722000</v>
      </c>
      <c r="R18" s="39">
        <f t="shared" si="20"/>
        <v>0</v>
      </c>
      <c r="S18" s="45">
        <f t="shared" si="22"/>
        <v>3722000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5" t="s">
        <v>25</v>
      </c>
      <c r="B20" s="245"/>
      <c r="C20" s="245"/>
      <c r="D20" s="245"/>
      <c r="E20" s="140">
        <f>SUM(E10:E19)</f>
        <v>28526000</v>
      </c>
      <c r="F20" s="140"/>
      <c r="G20" s="140">
        <f>SUM(G10:G19)</f>
        <v>28526000</v>
      </c>
      <c r="H20" s="140"/>
      <c r="I20" s="140">
        <f>SUM(I10:I19)</f>
        <v>0</v>
      </c>
      <c r="J20" s="26"/>
      <c r="K20" s="26">
        <f t="shared" ref="K20:S20" si="23">SUM(K10:K19)</f>
        <v>28526000</v>
      </c>
      <c r="L20" s="26">
        <f t="shared" si="23"/>
        <v>3240000</v>
      </c>
      <c r="M20" s="26">
        <f t="shared" si="23"/>
        <v>31766000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31766000</v>
      </c>
      <c r="R20" s="26">
        <f t="shared" si="23"/>
        <v>0</v>
      </c>
      <c r="S20" s="26">
        <f t="shared" si="23"/>
        <v>31766000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O6:O7"/>
    <mergeCell ref="P6:P7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3" activePane="bottomRight" state="frozen"/>
      <selection activeCell="E5" sqref="E5:E7"/>
      <selection pane="topRight" activeCell="E5" sqref="E5:E7"/>
      <selection pane="bottomLeft" activeCell="E5" sqref="E5:E7"/>
      <selection pane="bottomRight" activeCell="F19" sqref="F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10" t="s">
        <v>158</v>
      </c>
      <c r="AN1" s="211"/>
      <c r="AO1" s="211"/>
      <c r="AP1" s="211"/>
      <c r="AQ1" s="211"/>
      <c r="AR1" s="211"/>
      <c r="AS1" s="21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29" t="s">
        <v>28</v>
      </c>
      <c r="B5" s="229" t="s">
        <v>3</v>
      </c>
      <c r="C5" s="229" t="s">
        <v>1</v>
      </c>
      <c r="D5" s="231" t="s">
        <v>29</v>
      </c>
      <c r="E5" s="229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/>
      <c r="AK5" s="234" t="s">
        <v>15</v>
      </c>
      <c r="AL5" s="235"/>
      <c r="AM5" s="236"/>
      <c r="AN5" s="232" t="s">
        <v>45</v>
      </c>
      <c r="AO5" s="232" t="s">
        <v>41</v>
      </c>
      <c r="AP5" s="232" t="s">
        <v>42</v>
      </c>
      <c r="AQ5" s="232" t="s">
        <v>43</v>
      </c>
      <c r="AR5" s="232" t="s">
        <v>44</v>
      </c>
      <c r="AS5" s="231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0"/>
      <c r="B6" s="230"/>
      <c r="C6" s="230"/>
      <c r="D6" s="230"/>
      <c r="E6" s="230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/>
      <c r="AK6" s="176" t="s">
        <v>16</v>
      </c>
      <c r="AL6" s="176" t="s">
        <v>31</v>
      </c>
      <c r="AM6" s="177" t="s">
        <v>17</v>
      </c>
      <c r="AN6" s="233"/>
      <c r="AO6" s="233"/>
      <c r="AP6" s="233"/>
      <c r="AQ6" s="233"/>
      <c r="AR6" s="233"/>
      <c r="AS6" s="230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/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161</v>
      </c>
      <c r="B8" s="182" t="s">
        <v>162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25">
        <v>1</v>
      </c>
      <c r="B9" s="225" t="s">
        <v>168</v>
      </c>
      <c r="C9" s="227" t="str">
        <f>VLOOKUP(B9,DS,2,0)</f>
        <v>Mai Út Hiền</v>
      </c>
      <c r="D9" s="223" t="str">
        <f>VLOOKUP(B9,DS,3,0)</f>
        <v>Cơ Điện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15">
        <f>((SUM(F9:AJ9))/8)-(SUMIF($F$6:$AJ$6,"C.Nhật",F9:AJ9)/8)</f>
        <v>26</v>
      </c>
      <c r="AL9" s="215">
        <f>SUM(F10:AJ10)/8*1.5</f>
        <v>0</v>
      </c>
      <c r="AM9" s="217">
        <f>SUMIF($F$6:$AJ$6,"C.Nhật",$F9:$AJ10)/8*2</f>
        <v>0</v>
      </c>
      <c r="AN9" s="219">
        <f>SUM(AK9:AM10)</f>
        <v>26</v>
      </c>
      <c r="AO9" s="221">
        <v>0</v>
      </c>
      <c r="AP9" s="219"/>
      <c r="AQ9" s="219"/>
      <c r="AR9" s="219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26"/>
      <c r="B10" s="226"/>
      <c r="C10" s="228"/>
      <c r="D10" s="224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6"/>
      <c r="AL10" s="216"/>
      <c r="AM10" s="218"/>
      <c r="AN10" s="220"/>
      <c r="AO10" s="222"/>
      <c r="AP10" s="220"/>
      <c r="AQ10" s="220"/>
      <c r="AR10" s="220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25">
        <f>A9+1</f>
        <v>2</v>
      </c>
      <c r="B11" s="225" t="s">
        <v>169</v>
      </c>
      <c r="C11" s="227" t="str">
        <f>VLOOKUP(B11,DS,2,0)</f>
        <v>Nguyễn Thị Xuân Thảo</v>
      </c>
      <c r="D11" s="223" t="str">
        <f>VLOOKUP(B11,DS,3,0)</f>
        <v>KCS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15">
        <f t="shared" ref="AK11" si="2">((SUM(F11:AJ11))/8)-(SUMIF($F$6:$AJ$6,"C.Nhật",F11:AJ11)/8)</f>
        <v>26</v>
      </c>
      <c r="AL11" s="215">
        <f t="shared" ref="AL11" si="3">SUM(F12:AJ12)/8*1.5</f>
        <v>0</v>
      </c>
      <c r="AM11" s="217">
        <f t="shared" ref="AM11" si="4">SUMIF($F$6:$AJ$6,"C.Nhật",$F11:$AJ12)/8*2</f>
        <v>0</v>
      </c>
      <c r="AN11" s="219">
        <f t="shared" ref="AN11" si="5">SUM(AK11:AM12)</f>
        <v>26</v>
      </c>
      <c r="AO11" s="221">
        <v>0</v>
      </c>
      <c r="AP11" s="219"/>
      <c r="AQ11" s="219"/>
      <c r="AR11" s="219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26"/>
      <c r="B12" s="226"/>
      <c r="C12" s="228"/>
      <c r="D12" s="224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6"/>
      <c r="AL12" s="216"/>
      <c r="AM12" s="218"/>
      <c r="AN12" s="220"/>
      <c r="AO12" s="222"/>
      <c r="AP12" s="220"/>
      <c r="AQ12" s="220"/>
      <c r="AR12" s="220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163</v>
      </c>
      <c r="B13" s="182" t="s">
        <v>167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25">
        <v>1</v>
      </c>
      <c r="B14" s="225" t="s">
        <v>170</v>
      </c>
      <c r="C14" s="227" t="str">
        <f>VLOOKUP(B14,DS,2,0)</f>
        <v xml:space="preserve"> Lâm Thị Mộng Kiều </v>
      </c>
      <c r="D14" s="223" t="str">
        <f>VLOOKUP(B14,DS,3,0)</f>
        <v>Công nhân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15">
        <f t="shared" ref="AK14" si="6">((SUM(F14:AJ14))/8)-(SUMIF($F$6:$AJ$6,"C.Nhật",F14:AJ14)/8)</f>
        <v>26</v>
      </c>
      <c r="AL14" s="215">
        <f t="shared" ref="AL14" si="7">SUM(F15:AJ15)/8*1.5</f>
        <v>0</v>
      </c>
      <c r="AM14" s="217">
        <f>SUMIF($F$6:$AJ$6,"C.Nhật",$F14:$AJ15)/8*2</f>
        <v>0</v>
      </c>
      <c r="AN14" s="219">
        <f>SUM(AK14:AM15)</f>
        <v>26</v>
      </c>
      <c r="AO14" s="221">
        <v>0</v>
      </c>
      <c r="AP14" s="219"/>
      <c r="AQ14" s="219"/>
      <c r="AR14" s="219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26"/>
      <c r="B15" s="226"/>
      <c r="C15" s="228"/>
      <c r="D15" s="224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16"/>
      <c r="AL15" s="216"/>
      <c r="AM15" s="218"/>
      <c r="AN15" s="220"/>
      <c r="AO15" s="222"/>
      <c r="AP15" s="220"/>
      <c r="AQ15" s="220"/>
      <c r="AR15" s="220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25">
        <f>A14+1</f>
        <v>2</v>
      </c>
      <c r="B16" s="225" t="s">
        <v>171</v>
      </c>
      <c r="C16" s="227" t="str">
        <f>VLOOKUP(B16,DS,2,0)</f>
        <v>Huỳnh Thị Hường</v>
      </c>
      <c r="D16" s="223" t="str">
        <f>VLOOKUP(B16,DS,3,0)</f>
        <v>Công nhân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15">
        <f t="shared" ref="AK16" si="8">((SUM(F16:AJ16))/8)-(SUMIF($F$6:$AJ$6,"C.Nhật",F16:AJ16)/8)</f>
        <v>26</v>
      </c>
      <c r="AL16" s="215">
        <f t="shared" ref="AL16" si="9">SUM(F17:AJ17)/8*1.5</f>
        <v>0</v>
      </c>
      <c r="AM16" s="217">
        <f>SUMIF($F$6:$AJ$6,"C.Nhật",$F16:$AJ17)/8*2</f>
        <v>0</v>
      </c>
      <c r="AN16" s="219">
        <f t="shared" ref="AN16" si="10">SUM(AK16:AM17)</f>
        <v>26</v>
      </c>
      <c r="AO16" s="221">
        <v>0</v>
      </c>
      <c r="AP16" s="219"/>
      <c r="AQ16" s="219"/>
      <c r="AR16" s="219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26"/>
      <c r="B17" s="226"/>
      <c r="C17" s="228"/>
      <c r="D17" s="224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6"/>
      <c r="AL17" s="216"/>
      <c r="AM17" s="218"/>
      <c r="AN17" s="220"/>
      <c r="AO17" s="222"/>
      <c r="AP17" s="220"/>
      <c r="AQ17" s="220"/>
      <c r="AR17" s="220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25">
        <f t="shared" ref="A18" si="11">A16+1</f>
        <v>3</v>
      </c>
      <c r="B18" s="225" t="s">
        <v>172</v>
      </c>
      <c r="C18" s="227" t="str">
        <f>VLOOKUP(B18,DS,2,0)</f>
        <v>Nguyễn Thị Rong</v>
      </c>
      <c r="D18" s="223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15">
        <f t="shared" ref="AK18" si="12">((SUM(F18:AJ18))/8)-(SUMIF($F$6:$AJ$6,"C.Nhật",F18:AJ18)/8)</f>
        <v>26</v>
      </c>
      <c r="AL18" s="215">
        <f t="shared" ref="AL18" si="13">SUM(F19:AJ19)/8*1.5</f>
        <v>0</v>
      </c>
      <c r="AM18" s="217">
        <f>SUMIF($F$6:$AJ$6,"C.Nhật",$F18:$AJ19)/8*2</f>
        <v>0</v>
      </c>
      <c r="AN18" s="219">
        <f t="shared" ref="AN18" si="14">SUM(AK18:AM19)</f>
        <v>26</v>
      </c>
      <c r="AO18" s="221">
        <v>0</v>
      </c>
      <c r="AP18" s="219"/>
      <c r="AQ18" s="219"/>
      <c r="AR18" s="219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26"/>
      <c r="B19" s="226"/>
      <c r="C19" s="228"/>
      <c r="D19" s="224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6"/>
      <c r="AL19" s="216"/>
      <c r="AM19" s="218"/>
      <c r="AN19" s="220"/>
      <c r="AO19" s="222"/>
      <c r="AP19" s="220"/>
      <c r="AQ19" s="220"/>
      <c r="AR19" s="220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25">
        <f t="shared" ref="A20" si="15">A18+1</f>
        <v>4</v>
      </c>
      <c r="B20" s="225" t="s">
        <v>173</v>
      </c>
      <c r="C20" s="227" t="str">
        <f>VLOOKUP(B20,DS,2,0)</f>
        <v>Sơn Thị Nil</v>
      </c>
      <c r="D20" s="223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15">
        <f t="shared" ref="AK20" si="16">((SUM(F20:AJ20))/8)-(SUMIF($F$6:$AJ$6,"C.Nhật",F20:AJ20)/8)</f>
        <v>26</v>
      </c>
      <c r="AL20" s="215">
        <f t="shared" ref="AL20" si="17">SUM(F21:AJ21)/8*1.5</f>
        <v>0</v>
      </c>
      <c r="AM20" s="217">
        <f>SUMIF($F$6:$AJ$6,"C.Nhật",$F20:$AJ21)/8*2</f>
        <v>0</v>
      </c>
      <c r="AN20" s="219">
        <f t="shared" ref="AN20" si="18">SUM(AK20:AM21)</f>
        <v>26</v>
      </c>
      <c r="AO20" s="221">
        <v>0</v>
      </c>
      <c r="AP20" s="219"/>
      <c r="AQ20" s="219"/>
      <c r="AR20" s="219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26"/>
      <c r="B21" s="226"/>
      <c r="C21" s="228"/>
      <c r="D21" s="224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6"/>
      <c r="AL21" s="216"/>
      <c r="AM21" s="218"/>
      <c r="AN21" s="220"/>
      <c r="AO21" s="222"/>
      <c r="AP21" s="220"/>
      <c r="AQ21" s="220"/>
      <c r="AR21" s="220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25">
        <f t="shared" ref="A22" si="19">A20+1</f>
        <v>5</v>
      </c>
      <c r="B22" s="225" t="s">
        <v>174</v>
      </c>
      <c r="C22" s="227" t="str">
        <f>VLOOKUP(B22,DS,2,0)</f>
        <v>Huỳnh Thị Bé Tha</v>
      </c>
      <c r="D22" s="223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15">
        <f t="shared" ref="AK22" si="20">((SUM(F22:AJ22))/8)-(SUMIF($F$6:$AJ$6,"C.Nhật",F22:AJ22)/8)</f>
        <v>26</v>
      </c>
      <c r="AL22" s="215">
        <f t="shared" ref="AL22" si="21">SUM(F23:AJ23)/8*1.5</f>
        <v>0</v>
      </c>
      <c r="AM22" s="217">
        <f>SUMIF($F$6:$AJ$6,"C.Nhật",$F22:$AJ23)/8*2</f>
        <v>0</v>
      </c>
      <c r="AN22" s="219">
        <f t="shared" ref="AN22" si="22">SUM(AK22:AM23)</f>
        <v>26</v>
      </c>
      <c r="AO22" s="221">
        <v>0</v>
      </c>
      <c r="AP22" s="219"/>
      <c r="AQ22" s="219"/>
      <c r="AR22" s="219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26"/>
      <c r="B23" s="226"/>
      <c r="C23" s="228"/>
      <c r="D23" s="224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16"/>
      <c r="AL23" s="216"/>
      <c r="AM23" s="218"/>
      <c r="AN23" s="220"/>
      <c r="AO23" s="222"/>
      <c r="AP23" s="220"/>
      <c r="AQ23" s="220"/>
      <c r="AR23" s="220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25">
        <f t="shared" ref="A24" si="23">A22+1</f>
        <v>6</v>
      </c>
      <c r="B24" s="225" t="s">
        <v>175</v>
      </c>
      <c r="C24" s="227" t="str">
        <f>VLOOKUP(B24,DS,2,0)</f>
        <v>Huỳnh Thị Bé Thi</v>
      </c>
      <c r="D24" s="223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15">
        <f t="shared" ref="AK24" si="24">((SUM(F24:AJ24))/8)-(SUMIF($F$6:$AJ$6,"C.Nhật",F24:AJ24)/8)</f>
        <v>26</v>
      </c>
      <c r="AL24" s="215">
        <f t="shared" ref="AL24" si="25">SUM(F25:AJ25)/8*1.5</f>
        <v>0</v>
      </c>
      <c r="AM24" s="217">
        <f>SUMIF($F$6:$AJ$6,"C.Nhật",$F24:$AJ25)/8*2</f>
        <v>0</v>
      </c>
      <c r="AN24" s="219">
        <f t="shared" ref="AN24" si="26">SUM(AK24:AM25)</f>
        <v>26</v>
      </c>
      <c r="AO24" s="221">
        <v>0</v>
      </c>
      <c r="AP24" s="219"/>
      <c r="AQ24" s="219"/>
      <c r="AR24" s="219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26"/>
      <c r="B25" s="226"/>
      <c r="C25" s="228"/>
      <c r="D25" s="224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16"/>
      <c r="AL25" s="216"/>
      <c r="AM25" s="218"/>
      <c r="AN25" s="220"/>
      <c r="AO25" s="222"/>
      <c r="AP25" s="220"/>
      <c r="AQ25" s="220"/>
      <c r="AR25" s="220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 F14:AJ25">
    <cfRule type="expression" dxfId="68" priority="7" stopIfTrue="1">
      <formula>IF(WEEKDAY(F$5)=1,TRUE,FALSE)</formula>
    </cfRule>
  </conditionalFormatting>
  <conditionalFormatting sqref="F9:AJ12">
    <cfRule type="expression" dxfId="67" priority="6" stopIfTrue="1">
      <formula>IF(WEEKDAY(F$5)=1,TRUE,FALSE)</formula>
    </cfRule>
  </conditionalFormatting>
  <conditionalFormatting sqref="F14:AJ25">
    <cfRule type="expression" dxfId="66" priority="5" stopIfTrue="1">
      <formula>IF(WEEKDAY(F$5)=1,TRUE,FALSE)</formula>
    </cfRule>
  </conditionalFormatting>
  <conditionalFormatting sqref="F14:AJ25">
    <cfRule type="expression" dxfId="65" priority="4" stopIfTrue="1">
      <formula>IF(WEEKDAY(F$5)=1,TRUE,FALSE)</formula>
    </cfRule>
  </conditionalFormatting>
  <conditionalFormatting sqref="F14:AI25">
    <cfRule type="expression" dxfId="64" priority="3" stopIfTrue="1">
      <formula>IF(WEEKDAY(F$5)=1,TRUE,FALSE)</formula>
    </cfRule>
  </conditionalFormatting>
  <conditionalFormatting sqref="F14:AJ25">
    <cfRule type="expression" dxfId="63" priority="2" stopIfTrue="1">
      <formula>IF(WEEKDAY(F$5)=1,TRUE,FALSE)</formula>
    </cfRule>
  </conditionalFormatting>
  <conditionalFormatting sqref="F14:AI25">
    <cfRule type="expression" dxfId="5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9" sqref="F19"/>
      <selection pane="topRight" activeCell="F19" sqref="F19"/>
      <selection pane="bottomLeft" activeCell="F19" sqref="F19"/>
      <selection pane="bottomRight" activeCell="F19" sqref="F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6" t="str">
        <f>"BẢNG THANH TOÁN LƯƠNG THÁNG"&amp;" "&amp;TEXT($E$4,"mm")&amp;" / "&amp;TEXT($E$4,"yyyy")</f>
        <v>BẢNG THANH TOÁN LƯƠNG THÁNG 09 / 2011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51" t="s">
        <v>157</v>
      </c>
      <c r="S1" s="252"/>
      <c r="T1" s="25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8" t="s">
        <v>19</v>
      </c>
      <c r="B5" s="248" t="s">
        <v>20</v>
      </c>
      <c r="C5" s="203" t="s">
        <v>1</v>
      </c>
      <c r="D5" s="203" t="s">
        <v>2</v>
      </c>
      <c r="E5" s="198" t="s">
        <v>56</v>
      </c>
      <c r="F5" s="239" t="s">
        <v>26</v>
      </c>
      <c r="G5" s="240"/>
      <c r="H5" s="240"/>
      <c r="I5" s="240"/>
      <c r="J5" s="240"/>
      <c r="K5" s="241"/>
      <c r="L5" s="238" t="s">
        <v>57</v>
      </c>
      <c r="M5" s="238" t="s">
        <v>5</v>
      </c>
      <c r="N5" s="203" t="s">
        <v>6</v>
      </c>
      <c r="O5" s="203"/>
      <c r="P5" s="203"/>
      <c r="Q5" s="238" t="s">
        <v>7</v>
      </c>
      <c r="R5" s="238" t="s">
        <v>8</v>
      </c>
      <c r="S5" s="238" t="s">
        <v>9</v>
      </c>
      <c r="T5" s="19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9"/>
      <c r="B6" s="249"/>
      <c r="C6" s="203"/>
      <c r="D6" s="203"/>
      <c r="E6" s="198"/>
      <c r="F6" s="239" t="s">
        <v>59</v>
      </c>
      <c r="G6" s="241"/>
      <c r="H6" s="239" t="s">
        <v>165</v>
      </c>
      <c r="I6" s="240"/>
      <c r="J6" s="243" t="s">
        <v>27</v>
      </c>
      <c r="K6" s="238" t="s">
        <v>4</v>
      </c>
      <c r="L6" s="242"/>
      <c r="M6" s="242"/>
      <c r="N6" s="254" t="s">
        <v>12</v>
      </c>
      <c r="O6" s="238" t="s">
        <v>13</v>
      </c>
      <c r="P6" s="238" t="s">
        <v>34</v>
      </c>
      <c r="Q6" s="242"/>
      <c r="R6" s="242"/>
      <c r="S6" s="242"/>
      <c r="T6" s="20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9"/>
      <c r="B7" s="249"/>
      <c r="C7" s="238"/>
      <c r="D7" s="238"/>
      <c r="E7" s="198"/>
      <c r="F7" s="196" t="s">
        <v>40</v>
      </c>
      <c r="G7" s="193" t="s">
        <v>18</v>
      </c>
      <c r="H7" s="196" t="s">
        <v>40</v>
      </c>
      <c r="I7" s="128" t="s">
        <v>18</v>
      </c>
      <c r="J7" s="244"/>
      <c r="K7" s="242"/>
      <c r="L7" s="250"/>
      <c r="M7" s="250"/>
      <c r="N7" s="255"/>
      <c r="O7" s="242"/>
      <c r="P7" s="242"/>
      <c r="Q7" s="242"/>
      <c r="R7" s="242"/>
      <c r="S7" s="242"/>
      <c r="T7" s="20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161</v>
      </c>
      <c r="B9" s="188" t="s">
        <v>162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168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-9'!$B$8:$AS$25,36,0)</f>
        <v>26</v>
      </c>
      <c r="G10" s="145">
        <f t="shared" ref="G10:G11" si="3">ROUND(E10/$U$2*F10,0)</f>
        <v>4336000</v>
      </c>
      <c r="H10" s="92">
        <f>(VLOOKUP(B10,'CC -9'!$B$8:$AS$25,37,0)+VLOOKUP(B10,'CC -9'!$B$8:$AS$25,38,0))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4336000</v>
      </c>
      <c r="L10" s="90">
        <f t="shared" ref="L10:L11" si="6">+F10*15000</f>
        <v>390000</v>
      </c>
      <c r="M10" s="40">
        <f t="shared" ref="M10:M11" si="7">K10+L10</f>
        <v>4726000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4726000</v>
      </c>
      <c r="R10" s="39">
        <f>VLOOKUP(B10,DS,23,0)</f>
        <v>0</v>
      </c>
      <c r="S10" s="45">
        <f t="shared" ref="S10:S11" si="9">Q10-R10</f>
        <v>4726000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169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-9'!$B$8:$AS$25,36,0)</f>
        <v>26</v>
      </c>
      <c r="G11" s="145">
        <f t="shared" si="3"/>
        <v>4056000</v>
      </c>
      <c r="H11" s="92">
        <f>(VLOOKUP(B11,'CC -9'!$B$8:$AS$25,37,0)+VLOOKUP(B11,'CC -9'!$B$8:$AS$25,38,0))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4056000</v>
      </c>
      <c r="L11" s="90">
        <f t="shared" si="6"/>
        <v>390000</v>
      </c>
      <c r="M11" s="40">
        <f t="shared" si="7"/>
        <v>4446000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4446000</v>
      </c>
      <c r="R11" s="39">
        <f>VLOOKUP(B11,DS,23,0)</f>
        <v>0</v>
      </c>
      <c r="S11" s="45">
        <f t="shared" si="9"/>
        <v>4446000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163</v>
      </c>
      <c r="B12" s="188" t="s">
        <v>164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170</v>
      </c>
      <c r="C13" s="89" t="str">
        <f t="shared" ref="C13:C18" si="10">VLOOKUP(B13,DS,2,0)</f>
        <v xml:space="preserve"> Lâm Thị Mộng Kiều </v>
      </c>
      <c r="D13" s="116" t="str">
        <f t="shared" ref="D13:D18" si="11">VLOOKUP(B13,DS,3,0)</f>
        <v>Công nhân</v>
      </c>
      <c r="E13" s="90">
        <f t="shared" ref="E13:E18" si="12">VLOOKUP(B13,DS,4,0)</f>
        <v>3549000</v>
      </c>
      <c r="F13" s="92">
        <f>VLOOKUP(B13,'CC -9'!$B$8:$AS$25,36,0)</f>
        <v>26</v>
      </c>
      <c r="G13" s="145">
        <f t="shared" ref="G13:G18" si="13">ROUND(E13/$U$2*F13,0)</f>
        <v>3549000</v>
      </c>
      <c r="H13" s="92">
        <f>(VLOOKUP(B13,'CC -9'!$B$8:$AS$25,37,0)+VLOOKUP(B13,'CC -9'!$B$8:$AS$25,38,0))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3549000</v>
      </c>
      <c r="L13" s="90">
        <f t="shared" ref="L13:L18" si="16">+F13*15000</f>
        <v>390000</v>
      </c>
      <c r="M13" s="40">
        <f t="shared" ref="M13:M18" si="17">K13+L13</f>
        <v>3939000</v>
      </c>
      <c r="N13" s="40">
        <f>IF(VLOOKUP(B13,DS,9,0)="x",'L - 9'!E13*$N$4,0)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3939000</v>
      </c>
      <c r="R13" s="39">
        <f t="shared" ref="R13:R18" si="20">VLOOKUP(B13,DS,23,0)</f>
        <v>0</v>
      </c>
      <c r="S13" s="45">
        <f>Q13-R13</f>
        <v>3939000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171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-9'!$B$8:$AS$25,36,0)</f>
        <v>26</v>
      </c>
      <c r="G14" s="145">
        <f t="shared" si="13"/>
        <v>3317000</v>
      </c>
      <c r="H14" s="92">
        <f>(VLOOKUP(B14,'CC -9'!$B$8:$AS$25,37,0)+VLOOKUP(B14,'CC -9'!$B$8:$AS$25,38,0))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3317000</v>
      </c>
      <c r="L14" s="90">
        <f t="shared" si="16"/>
        <v>390000</v>
      </c>
      <c r="M14" s="40">
        <f t="shared" si="17"/>
        <v>3707000</v>
      </c>
      <c r="N14" s="40">
        <f>IF(VLOOKUP(B14,DS,9,0)="x",'L - 9'!E14*$N$4,0)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3707000</v>
      </c>
      <c r="R14" s="39">
        <f t="shared" si="20"/>
        <v>0</v>
      </c>
      <c r="S14" s="45">
        <f t="shared" ref="S14:S18" si="22">Q14-R14</f>
        <v>3707000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172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-9'!$B$8:$AS$25,36,0)</f>
        <v>26</v>
      </c>
      <c r="G15" s="145">
        <f t="shared" si="13"/>
        <v>3317000</v>
      </c>
      <c r="H15" s="92">
        <f>(VLOOKUP(B15,'CC -9'!$B$8:$AS$25,37,0)+VLOOKUP(B15,'CC -9'!$B$8:$AS$25,38,0))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3317000</v>
      </c>
      <c r="L15" s="90">
        <f t="shared" si="16"/>
        <v>390000</v>
      </c>
      <c r="M15" s="40">
        <f t="shared" si="17"/>
        <v>3707000</v>
      </c>
      <c r="N15" s="40">
        <f>IF(VLOOKUP(B15,DS,9,0)="x",'L - 9'!E15*$N$4,0)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3707000</v>
      </c>
      <c r="R15" s="39">
        <f t="shared" si="20"/>
        <v>0</v>
      </c>
      <c r="S15" s="45">
        <f t="shared" si="22"/>
        <v>3707000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173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-9'!$B$8:$AS$25,36,0)</f>
        <v>26</v>
      </c>
      <c r="G16" s="145">
        <f t="shared" si="13"/>
        <v>3317000</v>
      </c>
      <c r="H16" s="92">
        <f>(VLOOKUP(B16,'CC -9'!$B$8:$AS$25,37,0)+VLOOKUP(B16,'CC -9'!$B$8:$AS$25,38,0))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3317000</v>
      </c>
      <c r="L16" s="90">
        <f t="shared" si="16"/>
        <v>390000</v>
      </c>
      <c r="M16" s="40">
        <f t="shared" si="17"/>
        <v>3707000</v>
      </c>
      <c r="N16" s="40">
        <f>IF(VLOOKUP(B16,DS,9,0)="x",'L - 9'!E16*$N$4,0)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3707000</v>
      </c>
      <c r="R16" s="39">
        <f t="shared" si="20"/>
        <v>0</v>
      </c>
      <c r="S16" s="45">
        <f t="shared" si="22"/>
        <v>3707000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174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-9'!$B$8:$AS$25,36,0)</f>
        <v>26</v>
      </c>
      <c r="G17" s="145">
        <f t="shared" si="13"/>
        <v>3317000</v>
      </c>
      <c r="H17" s="92">
        <f>(VLOOKUP(B17,'CC -9'!$B$8:$AS$25,37,0)+VLOOKUP(B17,'CC -9'!$B$8:$AS$25,38,0))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3317000</v>
      </c>
      <c r="L17" s="90">
        <f t="shared" si="16"/>
        <v>390000</v>
      </c>
      <c r="M17" s="40">
        <f t="shared" si="17"/>
        <v>3707000</v>
      </c>
      <c r="N17" s="40">
        <f>IF(VLOOKUP(B17,DS,9,0)="x",'L - 9'!E17*$N$4,0)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3707000</v>
      </c>
      <c r="R17" s="39">
        <f t="shared" si="20"/>
        <v>0</v>
      </c>
      <c r="S17" s="45">
        <f t="shared" si="22"/>
        <v>3707000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175</v>
      </c>
      <c r="C18" s="89" t="str">
        <f t="shared" si="10"/>
        <v>Huỳnh Thị Bé Thi</v>
      </c>
      <c r="D18" s="116" t="str">
        <f t="shared" si="11"/>
        <v>Công nhân</v>
      </c>
      <c r="E18" s="90">
        <f t="shared" si="12"/>
        <v>3317000</v>
      </c>
      <c r="F18" s="92">
        <f>VLOOKUP(B18,'CC -9'!$B$8:$AS$25,36,0)</f>
        <v>26</v>
      </c>
      <c r="G18" s="145">
        <f t="shared" si="13"/>
        <v>3317000</v>
      </c>
      <c r="H18" s="92">
        <f>(VLOOKUP(B18,'CC -9'!$B$8:$AS$25,37,0)+VLOOKUP(B18,'CC -9'!$B$8:$AS$25,38,0))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3317000</v>
      </c>
      <c r="L18" s="90">
        <f t="shared" si="16"/>
        <v>390000</v>
      </c>
      <c r="M18" s="40">
        <f t="shared" si="17"/>
        <v>3707000</v>
      </c>
      <c r="N18" s="40">
        <f>IF(VLOOKUP(B18,DS,9,0)="x",'L - 9'!E18*$N$4,0)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3707000</v>
      </c>
      <c r="R18" s="39">
        <f t="shared" si="20"/>
        <v>0</v>
      </c>
      <c r="S18" s="45">
        <f t="shared" si="22"/>
        <v>3707000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5" t="s">
        <v>25</v>
      </c>
      <c r="B20" s="245"/>
      <c r="C20" s="245"/>
      <c r="D20" s="245"/>
      <c r="E20" s="140">
        <f>SUM(E10:E19)</f>
        <v>28526000</v>
      </c>
      <c r="F20" s="140"/>
      <c r="G20" s="140">
        <f>SUM(G10:G19)</f>
        <v>28526000</v>
      </c>
      <c r="H20" s="140"/>
      <c r="I20" s="140">
        <f>SUM(I10:I19)</f>
        <v>0</v>
      </c>
      <c r="J20" s="26"/>
      <c r="K20" s="26">
        <f t="shared" ref="K20:S20" si="23">SUM(K10:K19)</f>
        <v>28526000</v>
      </c>
      <c r="L20" s="26">
        <f t="shared" si="23"/>
        <v>3120000</v>
      </c>
      <c r="M20" s="26">
        <f t="shared" si="23"/>
        <v>31646000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31646000</v>
      </c>
      <c r="R20" s="26">
        <f t="shared" si="23"/>
        <v>0</v>
      </c>
      <c r="S20" s="26">
        <f t="shared" si="23"/>
        <v>31646000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O6:O7"/>
    <mergeCell ref="P6:P7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9" activePane="bottomRight" state="frozen"/>
      <selection activeCell="E5" sqref="E5:E7"/>
      <selection pane="topRight" activeCell="E5" sqref="E5:E7"/>
      <selection pane="bottomLeft" activeCell="E5" sqref="E5:E7"/>
      <selection pane="bottomRight" activeCell="A2" sqref="A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10" t="s">
        <v>158</v>
      </c>
      <c r="AN1" s="211"/>
      <c r="AO1" s="211"/>
      <c r="AP1" s="211"/>
      <c r="AQ1" s="211"/>
      <c r="AR1" s="211"/>
      <c r="AS1" s="21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29" t="s">
        <v>28</v>
      </c>
      <c r="B5" s="229" t="s">
        <v>3</v>
      </c>
      <c r="C5" s="229" t="s">
        <v>1</v>
      </c>
      <c r="D5" s="231" t="s">
        <v>29</v>
      </c>
      <c r="E5" s="229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34" t="s">
        <v>15</v>
      </c>
      <c r="AL5" s="235"/>
      <c r="AM5" s="236"/>
      <c r="AN5" s="232" t="s">
        <v>45</v>
      </c>
      <c r="AO5" s="232" t="s">
        <v>41</v>
      </c>
      <c r="AP5" s="232" t="s">
        <v>42</v>
      </c>
      <c r="AQ5" s="232" t="s">
        <v>43</v>
      </c>
      <c r="AR5" s="232" t="s">
        <v>44</v>
      </c>
      <c r="AS5" s="231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0"/>
      <c r="B6" s="230"/>
      <c r="C6" s="230"/>
      <c r="D6" s="230"/>
      <c r="E6" s="230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ref="AJ6" si="2">CHOOSE(WEEKDAY(AJ5),"C.Nhật","T.Hai","T.Ba","T.Tư","T.Năm","T.Sáu","T.Bảy")</f>
        <v>T.Hai</v>
      </c>
      <c r="AK6" s="176" t="s">
        <v>16</v>
      </c>
      <c r="AL6" s="176" t="s">
        <v>31</v>
      </c>
      <c r="AM6" s="177" t="s">
        <v>17</v>
      </c>
      <c r="AN6" s="233"/>
      <c r="AO6" s="233"/>
      <c r="AP6" s="233"/>
      <c r="AQ6" s="233"/>
      <c r="AR6" s="233"/>
      <c r="AS6" s="230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161</v>
      </c>
      <c r="B8" s="182" t="s">
        <v>162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25">
        <v>1</v>
      </c>
      <c r="B9" s="225" t="s">
        <v>168</v>
      </c>
      <c r="C9" s="227" t="str">
        <f>VLOOKUP(B9,DS,2,0)</f>
        <v>Mai Út Hiền</v>
      </c>
      <c r="D9" s="223" t="str">
        <f>VLOOKUP(B9,DS,3,0)</f>
        <v>Cơ Điện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15">
        <f>((SUM(F9:AJ9))/8)-(SUMIF($F$6:$AJ$6,"C.Nhật",F9:AJ9)/8)</f>
        <v>26</v>
      </c>
      <c r="AL9" s="215">
        <f>SUM(F10:AJ10)/8*1.5</f>
        <v>0</v>
      </c>
      <c r="AM9" s="217">
        <f>SUMIF($F$6:$AJ$6,"C.Nhật",$F9:$AJ10)/8*2</f>
        <v>0</v>
      </c>
      <c r="AN9" s="219">
        <f>SUM(AK9:AM10)</f>
        <v>26</v>
      </c>
      <c r="AO9" s="221">
        <v>0</v>
      </c>
      <c r="AP9" s="219"/>
      <c r="AQ9" s="219"/>
      <c r="AR9" s="219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26"/>
      <c r="B10" s="226"/>
      <c r="C10" s="228"/>
      <c r="D10" s="224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6"/>
      <c r="AL10" s="216"/>
      <c r="AM10" s="218"/>
      <c r="AN10" s="220"/>
      <c r="AO10" s="222"/>
      <c r="AP10" s="220"/>
      <c r="AQ10" s="220"/>
      <c r="AR10" s="220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25">
        <f>A9+1</f>
        <v>2</v>
      </c>
      <c r="B11" s="225" t="s">
        <v>169</v>
      </c>
      <c r="C11" s="227" t="str">
        <f>VLOOKUP(B11,DS,2,0)</f>
        <v>Nguyễn Thị Xuân Thảo</v>
      </c>
      <c r="D11" s="223" t="str">
        <f>VLOOKUP(B11,DS,3,0)</f>
        <v>KCS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15">
        <f t="shared" ref="AK11" si="3">((SUM(F11:AJ11))/8)-(SUMIF($F$6:$AJ$6,"C.Nhật",F11:AJ11)/8)</f>
        <v>26</v>
      </c>
      <c r="AL11" s="215">
        <f t="shared" ref="AL11" si="4">SUM(F12:AJ12)/8*1.5</f>
        <v>0</v>
      </c>
      <c r="AM11" s="217">
        <f t="shared" ref="AM11" si="5">SUMIF($F$6:$AJ$6,"C.Nhật",$F11:$AJ12)/8*2</f>
        <v>0</v>
      </c>
      <c r="AN11" s="219">
        <f t="shared" ref="AN11" si="6">SUM(AK11:AM12)</f>
        <v>26</v>
      </c>
      <c r="AO11" s="221">
        <v>0</v>
      </c>
      <c r="AP11" s="219"/>
      <c r="AQ11" s="219"/>
      <c r="AR11" s="219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26"/>
      <c r="B12" s="226"/>
      <c r="C12" s="228"/>
      <c r="D12" s="224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6"/>
      <c r="AL12" s="216"/>
      <c r="AM12" s="218"/>
      <c r="AN12" s="220"/>
      <c r="AO12" s="222"/>
      <c r="AP12" s="220"/>
      <c r="AQ12" s="220"/>
      <c r="AR12" s="220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163</v>
      </c>
      <c r="B13" s="182" t="s">
        <v>167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25">
        <v>1</v>
      </c>
      <c r="B14" s="225" t="s">
        <v>170</v>
      </c>
      <c r="C14" s="227" t="str">
        <f>VLOOKUP(B14,DS,2,0)</f>
        <v xml:space="preserve"> Lâm Thị Mộng Kiều </v>
      </c>
      <c r="D14" s="223" t="str">
        <f>VLOOKUP(B14,DS,3,0)</f>
        <v>Công nhân</v>
      </c>
      <c r="E14" s="68" t="s">
        <v>32</v>
      </c>
      <c r="F14" s="143">
        <v>8</v>
      </c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/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/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/>
      <c r="AJ14" s="143">
        <v>8</v>
      </c>
      <c r="AK14" s="215">
        <f t="shared" ref="AK14" si="7">((SUM(F14:AJ14))/8)-(SUMIF($F$6:$AJ$6,"C.Nhật",F14:AJ14)/8)</f>
        <v>26</v>
      </c>
      <c r="AL14" s="215">
        <f t="shared" ref="AL14" si="8">SUM(F15:AJ15)/8*1.5</f>
        <v>0</v>
      </c>
      <c r="AM14" s="217">
        <f>SUMIF($F$6:$AJ$6,"C.Nhật",$F14:$AJ15)/8*2</f>
        <v>0</v>
      </c>
      <c r="AN14" s="219">
        <f>SUM(AK14:AM15)</f>
        <v>26</v>
      </c>
      <c r="AO14" s="221">
        <v>0</v>
      </c>
      <c r="AP14" s="219"/>
      <c r="AQ14" s="219"/>
      <c r="AR14" s="219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26"/>
      <c r="B15" s="226"/>
      <c r="C15" s="228"/>
      <c r="D15" s="224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16"/>
      <c r="AL15" s="216"/>
      <c r="AM15" s="218"/>
      <c r="AN15" s="220"/>
      <c r="AO15" s="222"/>
      <c r="AP15" s="220"/>
      <c r="AQ15" s="220"/>
      <c r="AR15" s="220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25">
        <f>A14+1</f>
        <v>2</v>
      </c>
      <c r="B16" s="225" t="s">
        <v>171</v>
      </c>
      <c r="C16" s="227" t="str">
        <f>VLOOKUP(B16,DS,2,0)</f>
        <v>Huỳnh Thị Hường</v>
      </c>
      <c r="D16" s="223" t="str">
        <f>VLOOKUP(B16,DS,3,0)</f>
        <v>Công nhân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15">
        <f t="shared" ref="AK16" si="9">((SUM(F16:AJ16))/8)-(SUMIF($F$6:$AJ$6,"C.Nhật",F16:AJ16)/8)</f>
        <v>26</v>
      </c>
      <c r="AL16" s="215">
        <f t="shared" ref="AL16" si="10">SUM(F17:AJ17)/8*1.5</f>
        <v>0</v>
      </c>
      <c r="AM16" s="217">
        <f>SUMIF($F$6:$AJ$6,"C.Nhật",$F16:$AJ17)/8*2</f>
        <v>0</v>
      </c>
      <c r="AN16" s="219">
        <f t="shared" ref="AN16" si="11">SUM(AK16:AM17)</f>
        <v>26</v>
      </c>
      <c r="AO16" s="221">
        <v>0</v>
      </c>
      <c r="AP16" s="219"/>
      <c r="AQ16" s="219"/>
      <c r="AR16" s="219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26"/>
      <c r="B17" s="226"/>
      <c r="C17" s="228"/>
      <c r="D17" s="224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6"/>
      <c r="AL17" s="216"/>
      <c r="AM17" s="218"/>
      <c r="AN17" s="220"/>
      <c r="AO17" s="222"/>
      <c r="AP17" s="220"/>
      <c r="AQ17" s="220"/>
      <c r="AR17" s="220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25">
        <f t="shared" ref="A18" si="12">A16+1</f>
        <v>3</v>
      </c>
      <c r="B18" s="225" t="s">
        <v>172</v>
      </c>
      <c r="C18" s="227" t="str">
        <f>VLOOKUP(B18,DS,2,0)</f>
        <v>Nguyễn Thị Rong</v>
      </c>
      <c r="D18" s="223" t="str">
        <f>VLOOKUP(B18,DS,3,0)</f>
        <v>Công nhân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15">
        <f t="shared" ref="AK18" si="13">((SUM(F18:AJ18))/8)-(SUMIF($F$6:$AJ$6,"C.Nhật",F18:AJ18)/8)</f>
        <v>26</v>
      </c>
      <c r="AL18" s="215">
        <f t="shared" ref="AL18" si="14">SUM(F19:AJ19)/8*1.5</f>
        <v>0</v>
      </c>
      <c r="AM18" s="217">
        <f>SUMIF($F$6:$AJ$6,"C.Nhật",$F18:$AJ19)/8*2</f>
        <v>0</v>
      </c>
      <c r="AN18" s="219">
        <f t="shared" ref="AN18" si="15">SUM(AK18:AM19)</f>
        <v>26</v>
      </c>
      <c r="AO18" s="221">
        <v>0</v>
      </c>
      <c r="AP18" s="219"/>
      <c r="AQ18" s="219"/>
      <c r="AR18" s="219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26"/>
      <c r="B19" s="226"/>
      <c r="C19" s="228"/>
      <c r="D19" s="224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6"/>
      <c r="AL19" s="216"/>
      <c r="AM19" s="218"/>
      <c r="AN19" s="220"/>
      <c r="AO19" s="222"/>
      <c r="AP19" s="220"/>
      <c r="AQ19" s="220"/>
      <c r="AR19" s="220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25">
        <f t="shared" ref="A20" si="16">A18+1</f>
        <v>4</v>
      </c>
      <c r="B20" s="225" t="s">
        <v>173</v>
      </c>
      <c r="C20" s="227" t="str">
        <f>VLOOKUP(B20,DS,2,0)</f>
        <v>Sơn Thị Nil</v>
      </c>
      <c r="D20" s="223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15">
        <f t="shared" ref="AK20" si="17">((SUM(F20:AJ20))/8)-(SUMIF($F$6:$AJ$6,"C.Nhật",F20:AJ20)/8)</f>
        <v>26</v>
      </c>
      <c r="AL20" s="215">
        <f t="shared" ref="AL20" si="18">SUM(F21:AJ21)/8*1.5</f>
        <v>0</v>
      </c>
      <c r="AM20" s="217">
        <f>SUMIF($F$6:$AJ$6,"C.Nhật",$F20:$AJ21)/8*2</f>
        <v>0</v>
      </c>
      <c r="AN20" s="219">
        <f t="shared" ref="AN20" si="19">SUM(AK20:AM21)</f>
        <v>26</v>
      </c>
      <c r="AO20" s="221">
        <v>0</v>
      </c>
      <c r="AP20" s="219"/>
      <c r="AQ20" s="219"/>
      <c r="AR20" s="219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26"/>
      <c r="B21" s="226"/>
      <c r="C21" s="228"/>
      <c r="D21" s="224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6"/>
      <c r="AL21" s="216"/>
      <c r="AM21" s="218"/>
      <c r="AN21" s="220"/>
      <c r="AO21" s="222"/>
      <c r="AP21" s="220"/>
      <c r="AQ21" s="220"/>
      <c r="AR21" s="220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25">
        <f t="shared" ref="A22" si="20">A20+1</f>
        <v>5</v>
      </c>
      <c r="B22" s="225" t="s">
        <v>174</v>
      </c>
      <c r="C22" s="227" t="str">
        <f>VLOOKUP(B22,DS,2,0)</f>
        <v>Huỳnh Thị Bé Tha</v>
      </c>
      <c r="D22" s="223" t="str">
        <f>VLOOKUP(B22,DS,3,0)</f>
        <v>Công nhân</v>
      </c>
      <c r="E22" s="68" t="s">
        <v>32</v>
      </c>
      <c r="F22" s="143">
        <v>8</v>
      </c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>
        <v>8</v>
      </c>
      <c r="AK22" s="215">
        <f t="shared" ref="AK22" si="21">((SUM(F22:AJ22))/8)-(SUMIF($F$6:$AJ$6,"C.Nhật",F22:AJ22)/8)</f>
        <v>26</v>
      </c>
      <c r="AL22" s="215">
        <f t="shared" ref="AL22" si="22">SUM(F23:AJ23)/8*1.5</f>
        <v>0</v>
      </c>
      <c r="AM22" s="217">
        <f>SUMIF($F$6:$AJ$6,"C.Nhật",$F22:$AJ23)/8*2</f>
        <v>0</v>
      </c>
      <c r="AN22" s="219">
        <f t="shared" ref="AN22" si="23">SUM(AK22:AM23)</f>
        <v>26</v>
      </c>
      <c r="AO22" s="221">
        <v>0</v>
      </c>
      <c r="AP22" s="219"/>
      <c r="AQ22" s="219"/>
      <c r="AR22" s="219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26"/>
      <c r="B23" s="226"/>
      <c r="C23" s="228"/>
      <c r="D23" s="224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16"/>
      <c r="AL23" s="216"/>
      <c r="AM23" s="218"/>
      <c r="AN23" s="220"/>
      <c r="AO23" s="222"/>
      <c r="AP23" s="220"/>
      <c r="AQ23" s="220"/>
      <c r="AR23" s="220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25">
        <f t="shared" ref="A24" si="24">A22+1</f>
        <v>6</v>
      </c>
      <c r="B24" s="225" t="s">
        <v>175</v>
      </c>
      <c r="C24" s="227" t="str">
        <f>VLOOKUP(B24,DS,2,0)</f>
        <v>Huỳnh Thị Bé Thi</v>
      </c>
      <c r="D24" s="223" t="str">
        <f>VLOOKUP(B24,DS,3,0)</f>
        <v>Công nhân</v>
      </c>
      <c r="E24" s="68" t="s">
        <v>32</v>
      </c>
      <c r="F24" s="143">
        <v>8</v>
      </c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>
        <v>8</v>
      </c>
      <c r="AK24" s="215">
        <f t="shared" ref="AK24" si="25">((SUM(F24:AJ24))/8)-(SUMIF($F$6:$AJ$6,"C.Nhật",F24:AJ24)/8)</f>
        <v>26</v>
      </c>
      <c r="AL24" s="215">
        <f t="shared" ref="AL24" si="26">SUM(F25:AJ25)/8*1.5</f>
        <v>0</v>
      </c>
      <c r="AM24" s="217">
        <f>SUMIF($F$6:$AJ$6,"C.Nhật",$F24:$AJ25)/8*2</f>
        <v>0</v>
      </c>
      <c r="AN24" s="219">
        <f t="shared" ref="AN24" si="27">SUM(AK24:AM25)</f>
        <v>26</v>
      </c>
      <c r="AO24" s="221">
        <v>0</v>
      </c>
      <c r="AP24" s="219"/>
      <c r="AQ24" s="219"/>
      <c r="AR24" s="219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26"/>
      <c r="B25" s="226"/>
      <c r="C25" s="228"/>
      <c r="D25" s="224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16"/>
      <c r="AL25" s="216"/>
      <c r="AM25" s="218"/>
      <c r="AN25" s="220"/>
      <c r="AO25" s="222"/>
      <c r="AP25" s="220"/>
      <c r="AQ25" s="220"/>
      <c r="AR25" s="220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 F14:AJ25">
    <cfRule type="expression" dxfId="83" priority="6" stopIfTrue="1">
      <formula>IF(WEEKDAY(F$5)=1,TRUE,FALSE)</formula>
    </cfRule>
  </conditionalFormatting>
  <conditionalFormatting sqref="F9:AJ12">
    <cfRule type="expression" dxfId="82" priority="5" stopIfTrue="1">
      <formula>IF(WEEKDAY(F$5)=1,TRUE,FALSE)</formula>
    </cfRule>
  </conditionalFormatting>
  <conditionalFormatting sqref="F14:AJ25">
    <cfRule type="expression" dxfId="81" priority="4" stopIfTrue="1">
      <formula>IF(WEEKDAY(F$5)=1,TRUE,FALSE)</formula>
    </cfRule>
  </conditionalFormatting>
  <conditionalFormatting sqref="F14:AJ25">
    <cfRule type="expression" dxfId="80" priority="3" stopIfTrue="1">
      <formula>IF(WEEKDAY(F$5)=1,TRUE,FALSE)</formula>
    </cfRule>
  </conditionalFormatting>
  <conditionalFormatting sqref="F14:AI25">
    <cfRule type="expression" dxfId="79" priority="2" stopIfTrue="1">
      <formula>IF(WEEKDAY(F$5)=1,TRUE,FALSE)</formula>
    </cfRule>
  </conditionalFormatting>
  <conditionalFormatting sqref="F14:AJ25">
    <cfRule type="expression" dxfId="7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6" t="str">
        <f>"BẢNG THANH TOÁN LƯƠNG THÁNG"&amp;" "&amp;TEXT($E$4,"mm")&amp;" / "&amp;TEXT($E$4,"yyyy")</f>
        <v>BẢNG THANH TOÁN LƯƠNG THÁNG 10 / 2011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51" t="s">
        <v>157</v>
      </c>
      <c r="S1" s="252"/>
      <c r="T1" s="25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8" t="s">
        <v>19</v>
      </c>
      <c r="B5" s="248" t="s">
        <v>20</v>
      </c>
      <c r="C5" s="203" t="s">
        <v>1</v>
      </c>
      <c r="D5" s="203" t="s">
        <v>2</v>
      </c>
      <c r="E5" s="198" t="s">
        <v>56</v>
      </c>
      <c r="F5" s="239" t="s">
        <v>26</v>
      </c>
      <c r="G5" s="240"/>
      <c r="H5" s="240"/>
      <c r="I5" s="240"/>
      <c r="J5" s="240"/>
      <c r="K5" s="241"/>
      <c r="L5" s="238" t="s">
        <v>57</v>
      </c>
      <c r="M5" s="238" t="s">
        <v>5</v>
      </c>
      <c r="N5" s="203" t="s">
        <v>6</v>
      </c>
      <c r="O5" s="203"/>
      <c r="P5" s="203"/>
      <c r="Q5" s="238" t="s">
        <v>7</v>
      </c>
      <c r="R5" s="238" t="s">
        <v>8</v>
      </c>
      <c r="S5" s="238" t="s">
        <v>9</v>
      </c>
      <c r="T5" s="19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9"/>
      <c r="B6" s="249"/>
      <c r="C6" s="203"/>
      <c r="D6" s="203"/>
      <c r="E6" s="198"/>
      <c r="F6" s="239" t="s">
        <v>59</v>
      </c>
      <c r="G6" s="241"/>
      <c r="H6" s="239" t="s">
        <v>165</v>
      </c>
      <c r="I6" s="240"/>
      <c r="J6" s="243" t="s">
        <v>27</v>
      </c>
      <c r="K6" s="238" t="s">
        <v>4</v>
      </c>
      <c r="L6" s="242"/>
      <c r="M6" s="242"/>
      <c r="N6" s="254" t="s">
        <v>12</v>
      </c>
      <c r="O6" s="238" t="s">
        <v>13</v>
      </c>
      <c r="P6" s="238" t="s">
        <v>34</v>
      </c>
      <c r="Q6" s="242"/>
      <c r="R6" s="242"/>
      <c r="S6" s="242"/>
      <c r="T6" s="20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9"/>
      <c r="B7" s="249"/>
      <c r="C7" s="238"/>
      <c r="D7" s="238"/>
      <c r="E7" s="198"/>
      <c r="F7" s="196" t="s">
        <v>40</v>
      </c>
      <c r="G7" s="193" t="s">
        <v>18</v>
      </c>
      <c r="H7" s="196" t="s">
        <v>40</v>
      </c>
      <c r="I7" s="128" t="s">
        <v>18</v>
      </c>
      <c r="J7" s="244"/>
      <c r="K7" s="242"/>
      <c r="L7" s="250"/>
      <c r="M7" s="250"/>
      <c r="N7" s="255"/>
      <c r="O7" s="242"/>
      <c r="P7" s="242"/>
      <c r="Q7" s="242"/>
      <c r="R7" s="242"/>
      <c r="S7" s="242"/>
      <c r="T7" s="20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161</v>
      </c>
      <c r="B9" s="188" t="s">
        <v>162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168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-10'!$B$8:$AS$25,36,0)</f>
        <v>26</v>
      </c>
      <c r="G10" s="145">
        <f t="shared" ref="G10:G11" si="3">ROUND(E10/$U$2*F10,0)</f>
        <v>4336000</v>
      </c>
      <c r="H10" s="92">
        <f>(VLOOKUP(B10,'CC -10'!$B$8:$AS$25,37,0)+VLOOKUP(B10,'CC -10'!$B$8:$AS$25,38,0))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4336000</v>
      </c>
      <c r="L10" s="90">
        <f t="shared" ref="L10:L11" si="6">+F10*15000</f>
        <v>390000</v>
      </c>
      <c r="M10" s="40">
        <f t="shared" ref="M10:M11" si="7">K10+L10</f>
        <v>4726000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4726000</v>
      </c>
      <c r="R10" s="39">
        <f>VLOOKUP(B10,DS,23,0)</f>
        <v>0</v>
      </c>
      <c r="S10" s="45">
        <f t="shared" ref="S10:S11" si="9">Q10-R10</f>
        <v>4726000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169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-10'!$B$8:$AS$25,36,0)</f>
        <v>26</v>
      </c>
      <c r="G11" s="145">
        <f t="shared" si="3"/>
        <v>4056000</v>
      </c>
      <c r="H11" s="92">
        <f>(VLOOKUP(B11,'CC -10'!$B$8:$AS$25,37,0)+VLOOKUP(B11,'CC -10'!$B$8:$AS$25,38,0))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4056000</v>
      </c>
      <c r="L11" s="90">
        <f t="shared" si="6"/>
        <v>390000</v>
      </c>
      <c r="M11" s="40">
        <f t="shared" si="7"/>
        <v>4446000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4446000</v>
      </c>
      <c r="R11" s="39">
        <f>VLOOKUP(B11,DS,23,0)</f>
        <v>0</v>
      </c>
      <c r="S11" s="45">
        <f t="shared" si="9"/>
        <v>4446000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163</v>
      </c>
      <c r="B12" s="188" t="s">
        <v>164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170</v>
      </c>
      <c r="C13" s="89" t="str">
        <f t="shared" ref="C13:C18" si="10">VLOOKUP(B13,DS,2,0)</f>
        <v xml:space="preserve"> Lâm Thị Mộng Kiều </v>
      </c>
      <c r="D13" s="116" t="str">
        <f t="shared" ref="D13:D18" si="11">VLOOKUP(B13,DS,3,0)</f>
        <v>Công nhân</v>
      </c>
      <c r="E13" s="90">
        <f t="shared" ref="E13:E18" si="12">VLOOKUP(B13,DS,4,0)</f>
        <v>3549000</v>
      </c>
      <c r="F13" s="92">
        <f>VLOOKUP(B13,'CC -10'!$B$8:$AS$25,36,0)</f>
        <v>26</v>
      </c>
      <c r="G13" s="145">
        <f t="shared" ref="G13:G18" si="13">ROUND(E13/$U$2*F13,0)</f>
        <v>3549000</v>
      </c>
      <c r="H13" s="92">
        <f>(VLOOKUP(B13,'CC -10'!$B$8:$AS$25,37,0)+VLOOKUP(B13,'CC -10'!$B$8:$AS$25,38,0))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3549000</v>
      </c>
      <c r="L13" s="90">
        <f t="shared" ref="L13:L18" si="16">+F13*15000</f>
        <v>390000</v>
      </c>
      <c r="M13" s="40">
        <f t="shared" ref="M13:M18" si="17">K13+L13</f>
        <v>3939000</v>
      </c>
      <c r="N13" s="40">
        <f>IF(VLOOKUP(B13,DS,9,0)="x",'L - 10'!E13*$N$4,0)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3939000</v>
      </c>
      <c r="R13" s="39">
        <f t="shared" ref="R13:R18" si="20">VLOOKUP(B13,DS,23,0)</f>
        <v>0</v>
      </c>
      <c r="S13" s="45">
        <f>Q13-R13</f>
        <v>3939000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171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-10'!$B$8:$AS$25,36,0)</f>
        <v>26</v>
      </c>
      <c r="G14" s="145">
        <f t="shared" si="13"/>
        <v>3317000</v>
      </c>
      <c r="H14" s="92">
        <f>(VLOOKUP(B14,'CC -10'!$B$8:$AS$25,37,0)+VLOOKUP(B14,'CC -10'!$B$8:$AS$25,38,0))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3317000</v>
      </c>
      <c r="L14" s="90">
        <f t="shared" si="16"/>
        <v>390000</v>
      </c>
      <c r="M14" s="40">
        <f t="shared" si="17"/>
        <v>3707000</v>
      </c>
      <c r="N14" s="40">
        <f>IF(VLOOKUP(B14,DS,9,0)="x",'L - 10'!E14*$N$4,0)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3707000</v>
      </c>
      <c r="R14" s="39">
        <f t="shared" si="20"/>
        <v>0</v>
      </c>
      <c r="S14" s="45">
        <f t="shared" ref="S14:S18" si="22">Q14-R14</f>
        <v>3707000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172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-10'!$B$8:$AS$25,36,0)</f>
        <v>26</v>
      </c>
      <c r="G15" s="145">
        <f t="shared" si="13"/>
        <v>3317000</v>
      </c>
      <c r="H15" s="92">
        <f>(VLOOKUP(B15,'CC -10'!$B$8:$AS$25,37,0)+VLOOKUP(B15,'CC -10'!$B$8:$AS$25,38,0))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3317000</v>
      </c>
      <c r="L15" s="90">
        <f t="shared" si="16"/>
        <v>390000</v>
      </c>
      <c r="M15" s="40">
        <f t="shared" si="17"/>
        <v>3707000</v>
      </c>
      <c r="N15" s="40">
        <f>IF(VLOOKUP(B15,DS,9,0)="x",'L - 10'!E15*$N$4,0)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3707000</v>
      </c>
      <c r="R15" s="39">
        <f t="shared" si="20"/>
        <v>0</v>
      </c>
      <c r="S15" s="45">
        <f t="shared" si="22"/>
        <v>3707000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173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-10'!$B$8:$AS$25,36,0)</f>
        <v>26</v>
      </c>
      <c r="G16" s="145">
        <f t="shared" si="13"/>
        <v>3317000</v>
      </c>
      <c r="H16" s="92">
        <f>(VLOOKUP(B16,'CC -10'!$B$8:$AS$25,37,0)+VLOOKUP(B16,'CC -10'!$B$8:$AS$25,38,0))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3317000</v>
      </c>
      <c r="L16" s="90">
        <f t="shared" si="16"/>
        <v>390000</v>
      </c>
      <c r="M16" s="40">
        <f t="shared" si="17"/>
        <v>3707000</v>
      </c>
      <c r="N16" s="40">
        <f>IF(VLOOKUP(B16,DS,9,0)="x",'L - 10'!E16*$N$4,0)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3707000</v>
      </c>
      <c r="R16" s="39">
        <f t="shared" si="20"/>
        <v>0</v>
      </c>
      <c r="S16" s="45">
        <f t="shared" si="22"/>
        <v>3707000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174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-10'!$B$8:$AS$25,36,0)</f>
        <v>26</v>
      </c>
      <c r="G17" s="145">
        <f t="shared" si="13"/>
        <v>3317000</v>
      </c>
      <c r="H17" s="92">
        <f>(VLOOKUP(B17,'CC -10'!$B$8:$AS$25,37,0)+VLOOKUP(B17,'CC -10'!$B$8:$AS$25,38,0))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3317000</v>
      </c>
      <c r="L17" s="90">
        <f t="shared" si="16"/>
        <v>390000</v>
      </c>
      <c r="M17" s="40">
        <f t="shared" si="17"/>
        <v>3707000</v>
      </c>
      <c r="N17" s="40">
        <f>IF(VLOOKUP(B17,DS,9,0)="x",'L - 10'!E17*$N$4,0)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3707000</v>
      </c>
      <c r="R17" s="39">
        <f t="shared" si="20"/>
        <v>0</v>
      </c>
      <c r="S17" s="45">
        <f t="shared" si="22"/>
        <v>3707000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175</v>
      </c>
      <c r="C18" s="89" t="str">
        <f t="shared" si="10"/>
        <v>Huỳnh Thị Bé Thi</v>
      </c>
      <c r="D18" s="116" t="str">
        <f t="shared" si="11"/>
        <v>Công nhân</v>
      </c>
      <c r="E18" s="90">
        <f t="shared" si="12"/>
        <v>3317000</v>
      </c>
      <c r="F18" s="92">
        <f>VLOOKUP(B18,'CC -10'!$B$8:$AS$25,36,0)</f>
        <v>26</v>
      </c>
      <c r="G18" s="145">
        <f t="shared" si="13"/>
        <v>3317000</v>
      </c>
      <c r="H18" s="92">
        <f>(VLOOKUP(B18,'CC -10'!$B$8:$AS$25,37,0)+VLOOKUP(B18,'CC -10'!$B$8:$AS$25,38,0))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3317000</v>
      </c>
      <c r="L18" s="90">
        <f t="shared" si="16"/>
        <v>390000</v>
      </c>
      <c r="M18" s="40">
        <f t="shared" si="17"/>
        <v>3707000</v>
      </c>
      <c r="N18" s="40">
        <f>IF(VLOOKUP(B18,DS,9,0)="x",'L - 10'!E18*$N$4,0)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3707000</v>
      </c>
      <c r="R18" s="39">
        <f t="shared" si="20"/>
        <v>0</v>
      </c>
      <c r="S18" s="45">
        <f t="shared" si="22"/>
        <v>3707000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5" t="s">
        <v>25</v>
      </c>
      <c r="B20" s="245"/>
      <c r="C20" s="245"/>
      <c r="D20" s="245"/>
      <c r="E20" s="140">
        <f>SUM(E10:E19)</f>
        <v>28526000</v>
      </c>
      <c r="F20" s="140"/>
      <c r="G20" s="140">
        <f>SUM(G10:G19)</f>
        <v>28526000</v>
      </c>
      <c r="H20" s="140"/>
      <c r="I20" s="140">
        <f>SUM(I10:I19)</f>
        <v>0</v>
      </c>
      <c r="J20" s="26"/>
      <c r="K20" s="26">
        <f t="shared" ref="K20:S20" si="23">SUM(K10:K19)</f>
        <v>28526000</v>
      </c>
      <c r="L20" s="26">
        <f t="shared" si="23"/>
        <v>3120000</v>
      </c>
      <c r="M20" s="26">
        <f t="shared" si="23"/>
        <v>31646000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31646000</v>
      </c>
      <c r="R20" s="26">
        <f t="shared" si="23"/>
        <v>0</v>
      </c>
      <c r="S20" s="26">
        <f t="shared" si="23"/>
        <v>31646000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O6:O7"/>
    <mergeCell ref="P6:P7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F14" sqref="F14:AI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10" t="s">
        <v>158</v>
      </c>
      <c r="AN1" s="211"/>
      <c r="AO1" s="211"/>
      <c r="AP1" s="211"/>
      <c r="AQ1" s="211"/>
      <c r="AR1" s="211"/>
      <c r="AS1" s="21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29" t="s">
        <v>28</v>
      </c>
      <c r="B5" s="229" t="s">
        <v>3</v>
      </c>
      <c r="C5" s="229" t="s">
        <v>1</v>
      </c>
      <c r="D5" s="231" t="s">
        <v>29</v>
      </c>
      <c r="E5" s="229" t="s">
        <v>30</v>
      </c>
      <c r="F5" s="118">
        <f>+E4</f>
        <v>40848</v>
      </c>
      <c r="G5" s="118">
        <f t="shared" ref="G5:AJ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/>
      <c r="AK5" s="234" t="s">
        <v>15</v>
      </c>
      <c r="AL5" s="235"/>
      <c r="AM5" s="236"/>
      <c r="AN5" s="232" t="s">
        <v>45</v>
      </c>
      <c r="AO5" s="232" t="s">
        <v>41</v>
      </c>
      <c r="AP5" s="232" t="s">
        <v>42</v>
      </c>
      <c r="AQ5" s="232" t="s">
        <v>43</v>
      </c>
      <c r="AR5" s="232" t="s">
        <v>44</v>
      </c>
      <c r="AS5" s="231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0"/>
      <c r="B6" s="230"/>
      <c r="C6" s="230"/>
      <c r="D6" s="230"/>
      <c r="E6" s="230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/>
      <c r="AK6" s="176" t="s">
        <v>16</v>
      </c>
      <c r="AL6" s="176" t="s">
        <v>31</v>
      </c>
      <c r="AM6" s="177" t="s">
        <v>17</v>
      </c>
      <c r="AN6" s="233"/>
      <c r="AO6" s="233"/>
      <c r="AP6" s="233"/>
      <c r="AQ6" s="233"/>
      <c r="AR6" s="233"/>
      <c r="AS6" s="230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/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161</v>
      </c>
      <c r="B8" s="182" t="s">
        <v>162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25">
        <v>1</v>
      </c>
      <c r="B9" s="225" t="s">
        <v>168</v>
      </c>
      <c r="C9" s="227" t="str">
        <f>VLOOKUP(B9,DS,2,0)</f>
        <v>Mai Út Hiền</v>
      </c>
      <c r="D9" s="223" t="str">
        <f>VLOOKUP(B9,DS,3,0)</f>
        <v>Cơ Điện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15">
        <f>((SUM(F9:AJ9))/8)-(SUMIF($F$6:$AJ$6,"C.Nhật",F9:AJ9)/8)</f>
        <v>26</v>
      </c>
      <c r="AL9" s="215">
        <f>SUM(F10:AJ10)/8*1.5</f>
        <v>0</v>
      </c>
      <c r="AM9" s="217">
        <f>SUMIF($F$6:$AJ$6,"C.Nhật",$F9:$AJ10)/8*2</f>
        <v>0</v>
      </c>
      <c r="AN9" s="219">
        <f>SUM(AK9:AM10)</f>
        <v>26</v>
      </c>
      <c r="AO9" s="221">
        <v>0</v>
      </c>
      <c r="AP9" s="219"/>
      <c r="AQ9" s="219"/>
      <c r="AR9" s="219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26"/>
      <c r="B10" s="226"/>
      <c r="C10" s="228"/>
      <c r="D10" s="224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6"/>
      <c r="AL10" s="216"/>
      <c r="AM10" s="218"/>
      <c r="AN10" s="220"/>
      <c r="AO10" s="222"/>
      <c r="AP10" s="220"/>
      <c r="AQ10" s="220"/>
      <c r="AR10" s="220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25">
        <f>A9+1</f>
        <v>2</v>
      </c>
      <c r="B11" s="225" t="s">
        <v>169</v>
      </c>
      <c r="C11" s="227" t="str">
        <f>VLOOKUP(B11,DS,2,0)</f>
        <v>Nguyễn Thị Xuân Thảo</v>
      </c>
      <c r="D11" s="223" t="str">
        <f>VLOOKUP(B11,DS,3,0)</f>
        <v>KCS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15">
        <f t="shared" ref="AK11" si="2">((SUM(F11:AJ11))/8)-(SUMIF($F$6:$AJ$6,"C.Nhật",F11:AJ11)/8)</f>
        <v>26</v>
      </c>
      <c r="AL11" s="215">
        <f t="shared" ref="AL11" si="3">SUM(F12:AJ12)/8*1.5</f>
        <v>0</v>
      </c>
      <c r="AM11" s="217">
        <f t="shared" ref="AM11" si="4">SUMIF($F$6:$AJ$6,"C.Nhật",$F11:$AJ12)/8*2</f>
        <v>0</v>
      </c>
      <c r="AN11" s="219">
        <f t="shared" ref="AN11" si="5">SUM(AK11:AM12)</f>
        <v>26</v>
      </c>
      <c r="AO11" s="221">
        <v>0</v>
      </c>
      <c r="AP11" s="219"/>
      <c r="AQ11" s="219"/>
      <c r="AR11" s="219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26"/>
      <c r="B12" s="226"/>
      <c r="C12" s="228"/>
      <c r="D12" s="224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6"/>
      <c r="AL12" s="216"/>
      <c r="AM12" s="218"/>
      <c r="AN12" s="220"/>
      <c r="AO12" s="222"/>
      <c r="AP12" s="220"/>
      <c r="AQ12" s="220"/>
      <c r="AR12" s="220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163</v>
      </c>
      <c r="B13" s="182" t="s">
        <v>167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25">
        <v>1</v>
      </c>
      <c r="B14" s="225" t="s">
        <v>170</v>
      </c>
      <c r="C14" s="227" t="str">
        <f>VLOOKUP(B14,DS,2,0)</f>
        <v xml:space="preserve"> Lâm Thị Mộng Kiều </v>
      </c>
      <c r="D14" s="223" t="str">
        <f>VLOOKUP(B14,DS,3,0)</f>
        <v>Công nhân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/>
      <c r="AK14" s="215">
        <f t="shared" ref="AK14" si="6">((SUM(F14:AJ14))/8)-(SUMIF($F$6:$AJ$6,"C.Nhật",F14:AJ14)/8)</f>
        <v>26</v>
      </c>
      <c r="AL14" s="215">
        <f t="shared" ref="AL14" si="7">SUM(F15:AJ15)/8*1.5</f>
        <v>0</v>
      </c>
      <c r="AM14" s="217">
        <f>SUMIF($F$6:$AJ$6,"C.Nhật",$F14:$AJ15)/8*2</f>
        <v>0</v>
      </c>
      <c r="AN14" s="219">
        <f>SUM(AK14:AM15)</f>
        <v>26</v>
      </c>
      <c r="AO14" s="221">
        <v>0</v>
      </c>
      <c r="AP14" s="219"/>
      <c r="AQ14" s="219"/>
      <c r="AR14" s="219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26"/>
      <c r="B15" s="226"/>
      <c r="C15" s="228"/>
      <c r="D15" s="224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16"/>
      <c r="AL15" s="216"/>
      <c r="AM15" s="218"/>
      <c r="AN15" s="220"/>
      <c r="AO15" s="222"/>
      <c r="AP15" s="220"/>
      <c r="AQ15" s="220"/>
      <c r="AR15" s="220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25">
        <f>A14+1</f>
        <v>2</v>
      </c>
      <c r="B16" s="225" t="s">
        <v>171</v>
      </c>
      <c r="C16" s="227" t="str">
        <f>VLOOKUP(B16,DS,2,0)</f>
        <v>Huỳnh Thị Hường</v>
      </c>
      <c r="D16" s="223" t="str">
        <f>VLOOKUP(B16,DS,3,0)</f>
        <v>Công nhân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15">
        <f t="shared" ref="AK16" si="8">((SUM(F16:AJ16))/8)-(SUMIF($F$6:$AJ$6,"C.Nhật",F16:AJ16)/8)</f>
        <v>26</v>
      </c>
      <c r="AL16" s="215">
        <f t="shared" ref="AL16" si="9">SUM(F17:AJ17)/8*1.5</f>
        <v>0</v>
      </c>
      <c r="AM16" s="217">
        <f>SUMIF($F$6:$AJ$6,"C.Nhật",$F16:$AJ17)/8*2</f>
        <v>0</v>
      </c>
      <c r="AN16" s="219">
        <f t="shared" ref="AN16" si="10">SUM(AK16:AM17)</f>
        <v>26</v>
      </c>
      <c r="AO16" s="221">
        <v>0</v>
      </c>
      <c r="AP16" s="219"/>
      <c r="AQ16" s="219"/>
      <c r="AR16" s="219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26"/>
      <c r="B17" s="226"/>
      <c r="C17" s="228"/>
      <c r="D17" s="224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6"/>
      <c r="AL17" s="216"/>
      <c r="AM17" s="218"/>
      <c r="AN17" s="220"/>
      <c r="AO17" s="222"/>
      <c r="AP17" s="220"/>
      <c r="AQ17" s="220"/>
      <c r="AR17" s="220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25">
        <f t="shared" ref="A18" si="11">A16+1</f>
        <v>3</v>
      </c>
      <c r="B18" s="225" t="s">
        <v>172</v>
      </c>
      <c r="C18" s="227" t="str">
        <f>VLOOKUP(B18,DS,2,0)</f>
        <v>Nguyễn Thị Rong</v>
      </c>
      <c r="D18" s="223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15">
        <f t="shared" ref="AK18" si="12">((SUM(F18:AJ18))/8)-(SUMIF($F$6:$AJ$6,"C.Nhật",F18:AJ18)/8)</f>
        <v>26</v>
      </c>
      <c r="AL18" s="215">
        <f t="shared" ref="AL18" si="13">SUM(F19:AJ19)/8*1.5</f>
        <v>0</v>
      </c>
      <c r="AM18" s="217">
        <f>SUMIF($F$6:$AJ$6,"C.Nhật",$F18:$AJ19)/8*2</f>
        <v>0</v>
      </c>
      <c r="AN18" s="219">
        <f t="shared" ref="AN18" si="14">SUM(AK18:AM19)</f>
        <v>26</v>
      </c>
      <c r="AO18" s="221">
        <v>0</v>
      </c>
      <c r="AP18" s="219"/>
      <c r="AQ18" s="219"/>
      <c r="AR18" s="219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26"/>
      <c r="B19" s="226"/>
      <c r="C19" s="228"/>
      <c r="D19" s="224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6"/>
      <c r="AL19" s="216"/>
      <c r="AM19" s="218"/>
      <c r="AN19" s="220"/>
      <c r="AO19" s="222"/>
      <c r="AP19" s="220"/>
      <c r="AQ19" s="220"/>
      <c r="AR19" s="220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25">
        <f t="shared" ref="A20" si="15">A18+1</f>
        <v>4</v>
      </c>
      <c r="B20" s="225" t="s">
        <v>173</v>
      </c>
      <c r="C20" s="227" t="str">
        <f>VLOOKUP(B20,DS,2,0)</f>
        <v>Sơn Thị Nil</v>
      </c>
      <c r="D20" s="223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/>
      <c r="AK20" s="215">
        <f t="shared" ref="AK20" si="16">((SUM(F20:AJ20))/8)-(SUMIF($F$6:$AJ$6,"C.Nhật",F20:AJ20)/8)</f>
        <v>26</v>
      </c>
      <c r="AL20" s="215">
        <f t="shared" ref="AL20" si="17">SUM(F21:AJ21)/8*1.5</f>
        <v>0</v>
      </c>
      <c r="AM20" s="217">
        <f>SUMIF($F$6:$AJ$6,"C.Nhật",$F20:$AJ21)/8*2</f>
        <v>0</v>
      </c>
      <c r="AN20" s="219">
        <f t="shared" ref="AN20" si="18">SUM(AK20:AM21)</f>
        <v>26</v>
      </c>
      <c r="AO20" s="221">
        <v>0</v>
      </c>
      <c r="AP20" s="219"/>
      <c r="AQ20" s="219"/>
      <c r="AR20" s="219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26"/>
      <c r="B21" s="226"/>
      <c r="C21" s="228"/>
      <c r="D21" s="224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6"/>
      <c r="AL21" s="216"/>
      <c r="AM21" s="218"/>
      <c r="AN21" s="220"/>
      <c r="AO21" s="222"/>
      <c r="AP21" s="220"/>
      <c r="AQ21" s="220"/>
      <c r="AR21" s="220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25">
        <f t="shared" ref="A22" si="19">A20+1</f>
        <v>5</v>
      </c>
      <c r="B22" s="225" t="s">
        <v>174</v>
      </c>
      <c r="C22" s="227" t="str">
        <f>VLOOKUP(B22,DS,2,0)</f>
        <v>Huỳnh Thị Bé Tha</v>
      </c>
      <c r="D22" s="223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/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/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/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/>
      <c r="AG22" s="143">
        <v>8</v>
      </c>
      <c r="AH22" s="143">
        <v>8</v>
      </c>
      <c r="AI22" s="143">
        <v>8</v>
      </c>
      <c r="AJ22" s="143"/>
      <c r="AK22" s="215">
        <f t="shared" ref="AK22" si="20">((SUM(F22:AJ22))/8)-(SUMIF($F$6:$AJ$6,"C.Nhật",F22:AJ22)/8)</f>
        <v>26</v>
      </c>
      <c r="AL22" s="215">
        <f t="shared" ref="AL22" si="21">SUM(F23:AJ23)/8*1.5</f>
        <v>0</v>
      </c>
      <c r="AM22" s="217">
        <f>SUMIF($F$6:$AJ$6,"C.Nhật",$F22:$AJ23)/8*2</f>
        <v>0</v>
      </c>
      <c r="AN22" s="219">
        <f t="shared" ref="AN22" si="22">SUM(AK22:AM23)</f>
        <v>26</v>
      </c>
      <c r="AO22" s="221">
        <v>0</v>
      </c>
      <c r="AP22" s="219"/>
      <c r="AQ22" s="219"/>
      <c r="AR22" s="219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26"/>
      <c r="B23" s="226"/>
      <c r="C23" s="228"/>
      <c r="D23" s="224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16"/>
      <c r="AL23" s="216"/>
      <c r="AM23" s="218"/>
      <c r="AN23" s="220"/>
      <c r="AO23" s="222"/>
      <c r="AP23" s="220"/>
      <c r="AQ23" s="220"/>
      <c r="AR23" s="220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25">
        <f t="shared" ref="A24" si="23">A22+1</f>
        <v>6</v>
      </c>
      <c r="B24" s="225" t="s">
        <v>175</v>
      </c>
      <c r="C24" s="227" t="str">
        <f>VLOOKUP(B24,DS,2,0)</f>
        <v>Huỳnh Thị Bé Thi</v>
      </c>
      <c r="D24" s="223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/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/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/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/>
      <c r="AG24" s="143">
        <v>8</v>
      </c>
      <c r="AH24" s="143">
        <v>8</v>
      </c>
      <c r="AI24" s="143">
        <v>8</v>
      </c>
      <c r="AJ24" s="143"/>
      <c r="AK24" s="215">
        <f t="shared" ref="AK24" si="24">((SUM(F24:AJ24))/8)-(SUMIF($F$6:$AJ$6,"C.Nhật",F24:AJ24)/8)</f>
        <v>26</v>
      </c>
      <c r="AL24" s="215">
        <f t="shared" ref="AL24" si="25">SUM(F25:AJ25)/8*1.5</f>
        <v>0</v>
      </c>
      <c r="AM24" s="217">
        <f>SUMIF($F$6:$AJ$6,"C.Nhật",$F24:$AJ25)/8*2</f>
        <v>0</v>
      </c>
      <c r="AN24" s="219">
        <f t="shared" ref="AN24" si="26">SUM(AK24:AM25)</f>
        <v>26</v>
      </c>
      <c r="AO24" s="221">
        <v>0</v>
      </c>
      <c r="AP24" s="219"/>
      <c r="AQ24" s="219"/>
      <c r="AR24" s="219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26"/>
      <c r="B25" s="226"/>
      <c r="C25" s="228"/>
      <c r="D25" s="224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16"/>
      <c r="AL25" s="216"/>
      <c r="AM25" s="218"/>
      <c r="AN25" s="220"/>
      <c r="AO25" s="222"/>
      <c r="AP25" s="220"/>
      <c r="AQ25" s="220"/>
      <c r="AR25" s="220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 F14:AJ25">
    <cfRule type="expression" dxfId="96" priority="5" stopIfTrue="1">
      <formula>IF(WEEKDAY(F$5)=1,TRUE,FALSE)</formula>
    </cfRule>
  </conditionalFormatting>
  <conditionalFormatting sqref="F9:AJ12">
    <cfRule type="expression" dxfId="95" priority="4" stopIfTrue="1">
      <formula>IF(WEEKDAY(F$5)=1,TRUE,FALSE)</formula>
    </cfRule>
  </conditionalFormatting>
  <conditionalFormatting sqref="F14:AJ25">
    <cfRule type="expression" dxfId="94" priority="3" stopIfTrue="1">
      <formula>IF(WEEKDAY(F$5)=1,TRUE,FALSE)</formula>
    </cfRule>
  </conditionalFormatting>
  <conditionalFormatting sqref="F14:AJ25">
    <cfRule type="expression" dxfId="93" priority="2" stopIfTrue="1">
      <formula>IF(WEEKDAY(F$5)=1,TRUE,FALSE)</formula>
    </cfRule>
  </conditionalFormatting>
  <conditionalFormatting sqref="F14:AI25">
    <cfRule type="expression" dxfId="8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4" sqref="F14:AI25"/>
      <selection pane="topRight" activeCell="F14" sqref="F14:AI25"/>
      <selection pane="bottomLeft" activeCell="F14" sqref="F14:AI25"/>
      <selection pane="bottomRight" activeCell="F14" sqref="F14:AI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6" t="str">
        <f>"BẢNG THANH TOÁN LƯƠNG THÁNG"&amp;" "&amp;TEXT($E$4,"mm")&amp;" / "&amp;TEXT($E$4,"yyyy")</f>
        <v>BẢNG THANH TOÁN LƯƠNG THÁNG 11 / 2011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51" t="s">
        <v>157</v>
      </c>
      <c r="S1" s="252"/>
      <c r="T1" s="25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8" t="s">
        <v>19</v>
      </c>
      <c r="B5" s="248" t="s">
        <v>20</v>
      </c>
      <c r="C5" s="203" t="s">
        <v>1</v>
      </c>
      <c r="D5" s="203" t="s">
        <v>2</v>
      </c>
      <c r="E5" s="198" t="s">
        <v>56</v>
      </c>
      <c r="F5" s="239" t="s">
        <v>26</v>
      </c>
      <c r="G5" s="240"/>
      <c r="H5" s="240"/>
      <c r="I5" s="240"/>
      <c r="J5" s="240"/>
      <c r="K5" s="241"/>
      <c r="L5" s="238" t="s">
        <v>57</v>
      </c>
      <c r="M5" s="238" t="s">
        <v>5</v>
      </c>
      <c r="N5" s="203" t="s">
        <v>6</v>
      </c>
      <c r="O5" s="203"/>
      <c r="P5" s="203"/>
      <c r="Q5" s="238" t="s">
        <v>7</v>
      </c>
      <c r="R5" s="238" t="s">
        <v>8</v>
      </c>
      <c r="S5" s="238" t="s">
        <v>9</v>
      </c>
      <c r="T5" s="19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9"/>
      <c r="B6" s="249"/>
      <c r="C6" s="203"/>
      <c r="D6" s="203"/>
      <c r="E6" s="198"/>
      <c r="F6" s="239" t="s">
        <v>59</v>
      </c>
      <c r="G6" s="241"/>
      <c r="H6" s="239" t="s">
        <v>165</v>
      </c>
      <c r="I6" s="240"/>
      <c r="J6" s="243" t="s">
        <v>27</v>
      </c>
      <c r="K6" s="238" t="s">
        <v>4</v>
      </c>
      <c r="L6" s="242"/>
      <c r="M6" s="242"/>
      <c r="N6" s="254" t="s">
        <v>12</v>
      </c>
      <c r="O6" s="238" t="s">
        <v>13</v>
      </c>
      <c r="P6" s="238" t="s">
        <v>34</v>
      </c>
      <c r="Q6" s="242"/>
      <c r="R6" s="242"/>
      <c r="S6" s="242"/>
      <c r="T6" s="20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9"/>
      <c r="B7" s="249"/>
      <c r="C7" s="238"/>
      <c r="D7" s="238"/>
      <c r="E7" s="198"/>
      <c r="F7" s="196" t="s">
        <v>40</v>
      </c>
      <c r="G7" s="193" t="s">
        <v>18</v>
      </c>
      <c r="H7" s="196" t="s">
        <v>40</v>
      </c>
      <c r="I7" s="128" t="s">
        <v>18</v>
      </c>
      <c r="J7" s="244"/>
      <c r="K7" s="242"/>
      <c r="L7" s="250"/>
      <c r="M7" s="250"/>
      <c r="N7" s="255"/>
      <c r="O7" s="242"/>
      <c r="P7" s="242"/>
      <c r="Q7" s="242"/>
      <c r="R7" s="242"/>
      <c r="S7" s="242"/>
      <c r="T7" s="20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161</v>
      </c>
      <c r="B9" s="188" t="s">
        <v>162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168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-11'!$B$8:$AS$25,36,0)</f>
        <v>26</v>
      </c>
      <c r="G10" s="145">
        <f t="shared" ref="G10:G11" si="3">ROUND(E10/$U$2*F10,0)</f>
        <v>4336000</v>
      </c>
      <c r="H10" s="92">
        <f>(VLOOKUP(B10,'CC -11'!$B$8:$AS$25,37,0)+VLOOKUP(B10,'CC -11'!$B$8:$AS$25,38,0))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4336000</v>
      </c>
      <c r="L10" s="90">
        <f t="shared" ref="L10:L11" si="6">+F10*15000</f>
        <v>390000</v>
      </c>
      <c r="M10" s="40">
        <f t="shared" ref="M10:M11" si="7">K10+L10</f>
        <v>4726000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4726000</v>
      </c>
      <c r="R10" s="39">
        <f>VLOOKUP(B10,DS,23,0)</f>
        <v>0</v>
      </c>
      <c r="S10" s="45">
        <f t="shared" ref="S10:S11" si="9">Q10-R10</f>
        <v>4726000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169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-11'!$B$8:$AS$25,36,0)</f>
        <v>26</v>
      </c>
      <c r="G11" s="145">
        <f t="shared" si="3"/>
        <v>4056000</v>
      </c>
      <c r="H11" s="92">
        <f>(VLOOKUP(B11,'CC -11'!$B$8:$AS$25,37,0)+VLOOKUP(B11,'CC -11'!$B$8:$AS$25,38,0))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4056000</v>
      </c>
      <c r="L11" s="90">
        <f t="shared" si="6"/>
        <v>390000</v>
      </c>
      <c r="M11" s="40">
        <f t="shared" si="7"/>
        <v>4446000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4446000</v>
      </c>
      <c r="R11" s="39">
        <f>VLOOKUP(B11,DS,23,0)</f>
        <v>0</v>
      </c>
      <c r="S11" s="45">
        <f t="shared" si="9"/>
        <v>4446000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163</v>
      </c>
      <c r="B12" s="188" t="s">
        <v>164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170</v>
      </c>
      <c r="C13" s="89" t="str">
        <f t="shared" ref="C13:C18" si="10">VLOOKUP(B13,DS,2,0)</f>
        <v xml:space="preserve"> Lâm Thị Mộng Kiều </v>
      </c>
      <c r="D13" s="116" t="str">
        <f t="shared" ref="D13:D18" si="11">VLOOKUP(B13,DS,3,0)</f>
        <v>Công nhân</v>
      </c>
      <c r="E13" s="90">
        <f t="shared" ref="E13:E18" si="12">VLOOKUP(B13,DS,4,0)</f>
        <v>3549000</v>
      </c>
      <c r="F13" s="92">
        <f>VLOOKUP(B13,'CC -11'!$B$8:$AS$25,36,0)</f>
        <v>26</v>
      </c>
      <c r="G13" s="145">
        <f t="shared" ref="G13:G18" si="13">ROUND(E13/$U$2*F13,0)</f>
        <v>3549000</v>
      </c>
      <c r="H13" s="92">
        <f>(VLOOKUP(B13,'CC -11'!$B$8:$AS$25,37,0)+VLOOKUP(B13,'CC -11'!$B$8:$AS$25,38,0))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3549000</v>
      </c>
      <c r="L13" s="90">
        <f t="shared" ref="L13:L18" si="16">+F13*15000</f>
        <v>390000</v>
      </c>
      <c r="M13" s="40">
        <f t="shared" ref="M13:M18" si="17">K13+L13</f>
        <v>3939000</v>
      </c>
      <c r="N13" s="40">
        <f>IF(VLOOKUP(B13,DS,9,0)="x",'L - 11'!E13*$N$4,0)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3939000</v>
      </c>
      <c r="R13" s="39">
        <f t="shared" ref="R13:R18" si="20">VLOOKUP(B13,DS,23,0)</f>
        <v>0</v>
      </c>
      <c r="S13" s="45">
        <f>Q13-R13</f>
        <v>3939000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171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-11'!$B$8:$AS$25,36,0)</f>
        <v>26</v>
      </c>
      <c r="G14" s="145">
        <f t="shared" si="13"/>
        <v>3317000</v>
      </c>
      <c r="H14" s="92">
        <f>(VLOOKUP(B14,'CC -11'!$B$8:$AS$25,37,0)+VLOOKUP(B14,'CC -11'!$B$8:$AS$25,38,0))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3317000</v>
      </c>
      <c r="L14" s="90">
        <f t="shared" si="16"/>
        <v>390000</v>
      </c>
      <c r="M14" s="40">
        <f t="shared" si="17"/>
        <v>3707000</v>
      </c>
      <c r="N14" s="40">
        <f>IF(VLOOKUP(B14,DS,9,0)="x",'L - 11'!E14*$N$4,0)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3707000</v>
      </c>
      <c r="R14" s="39">
        <f t="shared" si="20"/>
        <v>0</v>
      </c>
      <c r="S14" s="45">
        <f t="shared" ref="S14:S18" si="22">Q14-R14</f>
        <v>3707000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172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-11'!$B$8:$AS$25,36,0)</f>
        <v>26</v>
      </c>
      <c r="G15" s="145">
        <f t="shared" si="13"/>
        <v>3317000</v>
      </c>
      <c r="H15" s="92">
        <f>(VLOOKUP(B15,'CC -11'!$B$8:$AS$25,37,0)+VLOOKUP(B15,'CC -11'!$B$8:$AS$25,38,0))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3317000</v>
      </c>
      <c r="L15" s="90">
        <f t="shared" si="16"/>
        <v>390000</v>
      </c>
      <c r="M15" s="40">
        <f t="shared" si="17"/>
        <v>3707000</v>
      </c>
      <c r="N15" s="40">
        <f>IF(VLOOKUP(B15,DS,9,0)="x",'L - 11'!E15*$N$4,0)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3707000</v>
      </c>
      <c r="R15" s="39">
        <f t="shared" si="20"/>
        <v>0</v>
      </c>
      <c r="S15" s="45">
        <f t="shared" si="22"/>
        <v>3707000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173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-11'!$B$8:$AS$25,36,0)</f>
        <v>26</v>
      </c>
      <c r="G16" s="145">
        <f t="shared" si="13"/>
        <v>3317000</v>
      </c>
      <c r="H16" s="92">
        <f>(VLOOKUP(B16,'CC -11'!$B$8:$AS$25,37,0)+VLOOKUP(B16,'CC -11'!$B$8:$AS$25,38,0))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3317000</v>
      </c>
      <c r="L16" s="90">
        <f t="shared" si="16"/>
        <v>390000</v>
      </c>
      <c r="M16" s="40">
        <f t="shared" si="17"/>
        <v>3707000</v>
      </c>
      <c r="N16" s="40">
        <f>IF(VLOOKUP(B16,DS,9,0)="x",'L - 11'!E16*$N$4,0)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3707000</v>
      </c>
      <c r="R16" s="39">
        <f t="shared" si="20"/>
        <v>0</v>
      </c>
      <c r="S16" s="45">
        <f t="shared" si="22"/>
        <v>3707000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174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-11'!$B$8:$AS$25,36,0)</f>
        <v>26</v>
      </c>
      <c r="G17" s="145">
        <f t="shared" si="13"/>
        <v>3317000</v>
      </c>
      <c r="H17" s="92">
        <f>(VLOOKUP(B17,'CC -11'!$B$8:$AS$25,37,0)+VLOOKUP(B17,'CC -11'!$B$8:$AS$25,38,0))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3317000</v>
      </c>
      <c r="L17" s="90">
        <f t="shared" si="16"/>
        <v>390000</v>
      </c>
      <c r="M17" s="40">
        <f t="shared" si="17"/>
        <v>3707000</v>
      </c>
      <c r="N17" s="40">
        <f>IF(VLOOKUP(B17,DS,9,0)="x",'L - 11'!E17*$N$4,0)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3707000</v>
      </c>
      <c r="R17" s="39">
        <f t="shared" si="20"/>
        <v>0</v>
      </c>
      <c r="S17" s="45">
        <f t="shared" si="22"/>
        <v>3707000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175</v>
      </c>
      <c r="C18" s="89" t="str">
        <f t="shared" si="10"/>
        <v>Huỳnh Thị Bé Thi</v>
      </c>
      <c r="D18" s="116" t="str">
        <f t="shared" si="11"/>
        <v>Công nhân</v>
      </c>
      <c r="E18" s="90">
        <f t="shared" si="12"/>
        <v>3317000</v>
      </c>
      <c r="F18" s="92">
        <f>VLOOKUP(B18,'CC -11'!$B$8:$AS$25,36,0)</f>
        <v>26</v>
      </c>
      <c r="G18" s="145">
        <f t="shared" si="13"/>
        <v>3317000</v>
      </c>
      <c r="H18" s="92">
        <f>(VLOOKUP(B18,'CC -11'!$B$8:$AS$25,37,0)+VLOOKUP(B18,'CC -11'!$B$8:$AS$25,38,0))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3317000</v>
      </c>
      <c r="L18" s="90">
        <f t="shared" si="16"/>
        <v>390000</v>
      </c>
      <c r="M18" s="40">
        <f t="shared" si="17"/>
        <v>3707000</v>
      </c>
      <c r="N18" s="40">
        <f>IF(VLOOKUP(B18,DS,9,0)="x",'L - 11'!E18*$N$4,0)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3707000</v>
      </c>
      <c r="R18" s="39">
        <f t="shared" si="20"/>
        <v>0</v>
      </c>
      <c r="S18" s="45">
        <f t="shared" si="22"/>
        <v>3707000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5" t="s">
        <v>25</v>
      </c>
      <c r="B20" s="245"/>
      <c r="C20" s="245"/>
      <c r="D20" s="245"/>
      <c r="E20" s="140">
        <f>SUM(E10:E19)</f>
        <v>28526000</v>
      </c>
      <c r="F20" s="140"/>
      <c r="G20" s="140">
        <f>SUM(G10:G19)</f>
        <v>28526000</v>
      </c>
      <c r="H20" s="140"/>
      <c r="I20" s="140">
        <f>SUM(I10:I19)</f>
        <v>0</v>
      </c>
      <c r="J20" s="26"/>
      <c r="K20" s="26">
        <f t="shared" ref="K20:S20" si="23">SUM(K10:K19)</f>
        <v>28526000</v>
      </c>
      <c r="L20" s="26">
        <f t="shared" si="23"/>
        <v>3120000</v>
      </c>
      <c r="M20" s="26">
        <f t="shared" si="23"/>
        <v>31646000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31646000</v>
      </c>
      <c r="R20" s="26">
        <f t="shared" si="23"/>
        <v>0</v>
      </c>
      <c r="S20" s="26">
        <f t="shared" si="23"/>
        <v>31646000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30   tháng   11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O6:O7"/>
    <mergeCell ref="P6:P7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3" activePane="bottomRight" state="frozen"/>
      <selection activeCell="E5" sqref="E5:E7"/>
      <selection pane="topRight" activeCell="E5" sqref="E5:E7"/>
      <selection pane="bottomLeft" activeCell="E5" sqref="E5:E7"/>
      <selection pane="bottomRight" activeCell="F14" sqref="F14:AJ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10" t="s">
        <v>158</v>
      </c>
      <c r="AN1" s="211"/>
      <c r="AO1" s="211"/>
      <c r="AP1" s="211"/>
      <c r="AQ1" s="211"/>
      <c r="AR1" s="211"/>
      <c r="AS1" s="21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29" t="s">
        <v>28</v>
      </c>
      <c r="B5" s="229" t="s">
        <v>3</v>
      </c>
      <c r="C5" s="229" t="s">
        <v>1</v>
      </c>
      <c r="D5" s="231" t="s">
        <v>29</v>
      </c>
      <c r="E5" s="229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34" t="s">
        <v>15</v>
      </c>
      <c r="AL5" s="235"/>
      <c r="AM5" s="236"/>
      <c r="AN5" s="232" t="s">
        <v>45</v>
      </c>
      <c r="AO5" s="232" t="s">
        <v>41</v>
      </c>
      <c r="AP5" s="232" t="s">
        <v>42</v>
      </c>
      <c r="AQ5" s="232" t="s">
        <v>43</v>
      </c>
      <c r="AR5" s="232" t="s">
        <v>44</v>
      </c>
      <c r="AS5" s="231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0"/>
      <c r="B6" s="230"/>
      <c r="C6" s="230"/>
      <c r="D6" s="230"/>
      <c r="E6" s="230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33"/>
      <c r="AO6" s="233"/>
      <c r="AP6" s="233"/>
      <c r="AQ6" s="233"/>
      <c r="AR6" s="233"/>
      <c r="AS6" s="230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161</v>
      </c>
      <c r="B8" s="182" t="s">
        <v>162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25">
        <v>1</v>
      </c>
      <c r="B9" s="225" t="s">
        <v>168</v>
      </c>
      <c r="C9" s="227" t="str">
        <f>VLOOKUP(B9,DS,2,0)</f>
        <v>Mai Út Hiền</v>
      </c>
      <c r="D9" s="223" t="str">
        <f>VLOOKUP(B9,DS,3,0)</f>
        <v>Cơ Điện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15">
        <f>((SUM(F9:AJ9))/8)-(SUMIF($F$6:$AJ$6,"C.Nhật",F9:AJ9)/8)</f>
        <v>27</v>
      </c>
      <c r="AL9" s="215">
        <f>SUM(F10:AJ10)/8*1.5</f>
        <v>0</v>
      </c>
      <c r="AM9" s="217">
        <f>SUMIF($F$6:$AJ$6,"C.Nhật",$F9:$AJ10)/8*2</f>
        <v>0</v>
      </c>
      <c r="AN9" s="219">
        <f>SUM(AK9:AM10)</f>
        <v>27</v>
      </c>
      <c r="AO9" s="221">
        <v>0</v>
      </c>
      <c r="AP9" s="219"/>
      <c r="AQ9" s="219"/>
      <c r="AR9" s="219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26"/>
      <c r="B10" s="226"/>
      <c r="C10" s="228"/>
      <c r="D10" s="224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6"/>
      <c r="AL10" s="216"/>
      <c r="AM10" s="218"/>
      <c r="AN10" s="220"/>
      <c r="AO10" s="222"/>
      <c r="AP10" s="220"/>
      <c r="AQ10" s="220"/>
      <c r="AR10" s="220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25">
        <f>A9+1</f>
        <v>2</v>
      </c>
      <c r="B11" s="225" t="s">
        <v>169</v>
      </c>
      <c r="C11" s="227" t="str">
        <f>VLOOKUP(B11,DS,2,0)</f>
        <v>Nguyễn Thị Xuân Thảo</v>
      </c>
      <c r="D11" s="223" t="str">
        <f>VLOOKUP(B11,DS,3,0)</f>
        <v>KCS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15">
        <f t="shared" ref="AK11" si="2">((SUM(F11:AJ11))/8)-(SUMIF($F$6:$AJ$6,"C.Nhật",F11:AJ11)/8)</f>
        <v>27</v>
      </c>
      <c r="AL11" s="215">
        <f t="shared" ref="AL11" si="3">SUM(F12:AJ12)/8*1.5</f>
        <v>0</v>
      </c>
      <c r="AM11" s="217">
        <f t="shared" ref="AM11" si="4">SUMIF($F$6:$AJ$6,"C.Nhật",$F11:$AJ12)/8*2</f>
        <v>0</v>
      </c>
      <c r="AN11" s="219">
        <f t="shared" ref="AN11" si="5">SUM(AK11:AM12)</f>
        <v>27</v>
      </c>
      <c r="AO11" s="221">
        <v>0</v>
      </c>
      <c r="AP11" s="219"/>
      <c r="AQ11" s="219"/>
      <c r="AR11" s="219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26"/>
      <c r="B12" s="226"/>
      <c r="C12" s="228"/>
      <c r="D12" s="224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6"/>
      <c r="AL12" s="216"/>
      <c r="AM12" s="218"/>
      <c r="AN12" s="220"/>
      <c r="AO12" s="222"/>
      <c r="AP12" s="220"/>
      <c r="AQ12" s="220"/>
      <c r="AR12" s="220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163</v>
      </c>
      <c r="B13" s="182" t="s">
        <v>167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25">
        <v>1</v>
      </c>
      <c r="B14" s="225" t="s">
        <v>170</v>
      </c>
      <c r="C14" s="227" t="str">
        <f>VLOOKUP(B14,DS,2,0)</f>
        <v xml:space="preserve"> Lâm Thị Mộng Kiều </v>
      </c>
      <c r="D14" s="223" t="str">
        <f>VLOOKUP(B14,DS,3,0)</f>
        <v>Công nhân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15">
        <f t="shared" ref="AK14" si="6">((SUM(F14:AJ14))/8)-(SUMIF($F$6:$AJ$6,"C.Nhật",F14:AJ14)/8)</f>
        <v>27</v>
      </c>
      <c r="AL14" s="215">
        <f t="shared" ref="AL14" si="7">SUM(F15:AJ15)/8*1.5</f>
        <v>0</v>
      </c>
      <c r="AM14" s="217">
        <f>SUMIF($F$6:$AJ$6,"C.Nhật",$F14:$AJ15)/8*2</f>
        <v>0</v>
      </c>
      <c r="AN14" s="219">
        <f>SUM(AK14:AM15)</f>
        <v>27</v>
      </c>
      <c r="AO14" s="221">
        <v>0</v>
      </c>
      <c r="AP14" s="219"/>
      <c r="AQ14" s="219"/>
      <c r="AR14" s="219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26"/>
      <c r="B15" s="226"/>
      <c r="C15" s="228"/>
      <c r="D15" s="224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16"/>
      <c r="AL15" s="216"/>
      <c r="AM15" s="218"/>
      <c r="AN15" s="220"/>
      <c r="AO15" s="222"/>
      <c r="AP15" s="220"/>
      <c r="AQ15" s="220"/>
      <c r="AR15" s="220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25">
        <f>A14+1</f>
        <v>2</v>
      </c>
      <c r="B16" s="225" t="s">
        <v>171</v>
      </c>
      <c r="C16" s="227" t="str">
        <f>VLOOKUP(B16,DS,2,0)</f>
        <v>Huỳnh Thị Hường</v>
      </c>
      <c r="D16" s="223" t="str">
        <f>VLOOKUP(B16,DS,3,0)</f>
        <v>Công nhân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15">
        <f t="shared" ref="AK16" si="8">((SUM(F16:AJ16))/8)-(SUMIF($F$6:$AJ$6,"C.Nhật",F16:AJ16)/8)</f>
        <v>27</v>
      </c>
      <c r="AL16" s="215">
        <f t="shared" ref="AL16" si="9">SUM(F17:AJ17)/8*1.5</f>
        <v>0</v>
      </c>
      <c r="AM16" s="217">
        <f>SUMIF($F$6:$AJ$6,"C.Nhật",$F16:$AJ17)/8*2</f>
        <v>0</v>
      </c>
      <c r="AN16" s="219">
        <f t="shared" ref="AN16" si="10">SUM(AK16:AM17)</f>
        <v>27</v>
      </c>
      <c r="AO16" s="221">
        <v>0</v>
      </c>
      <c r="AP16" s="219"/>
      <c r="AQ16" s="219"/>
      <c r="AR16" s="219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26"/>
      <c r="B17" s="226"/>
      <c r="C17" s="228"/>
      <c r="D17" s="224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6"/>
      <c r="AL17" s="216"/>
      <c r="AM17" s="218"/>
      <c r="AN17" s="220"/>
      <c r="AO17" s="222"/>
      <c r="AP17" s="220"/>
      <c r="AQ17" s="220"/>
      <c r="AR17" s="220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25">
        <f t="shared" ref="A18" si="11">A16+1</f>
        <v>3</v>
      </c>
      <c r="B18" s="225" t="s">
        <v>172</v>
      </c>
      <c r="C18" s="227" t="str">
        <f>VLOOKUP(B18,DS,2,0)</f>
        <v>Nguyễn Thị Rong</v>
      </c>
      <c r="D18" s="223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15">
        <f t="shared" ref="AK18" si="12">((SUM(F18:AJ18))/8)-(SUMIF($F$6:$AJ$6,"C.Nhật",F18:AJ18)/8)</f>
        <v>27</v>
      </c>
      <c r="AL18" s="215">
        <f t="shared" ref="AL18" si="13">SUM(F19:AJ19)/8*1.5</f>
        <v>0</v>
      </c>
      <c r="AM18" s="217">
        <f>SUMIF($F$6:$AJ$6,"C.Nhật",$F18:$AJ19)/8*2</f>
        <v>0</v>
      </c>
      <c r="AN18" s="219">
        <f t="shared" ref="AN18" si="14">SUM(AK18:AM19)</f>
        <v>27</v>
      </c>
      <c r="AO18" s="221">
        <v>0</v>
      </c>
      <c r="AP18" s="219"/>
      <c r="AQ18" s="219"/>
      <c r="AR18" s="219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26"/>
      <c r="B19" s="226"/>
      <c r="C19" s="228"/>
      <c r="D19" s="224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6"/>
      <c r="AL19" s="216"/>
      <c r="AM19" s="218"/>
      <c r="AN19" s="220"/>
      <c r="AO19" s="222"/>
      <c r="AP19" s="220"/>
      <c r="AQ19" s="220"/>
      <c r="AR19" s="220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25">
        <f t="shared" ref="A20" si="15">A18+1</f>
        <v>4</v>
      </c>
      <c r="B20" s="225" t="s">
        <v>173</v>
      </c>
      <c r="C20" s="227" t="str">
        <f>VLOOKUP(B20,DS,2,0)</f>
        <v>Sơn Thị Nil</v>
      </c>
      <c r="D20" s="223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>
        <v>8</v>
      </c>
      <c r="AK20" s="215">
        <f t="shared" ref="AK20" si="16">((SUM(F20:AJ20))/8)-(SUMIF($F$6:$AJ$6,"C.Nhật",F20:AJ20)/8)</f>
        <v>27</v>
      </c>
      <c r="AL20" s="215">
        <f t="shared" ref="AL20" si="17">SUM(F21:AJ21)/8*1.5</f>
        <v>0</v>
      </c>
      <c r="AM20" s="217">
        <f>SUMIF($F$6:$AJ$6,"C.Nhật",$F20:$AJ21)/8*2</f>
        <v>0</v>
      </c>
      <c r="AN20" s="219">
        <f t="shared" ref="AN20" si="18">SUM(AK20:AM21)</f>
        <v>27</v>
      </c>
      <c r="AO20" s="221">
        <v>0</v>
      </c>
      <c r="AP20" s="219"/>
      <c r="AQ20" s="219"/>
      <c r="AR20" s="219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26"/>
      <c r="B21" s="226"/>
      <c r="C21" s="228"/>
      <c r="D21" s="224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6"/>
      <c r="AL21" s="216"/>
      <c r="AM21" s="218"/>
      <c r="AN21" s="220"/>
      <c r="AO21" s="222"/>
      <c r="AP21" s="220"/>
      <c r="AQ21" s="220"/>
      <c r="AR21" s="220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25">
        <f t="shared" ref="A22" si="19">A20+1</f>
        <v>5</v>
      </c>
      <c r="B22" s="225" t="s">
        <v>174</v>
      </c>
      <c r="C22" s="227" t="str">
        <f>VLOOKUP(B22,DS,2,0)</f>
        <v>Huỳnh Thị Bé Tha</v>
      </c>
      <c r="D22" s="223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>
        <v>8</v>
      </c>
      <c r="AK22" s="215">
        <f t="shared" ref="AK22" si="20">((SUM(F22:AJ22))/8)-(SUMIF($F$6:$AJ$6,"C.Nhật",F22:AJ22)/8)</f>
        <v>27</v>
      </c>
      <c r="AL22" s="215">
        <f t="shared" ref="AL22" si="21">SUM(F23:AJ23)/8*1.5</f>
        <v>0</v>
      </c>
      <c r="AM22" s="217">
        <f>SUMIF($F$6:$AJ$6,"C.Nhật",$F22:$AJ23)/8*2</f>
        <v>0</v>
      </c>
      <c r="AN22" s="219">
        <f t="shared" ref="AN22" si="22">SUM(AK22:AM23)</f>
        <v>27</v>
      </c>
      <c r="AO22" s="221">
        <v>0</v>
      </c>
      <c r="AP22" s="219"/>
      <c r="AQ22" s="219"/>
      <c r="AR22" s="219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26"/>
      <c r="B23" s="226"/>
      <c r="C23" s="228"/>
      <c r="D23" s="224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16"/>
      <c r="AL23" s="216"/>
      <c r="AM23" s="218"/>
      <c r="AN23" s="220"/>
      <c r="AO23" s="222"/>
      <c r="AP23" s="220"/>
      <c r="AQ23" s="220"/>
      <c r="AR23" s="220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25">
        <f t="shared" ref="A24" si="23">A22+1</f>
        <v>6</v>
      </c>
      <c r="B24" s="225" t="s">
        <v>175</v>
      </c>
      <c r="C24" s="227" t="str">
        <f>VLOOKUP(B24,DS,2,0)</f>
        <v>Huỳnh Thị Bé Thi</v>
      </c>
      <c r="D24" s="223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>
        <v>8</v>
      </c>
      <c r="AK24" s="215">
        <f t="shared" ref="AK24" si="24">((SUM(F24:AJ24))/8)-(SUMIF($F$6:$AJ$6,"C.Nhật",F24:AJ24)/8)</f>
        <v>27</v>
      </c>
      <c r="AL24" s="215">
        <f t="shared" ref="AL24" si="25">SUM(F25:AJ25)/8*1.5</f>
        <v>0</v>
      </c>
      <c r="AM24" s="217">
        <f>SUMIF($F$6:$AJ$6,"C.Nhật",$F24:$AJ25)/8*2</f>
        <v>0</v>
      </c>
      <c r="AN24" s="219">
        <f t="shared" ref="AN24" si="26">SUM(AK24:AM25)</f>
        <v>27</v>
      </c>
      <c r="AO24" s="221">
        <v>0</v>
      </c>
      <c r="AP24" s="219"/>
      <c r="AQ24" s="219"/>
      <c r="AR24" s="219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26"/>
      <c r="B25" s="226"/>
      <c r="C25" s="228"/>
      <c r="D25" s="224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16"/>
      <c r="AL25" s="216"/>
      <c r="AM25" s="218"/>
      <c r="AN25" s="220"/>
      <c r="AO25" s="222"/>
      <c r="AP25" s="220"/>
      <c r="AQ25" s="220"/>
      <c r="AR25" s="220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2 F14:AJ25">
    <cfRule type="expression" dxfId="109" priority="4" stopIfTrue="1">
      <formula>IF(WEEKDAY(F$5)=1,TRUE,FALSE)</formula>
    </cfRule>
  </conditionalFormatting>
  <conditionalFormatting sqref="F9:AJ12">
    <cfRule type="expression" dxfId="108" priority="3" stopIfTrue="1">
      <formula>IF(WEEKDAY(F$5)=1,TRUE,FALSE)</formula>
    </cfRule>
  </conditionalFormatting>
  <conditionalFormatting sqref="F14:AJ25">
    <cfRule type="expression" dxfId="107" priority="2" stopIfTrue="1">
      <formula>IF(WEEKDAY(F$5)=1,TRUE,FALSE)</formula>
    </cfRule>
  </conditionalFormatting>
  <conditionalFormatting sqref="F14:AJ25">
    <cfRule type="expression" dxfId="9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F14" sqref="F14:AJ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6" t="str">
        <f>"BẢNG THANH TOÁN LƯƠNG THÁNG"&amp;" "&amp;TEXT($E$4,"mm")&amp;" / "&amp;TEXT($E$4,"yyyy")</f>
        <v>BẢNG THANH TOÁN LƯƠNG THÁNG 12 / 2011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51" t="s">
        <v>157</v>
      </c>
      <c r="S1" s="252"/>
      <c r="T1" s="25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8" t="s">
        <v>19</v>
      </c>
      <c r="B5" s="248" t="s">
        <v>20</v>
      </c>
      <c r="C5" s="203" t="s">
        <v>1</v>
      </c>
      <c r="D5" s="203" t="s">
        <v>2</v>
      </c>
      <c r="E5" s="198" t="s">
        <v>56</v>
      </c>
      <c r="F5" s="239" t="s">
        <v>26</v>
      </c>
      <c r="G5" s="240"/>
      <c r="H5" s="240"/>
      <c r="I5" s="240"/>
      <c r="J5" s="240"/>
      <c r="K5" s="241"/>
      <c r="L5" s="238" t="s">
        <v>57</v>
      </c>
      <c r="M5" s="238" t="s">
        <v>5</v>
      </c>
      <c r="N5" s="203" t="s">
        <v>6</v>
      </c>
      <c r="O5" s="203"/>
      <c r="P5" s="203"/>
      <c r="Q5" s="238" t="s">
        <v>7</v>
      </c>
      <c r="R5" s="238" t="s">
        <v>8</v>
      </c>
      <c r="S5" s="238" t="s">
        <v>9</v>
      </c>
      <c r="T5" s="19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9"/>
      <c r="B6" s="249"/>
      <c r="C6" s="203"/>
      <c r="D6" s="203"/>
      <c r="E6" s="198"/>
      <c r="F6" s="239" t="s">
        <v>59</v>
      </c>
      <c r="G6" s="241"/>
      <c r="H6" s="239" t="s">
        <v>165</v>
      </c>
      <c r="I6" s="240"/>
      <c r="J6" s="243" t="s">
        <v>27</v>
      </c>
      <c r="K6" s="238" t="s">
        <v>4</v>
      </c>
      <c r="L6" s="242"/>
      <c r="M6" s="242"/>
      <c r="N6" s="254" t="s">
        <v>12</v>
      </c>
      <c r="O6" s="238" t="s">
        <v>13</v>
      </c>
      <c r="P6" s="238" t="s">
        <v>34</v>
      </c>
      <c r="Q6" s="242"/>
      <c r="R6" s="242"/>
      <c r="S6" s="242"/>
      <c r="T6" s="20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9"/>
      <c r="B7" s="249"/>
      <c r="C7" s="238"/>
      <c r="D7" s="238"/>
      <c r="E7" s="198"/>
      <c r="F7" s="196" t="s">
        <v>40</v>
      </c>
      <c r="G7" s="193" t="s">
        <v>18</v>
      </c>
      <c r="H7" s="196" t="s">
        <v>40</v>
      </c>
      <c r="I7" s="128" t="s">
        <v>18</v>
      </c>
      <c r="J7" s="244"/>
      <c r="K7" s="242"/>
      <c r="L7" s="250"/>
      <c r="M7" s="250"/>
      <c r="N7" s="255"/>
      <c r="O7" s="242"/>
      <c r="P7" s="242"/>
      <c r="Q7" s="242"/>
      <c r="R7" s="242"/>
      <c r="S7" s="242"/>
      <c r="T7" s="20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161</v>
      </c>
      <c r="B9" s="188" t="s">
        <v>162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168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-12'!$B$8:$AS$25,36,0)</f>
        <v>27</v>
      </c>
      <c r="G10" s="145">
        <f t="shared" ref="G10:G11" si="3">ROUND(E10/$U$2*F10,0)</f>
        <v>4336000</v>
      </c>
      <c r="H10" s="92">
        <f>(VLOOKUP(B10,'CC -12'!$B$8:$AS$25,37,0)+VLOOKUP(B10,'CC -12'!$B$8:$AS$25,38,0))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4336000</v>
      </c>
      <c r="L10" s="90">
        <f t="shared" ref="L10:L11" si="6">+F10*15000</f>
        <v>405000</v>
      </c>
      <c r="M10" s="40">
        <f t="shared" ref="M10:M11" si="7">K10+L10</f>
        <v>4741000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4741000</v>
      </c>
      <c r="R10" s="39">
        <f>VLOOKUP(B10,DS,23,0)</f>
        <v>0</v>
      </c>
      <c r="S10" s="45">
        <f t="shared" ref="S10:S11" si="9">Q10-R10</f>
        <v>4741000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169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-12'!$B$8:$AS$25,36,0)</f>
        <v>27</v>
      </c>
      <c r="G11" s="145">
        <f t="shared" si="3"/>
        <v>4056000</v>
      </c>
      <c r="H11" s="92">
        <f>(VLOOKUP(B11,'CC -12'!$B$8:$AS$25,37,0)+VLOOKUP(B11,'CC -12'!$B$8:$AS$25,38,0))</f>
        <v>0</v>
      </c>
      <c r="I11" s="145">
        <f t="shared" si="4"/>
        <v>0</v>
      </c>
      <c r="J11" s="93">
        <f t="shared" si="5"/>
        <v>27</v>
      </c>
      <c r="K11" s="39">
        <f t="shared" si="5"/>
        <v>4056000</v>
      </c>
      <c r="L11" s="90">
        <f t="shared" si="6"/>
        <v>405000</v>
      </c>
      <c r="M11" s="40">
        <f t="shared" si="7"/>
        <v>4461000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4461000</v>
      </c>
      <c r="R11" s="39">
        <f>VLOOKUP(B11,DS,23,0)</f>
        <v>0</v>
      </c>
      <c r="S11" s="45">
        <f t="shared" si="9"/>
        <v>4461000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163</v>
      </c>
      <c r="B12" s="188" t="s">
        <v>164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170</v>
      </c>
      <c r="C13" s="89" t="str">
        <f t="shared" ref="C13:C18" si="10">VLOOKUP(B13,DS,2,0)</f>
        <v xml:space="preserve"> Lâm Thị Mộng Kiều </v>
      </c>
      <c r="D13" s="116" t="str">
        <f t="shared" ref="D13:D18" si="11">VLOOKUP(B13,DS,3,0)</f>
        <v>Công nhân</v>
      </c>
      <c r="E13" s="90">
        <f t="shared" ref="E13:E18" si="12">VLOOKUP(B13,DS,4,0)</f>
        <v>3549000</v>
      </c>
      <c r="F13" s="92">
        <f>VLOOKUP(B13,'CC -12'!$B$8:$AS$25,36,0)</f>
        <v>27</v>
      </c>
      <c r="G13" s="145">
        <f t="shared" ref="G13:G18" si="13">ROUND(E13/$U$2*F13,0)</f>
        <v>3549000</v>
      </c>
      <c r="H13" s="92">
        <f>(VLOOKUP(B13,'CC -12'!$B$8:$AS$25,37,0)+VLOOKUP(B13,'CC -12'!$B$8:$AS$25,38,0))</f>
        <v>0</v>
      </c>
      <c r="I13" s="145">
        <f t="shared" ref="I13:I18" si="14">ROUND(E13/$U$2*H13,0)</f>
        <v>0</v>
      </c>
      <c r="J13" s="146">
        <f t="shared" ref="J13:K18" si="15">F13+H13</f>
        <v>27</v>
      </c>
      <c r="K13" s="39">
        <f t="shared" si="15"/>
        <v>3549000</v>
      </c>
      <c r="L13" s="90">
        <f t="shared" ref="L13:L18" si="16">+F13*15000</f>
        <v>405000</v>
      </c>
      <c r="M13" s="40">
        <f t="shared" ref="M13:M18" si="17">K13+L13</f>
        <v>3954000</v>
      </c>
      <c r="N13" s="40">
        <f>IF(VLOOKUP(B13,DS,9,0)="x",'L - 12'!E13*$N$4,0)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3954000</v>
      </c>
      <c r="R13" s="39">
        <f t="shared" ref="R13:R18" si="20">VLOOKUP(B13,DS,23,0)</f>
        <v>0</v>
      </c>
      <c r="S13" s="45">
        <f>Q13-R13</f>
        <v>3954000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171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-12'!$B$8:$AS$25,36,0)</f>
        <v>27</v>
      </c>
      <c r="G14" s="145">
        <f t="shared" si="13"/>
        <v>3317000</v>
      </c>
      <c r="H14" s="92">
        <f>(VLOOKUP(B14,'CC -12'!$B$8:$AS$25,37,0)+VLOOKUP(B14,'CC -12'!$B$8:$AS$25,38,0))</f>
        <v>0</v>
      </c>
      <c r="I14" s="145">
        <f t="shared" si="14"/>
        <v>0</v>
      </c>
      <c r="J14" s="146">
        <f t="shared" si="15"/>
        <v>27</v>
      </c>
      <c r="K14" s="39">
        <f t="shared" si="15"/>
        <v>3317000</v>
      </c>
      <c r="L14" s="90">
        <f t="shared" si="16"/>
        <v>405000</v>
      </c>
      <c r="M14" s="40">
        <f t="shared" si="17"/>
        <v>3722000</v>
      </c>
      <c r="N14" s="40">
        <f>IF(VLOOKUP(B14,DS,9,0)="x",'L - 12'!E14*$N$4,0)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3722000</v>
      </c>
      <c r="R14" s="39">
        <f t="shared" si="20"/>
        <v>0</v>
      </c>
      <c r="S14" s="45">
        <f t="shared" ref="S14:S18" si="22">Q14-R14</f>
        <v>3722000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172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-12'!$B$8:$AS$25,36,0)</f>
        <v>27</v>
      </c>
      <c r="G15" s="145">
        <f t="shared" si="13"/>
        <v>3317000</v>
      </c>
      <c r="H15" s="92">
        <f>(VLOOKUP(B15,'CC -12'!$B$8:$AS$25,37,0)+VLOOKUP(B15,'CC -12'!$B$8:$AS$25,38,0))</f>
        <v>0</v>
      </c>
      <c r="I15" s="145">
        <f t="shared" si="14"/>
        <v>0</v>
      </c>
      <c r="J15" s="146">
        <f t="shared" si="15"/>
        <v>27</v>
      </c>
      <c r="K15" s="39">
        <f t="shared" si="15"/>
        <v>3317000</v>
      </c>
      <c r="L15" s="90">
        <f t="shared" si="16"/>
        <v>405000</v>
      </c>
      <c r="M15" s="40">
        <f t="shared" si="17"/>
        <v>3722000</v>
      </c>
      <c r="N15" s="40">
        <f>IF(VLOOKUP(B15,DS,9,0)="x",'L - 12'!E15*$N$4,0)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3722000</v>
      </c>
      <c r="R15" s="39">
        <f t="shared" si="20"/>
        <v>0</v>
      </c>
      <c r="S15" s="45">
        <f t="shared" si="22"/>
        <v>3722000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173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-12'!$B$8:$AS$25,36,0)</f>
        <v>27</v>
      </c>
      <c r="G16" s="145">
        <f t="shared" si="13"/>
        <v>3317000</v>
      </c>
      <c r="H16" s="92">
        <f>(VLOOKUP(B16,'CC -12'!$B$8:$AS$25,37,0)+VLOOKUP(B16,'CC -12'!$B$8:$AS$25,38,0))</f>
        <v>0</v>
      </c>
      <c r="I16" s="145">
        <f t="shared" si="14"/>
        <v>0</v>
      </c>
      <c r="J16" s="146">
        <f t="shared" si="15"/>
        <v>27</v>
      </c>
      <c r="K16" s="39">
        <f t="shared" si="15"/>
        <v>3317000</v>
      </c>
      <c r="L16" s="90">
        <f t="shared" si="16"/>
        <v>405000</v>
      </c>
      <c r="M16" s="40">
        <f t="shared" si="17"/>
        <v>3722000</v>
      </c>
      <c r="N16" s="40">
        <f>IF(VLOOKUP(B16,DS,9,0)="x",'L - 12'!E16*$N$4,0)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3722000</v>
      </c>
      <c r="R16" s="39">
        <f t="shared" si="20"/>
        <v>0</v>
      </c>
      <c r="S16" s="45">
        <f t="shared" si="22"/>
        <v>3722000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174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-12'!$B$8:$AS$25,36,0)</f>
        <v>27</v>
      </c>
      <c r="G17" s="145">
        <f t="shared" si="13"/>
        <v>3317000</v>
      </c>
      <c r="H17" s="92">
        <f>(VLOOKUP(B17,'CC -12'!$B$8:$AS$25,37,0)+VLOOKUP(B17,'CC -12'!$B$8:$AS$25,38,0))</f>
        <v>0</v>
      </c>
      <c r="I17" s="145">
        <f t="shared" si="14"/>
        <v>0</v>
      </c>
      <c r="J17" s="146">
        <f t="shared" si="15"/>
        <v>27</v>
      </c>
      <c r="K17" s="39">
        <f t="shared" si="15"/>
        <v>3317000</v>
      </c>
      <c r="L17" s="90">
        <f t="shared" si="16"/>
        <v>405000</v>
      </c>
      <c r="M17" s="40">
        <f t="shared" si="17"/>
        <v>3722000</v>
      </c>
      <c r="N17" s="40">
        <f>IF(VLOOKUP(B17,DS,9,0)="x",'L - 12'!E17*$N$4,0)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3722000</v>
      </c>
      <c r="R17" s="39">
        <f t="shared" si="20"/>
        <v>0</v>
      </c>
      <c r="S17" s="45">
        <f t="shared" si="22"/>
        <v>3722000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175</v>
      </c>
      <c r="C18" s="89" t="str">
        <f t="shared" si="10"/>
        <v>Huỳnh Thị Bé Thi</v>
      </c>
      <c r="D18" s="116" t="str">
        <f t="shared" si="11"/>
        <v>Công nhân</v>
      </c>
      <c r="E18" s="90">
        <f t="shared" si="12"/>
        <v>3317000</v>
      </c>
      <c r="F18" s="92">
        <f>VLOOKUP(B18,'CC -12'!$B$8:$AS$25,36,0)</f>
        <v>27</v>
      </c>
      <c r="G18" s="145">
        <f t="shared" si="13"/>
        <v>3317000</v>
      </c>
      <c r="H18" s="92">
        <f>(VLOOKUP(B18,'CC -12'!$B$8:$AS$25,37,0)+VLOOKUP(B18,'CC -12'!$B$8:$AS$25,38,0))</f>
        <v>0</v>
      </c>
      <c r="I18" s="145">
        <f t="shared" si="14"/>
        <v>0</v>
      </c>
      <c r="J18" s="146">
        <f t="shared" si="15"/>
        <v>27</v>
      </c>
      <c r="K18" s="39">
        <f t="shared" si="15"/>
        <v>3317000</v>
      </c>
      <c r="L18" s="90">
        <f t="shared" si="16"/>
        <v>405000</v>
      </c>
      <c r="M18" s="40">
        <f t="shared" si="17"/>
        <v>3722000</v>
      </c>
      <c r="N18" s="40">
        <f>IF(VLOOKUP(B18,DS,9,0)="x",'L - 12'!E18*$N$4,0)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3722000</v>
      </c>
      <c r="R18" s="39">
        <f t="shared" si="20"/>
        <v>0</v>
      </c>
      <c r="S18" s="45">
        <f t="shared" si="22"/>
        <v>3722000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5" t="s">
        <v>25</v>
      </c>
      <c r="B20" s="245"/>
      <c r="C20" s="245"/>
      <c r="D20" s="245"/>
      <c r="E20" s="140">
        <f>SUM(E10:E19)</f>
        <v>28526000</v>
      </c>
      <c r="F20" s="140"/>
      <c r="G20" s="140">
        <f>SUM(G10:G19)</f>
        <v>28526000</v>
      </c>
      <c r="H20" s="140"/>
      <c r="I20" s="140">
        <f>SUM(I10:I19)</f>
        <v>0</v>
      </c>
      <c r="J20" s="26"/>
      <c r="K20" s="26">
        <f t="shared" ref="K20:S20" si="23">SUM(K10:K19)</f>
        <v>28526000</v>
      </c>
      <c r="L20" s="26">
        <f t="shared" si="23"/>
        <v>3240000</v>
      </c>
      <c r="M20" s="26">
        <f t="shared" si="23"/>
        <v>31766000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31766000</v>
      </c>
      <c r="R20" s="26">
        <f t="shared" si="23"/>
        <v>0</v>
      </c>
      <c r="S20" s="26">
        <f t="shared" si="23"/>
        <v>31766000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12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O6:O7"/>
    <mergeCell ref="P6:P7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-8'!Print_Area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2016-04-19T05:27:53Z</cp:lastPrinted>
  <dcterms:created xsi:type="dcterms:W3CDTF">2011-06-27T04:19:15Z</dcterms:created>
  <dcterms:modified xsi:type="dcterms:W3CDTF">2016-05-06T08:21:32Z</dcterms:modified>
</cp:coreProperties>
</file>