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4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THL!$B$11:$X$18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4" i="15" l="1"/>
  <c r="D14" i="15"/>
  <c r="E14" i="15"/>
  <c r="N14" i="15"/>
  <c r="O14" i="15"/>
  <c r="P14" i="15"/>
  <c r="R14" i="15"/>
  <c r="AM12" i="14"/>
  <c r="H14" i="15" s="1"/>
  <c r="AL12" i="14"/>
  <c r="AK12" i="14"/>
  <c r="D12" i="14"/>
  <c r="C12" i="14"/>
  <c r="AN12" i="14" l="1"/>
  <c r="F14" i="15"/>
  <c r="J14" i="15" s="1"/>
  <c r="R14" i="25"/>
  <c r="P14" i="25"/>
  <c r="O14" i="25"/>
  <c r="N14" i="25"/>
  <c r="L14" i="25"/>
  <c r="E14" i="25"/>
  <c r="D14" i="25"/>
  <c r="C14" i="25"/>
  <c r="R16" i="25"/>
  <c r="P16" i="25"/>
  <c r="O16" i="25"/>
  <c r="N16" i="25"/>
  <c r="L16" i="25"/>
  <c r="E16" i="25"/>
  <c r="R10" i="25"/>
  <c r="R12" i="25" s="1"/>
  <c r="P10" i="25"/>
  <c r="P12" i="25" s="1"/>
  <c r="O10" i="25"/>
  <c r="N10" i="25"/>
  <c r="N12" i="25" s="1"/>
  <c r="L10" i="25"/>
  <c r="L12" i="25" s="1"/>
  <c r="E10" i="25"/>
  <c r="E12" i="25" s="1"/>
  <c r="D10" i="25"/>
  <c r="C10" i="25"/>
  <c r="E4" i="25"/>
  <c r="S18" i="25" s="1"/>
  <c r="AL12" i="24"/>
  <c r="D12" i="24"/>
  <c r="C12" i="24"/>
  <c r="AL9" i="24"/>
  <c r="D9" i="24"/>
  <c r="C9" i="24"/>
  <c r="F5" i="24"/>
  <c r="F6" i="24" s="1"/>
  <c r="S1" i="24"/>
  <c r="R14" i="23"/>
  <c r="P14" i="23"/>
  <c r="O14" i="23"/>
  <c r="O16" i="23" s="1"/>
  <c r="N14" i="23"/>
  <c r="L14" i="23"/>
  <c r="E14" i="23"/>
  <c r="D14" i="23"/>
  <c r="C14" i="23"/>
  <c r="R16" i="23"/>
  <c r="P16" i="23"/>
  <c r="N16" i="23"/>
  <c r="L16" i="23"/>
  <c r="E16" i="23"/>
  <c r="R10" i="23"/>
  <c r="P10" i="23"/>
  <c r="P12" i="23" s="1"/>
  <c r="O10" i="23"/>
  <c r="O12" i="23" s="1"/>
  <c r="N10" i="23"/>
  <c r="L10" i="23"/>
  <c r="L12" i="23" s="1"/>
  <c r="E10" i="23"/>
  <c r="E12" i="23" s="1"/>
  <c r="D10" i="23"/>
  <c r="C10" i="23"/>
  <c r="E4" i="23"/>
  <c r="S18" i="23" s="1"/>
  <c r="AL12" i="22"/>
  <c r="D12" i="22"/>
  <c r="C12" i="22"/>
  <c r="AL9" i="22"/>
  <c r="D9" i="22"/>
  <c r="C9" i="22"/>
  <c r="F5" i="22"/>
  <c r="F6" i="22" s="1"/>
  <c r="S1" i="22"/>
  <c r="F5" i="16"/>
  <c r="C10" i="3"/>
  <c r="D10" i="3"/>
  <c r="E10" i="3"/>
  <c r="L10" i="3"/>
  <c r="N10" i="3"/>
  <c r="O10" i="3"/>
  <c r="P10" i="3"/>
  <c r="R10" i="3"/>
  <c r="D1" i="25" l="1"/>
  <c r="D1" i="23"/>
  <c r="O12" i="25"/>
  <c r="G5" i="24"/>
  <c r="H5" i="24" s="1"/>
  <c r="I5" i="24" s="1"/>
  <c r="G5" i="22"/>
  <c r="H5" i="22" s="1"/>
  <c r="H6" i="22" s="1"/>
  <c r="N12" i="23"/>
  <c r="R12" i="23"/>
  <c r="R14" i="21"/>
  <c r="P14" i="21"/>
  <c r="O14" i="21"/>
  <c r="N14" i="21"/>
  <c r="L14" i="21"/>
  <c r="E14" i="21"/>
  <c r="D14" i="21"/>
  <c r="C14" i="21"/>
  <c r="R16" i="21"/>
  <c r="P16" i="21"/>
  <c r="O16" i="21"/>
  <c r="N16" i="21"/>
  <c r="L16" i="21"/>
  <c r="E16" i="21"/>
  <c r="R10" i="21"/>
  <c r="R12" i="21" s="1"/>
  <c r="P10" i="21"/>
  <c r="O10" i="21"/>
  <c r="O12" i="21" s="1"/>
  <c r="N10" i="21"/>
  <c r="N12" i="21" s="1"/>
  <c r="L10" i="21"/>
  <c r="L12" i="21" s="1"/>
  <c r="E10" i="21"/>
  <c r="E12" i="21" s="1"/>
  <c r="D10" i="21"/>
  <c r="C10" i="21"/>
  <c r="E4" i="21"/>
  <c r="S18" i="21" s="1"/>
  <c r="AL12" i="20"/>
  <c r="D12" i="20"/>
  <c r="C12" i="20"/>
  <c r="AL9" i="20"/>
  <c r="D9" i="20"/>
  <c r="C9" i="20"/>
  <c r="F5" i="20"/>
  <c r="F6" i="20" s="1"/>
  <c r="S1" i="20"/>
  <c r="R14" i="19"/>
  <c r="P14" i="19"/>
  <c r="O14" i="19"/>
  <c r="N14" i="19"/>
  <c r="L14" i="19"/>
  <c r="E14" i="19"/>
  <c r="D14" i="19"/>
  <c r="C14" i="19"/>
  <c r="R16" i="19"/>
  <c r="P16" i="19"/>
  <c r="O16" i="19"/>
  <c r="N16" i="19"/>
  <c r="R10" i="19"/>
  <c r="R12" i="19" s="1"/>
  <c r="P10" i="19"/>
  <c r="P12" i="19" s="1"/>
  <c r="O10" i="19"/>
  <c r="O12" i="19" s="1"/>
  <c r="N10" i="19"/>
  <c r="N12" i="19" s="1"/>
  <c r="L10" i="19"/>
  <c r="L12" i="19" s="1"/>
  <c r="E10" i="19"/>
  <c r="D10" i="19"/>
  <c r="C10" i="19"/>
  <c r="E4" i="19"/>
  <c r="S18" i="19" s="1"/>
  <c r="AL12" i="18"/>
  <c r="D12" i="18"/>
  <c r="C12" i="18"/>
  <c r="AL9" i="18"/>
  <c r="D9" i="18"/>
  <c r="C9" i="18"/>
  <c r="F5" i="18"/>
  <c r="F6" i="18" s="1"/>
  <c r="S1" i="18"/>
  <c r="R14" i="17"/>
  <c r="P14" i="17"/>
  <c r="O14" i="17"/>
  <c r="N14" i="17"/>
  <c r="L14" i="17"/>
  <c r="E14" i="17"/>
  <c r="D14" i="17"/>
  <c r="C14" i="17"/>
  <c r="R16" i="17"/>
  <c r="P16" i="17"/>
  <c r="O16" i="17"/>
  <c r="N16" i="17"/>
  <c r="L16" i="17"/>
  <c r="E16" i="17"/>
  <c r="R10" i="17"/>
  <c r="R12" i="17" s="1"/>
  <c r="P10" i="17"/>
  <c r="P12" i="17" s="1"/>
  <c r="O10" i="17"/>
  <c r="O12" i="17" s="1"/>
  <c r="N10" i="17"/>
  <c r="N12" i="17" s="1"/>
  <c r="L10" i="17"/>
  <c r="L12" i="17" s="1"/>
  <c r="E10" i="17"/>
  <c r="E12" i="17" s="1"/>
  <c r="D10" i="17"/>
  <c r="C10" i="17"/>
  <c r="E4" i="17"/>
  <c r="S18" i="17" s="1"/>
  <c r="AL12" i="16"/>
  <c r="D12" i="16"/>
  <c r="C12" i="16"/>
  <c r="AL9" i="16"/>
  <c r="D9" i="16"/>
  <c r="C9" i="16"/>
  <c r="F6" i="16"/>
  <c r="S1" i="16"/>
  <c r="R15" i="15"/>
  <c r="P15" i="15"/>
  <c r="O15" i="15"/>
  <c r="N15" i="15"/>
  <c r="L15" i="15"/>
  <c r="E15" i="15"/>
  <c r="D15" i="15"/>
  <c r="C15" i="15"/>
  <c r="R17" i="15"/>
  <c r="P17" i="15"/>
  <c r="O17" i="15"/>
  <c r="N17" i="15"/>
  <c r="L17" i="15"/>
  <c r="R10" i="15"/>
  <c r="R12" i="15" s="1"/>
  <c r="P10" i="15"/>
  <c r="O10" i="15"/>
  <c r="O12" i="15" s="1"/>
  <c r="N10" i="15"/>
  <c r="N12" i="15" s="1"/>
  <c r="L10" i="15"/>
  <c r="E10" i="15"/>
  <c r="D10" i="15"/>
  <c r="C10" i="15"/>
  <c r="E4" i="15"/>
  <c r="S19" i="15" s="1"/>
  <c r="AL14" i="14"/>
  <c r="D14" i="14"/>
  <c r="C14" i="14"/>
  <c r="AL9" i="14"/>
  <c r="D9" i="14"/>
  <c r="C9" i="14"/>
  <c r="F5" i="14"/>
  <c r="G5" i="14" s="1"/>
  <c r="S1" i="14"/>
  <c r="R15" i="13"/>
  <c r="P15" i="13"/>
  <c r="O15" i="13"/>
  <c r="N15" i="13"/>
  <c r="L15" i="13"/>
  <c r="E15" i="13"/>
  <c r="D15" i="13"/>
  <c r="C15" i="13"/>
  <c r="R14" i="13"/>
  <c r="R17" i="13" s="1"/>
  <c r="P14" i="13"/>
  <c r="P17" i="13" s="1"/>
  <c r="O14" i="13"/>
  <c r="O17" i="13" s="1"/>
  <c r="N14" i="13"/>
  <c r="N17" i="13" s="1"/>
  <c r="L14" i="13"/>
  <c r="L17" i="13" s="1"/>
  <c r="E14" i="13"/>
  <c r="E17" i="13" s="1"/>
  <c r="D14" i="13"/>
  <c r="C14" i="13"/>
  <c r="R10" i="13"/>
  <c r="R12" i="13" s="1"/>
  <c r="P10" i="13"/>
  <c r="P12" i="13" s="1"/>
  <c r="O10" i="13"/>
  <c r="O12" i="13" s="1"/>
  <c r="N10" i="13"/>
  <c r="N12" i="13" s="1"/>
  <c r="L10" i="13"/>
  <c r="L12" i="13" s="1"/>
  <c r="E10" i="13"/>
  <c r="E12" i="13" s="1"/>
  <c r="D10" i="13"/>
  <c r="C10" i="13"/>
  <c r="E4" i="13"/>
  <c r="S19" i="13" s="1"/>
  <c r="AL14" i="12"/>
  <c r="D14" i="12"/>
  <c r="C14" i="12"/>
  <c r="A14" i="12"/>
  <c r="AL12" i="12"/>
  <c r="D12" i="12"/>
  <c r="C12" i="12"/>
  <c r="AL9" i="12"/>
  <c r="D9" i="12"/>
  <c r="C9" i="12"/>
  <c r="F5" i="12"/>
  <c r="G5" i="12" s="1"/>
  <c r="S1" i="12"/>
  <c r="R15" i="11"/>
  <c r="P15" i="11"/>
  <c r="O15" i="11"/>
  <c r="N15" i="11"/>
  <c r="L15" i="11"/>
  <c r="E15" i="11"/>
  <c r="D15" i="11"/>
  <c r="C15" i="11"/>
  <c r="R14" i="11"/>
  <c r="R17" i="11" s="1"/>
  <c r="P14" i="11"/>
  <c r="P17" i="11" s="1"/>
  <c r="O14" i="11"/>
  <c r="O17" i="11" s="1"/>
  <c r="N14" i="11"/>
  <c r="N17" i="11" s="1"/>
  <c r="L14" i="11"/>
  <c r="L17" i="11" s="1"/>
  <c r="E14" i="11"/>
  <c r="E17" i="11" s="1"/>
  <c r="D14" i="11"/>
  <c r="C14" i="11"/>
  <c r="R10" i="11"/>
  <c r="R12" i="11" s="1"/>
  <c r="P10" i="11"/>
  <c r="P12" i="11" s="1"/>
  <c r="O10" i="11"/>
  <c r="O12" i="11" s="1"/>
  <c r="N10" i="11"/>
  <c r="N12" i="11" s="1"/>
  <c r="L10" i="11"/>
  <c r="L12" i="11" s="1"/>
  <c r="E10" i="11"/>
  <c r="E12" i="11" s="1"/>
  <c r="D10" i="11"/>
  <c r="C10" i="11"/>
  <c r="E4" i="11"/>
  <c r="S19" i="11" s="1"/>
  <c r="AL14" i="10"/>
  <c r="D14" i="10"/>
  <c r="C14" i="10"/>
  <c r="A14" i="10"/>
  <c r="AL12" i="10"/>
  <c r="D12" i="10"/>
  <c r="C12" i="10"/>
  <c r="AL9" i="10"/>
  <c r="D9" i="10"/>
  <c r="C9" i="10"/>
  <c r="F5" i="10"/>
  <c r="F6" i="10" s="1"/>
  <c r="S1" i="10"/>
  <c r="R15" i="9"/>
  <c r="P15" i="9"/>
  <c r="O15" i="9"/>
  <c r="N15" i="9"/>
  <c r="L15" i="9"/>
  <c r="E15" i="9"/>
  <c r="D15" i="9"/>
  <c r="C15" i="9"/>
  <c r="R14" i="9"/>
  <c r="R17" i="9" s="1"/>
  <c r="P14" i="9"/>
  <c r="O14" i="9"/>
  <c r="O17" i="9" s="1"/>
  <c r="N14" i="9"/>
  <c r="N17" i="9" s="1"/>
  <c r="L14" i="9"/>
  <c r="L17" i="9" s="1"/>
  <c r="E14" i="9"/>
  <c r="E17" i="9" s="1"/>
  <c r="D14" i="9"/>
  <c r="C14" i="9"/>
  <c r="R10" i="9"/>
  <c r="R12" i="9" s="1"/>
  <c r="P10" i="9"/>
  <c r="P12" i="9" s="1"/>
  <c r="O10" i="9"/>
  <c r="O12" i="9" s="1"/>
  <c r="N10" i="9"/>
  <c r="N12" i="9" s="1"/>
  <c r="L10" i="9"/>
  <c r="L12" i="9" s="1"/>
  <c r="E10" i="9"/>
  <c r="E12" i="9" s="1"/>
  <c r="D10" i="9"/>
  <c r="C10" i="9"/>
  <c r="E4" i="9"/>
  <c r="S19" i="9" s="1"/>
  <c r="AL14" i="8"/>
  <c r="D14" i="8"/>
  <c r="C14" i="8"/>
  <c r="A14" i="8"/>
  <c r="AL12" i="8"/>
  <c r="D12" i="8"/>
  <c r="C12" i="8"/>
  <c r="AL9" i="8"/>
  <c r="D9" i="8"/>
  <c r="C9" i="8"/>
  <c r="F5" i="8"/>
  <c r="F6" i="8" s="1"/>
  <c r="S1" i="8"/>
  <c r="R15" i="7"/>
  <c r="P15" i="7"/>
  <c r="O15" i="7"/>
  <c r="N15" i="7"/>
  <c r="L15" i="7"/>
  <c r="E15" i="7"/>
  <c r="D15" i="7"/>
  <c r="C15" i="7"/>
  <c r="R14" i="7"/>
  <c r="R17" i="7" s="1"/>
  <c r="P14" i="7"/>
  <c r="P17" i="7" s="1"/>
  <c r="O14" i="7"/>
  <c r="O17" i="7" s="1"/>
  <c r="N14" i="7"/>
  <c r="L14" i="7"/>
  <c r="L17" i="7" s="1"/>
  <c r="E14" i="7"/>
  <c r="D14" i="7"/>
  <c r="C14" i="7"/>
  <c r="R10" i="7"/>
  <c r="R12" i="7" s="1"/>
  <c r="P10" i="7"/>
  <c r="P12" i="7" s="1"/>
  <c r="O10" i="7"/>
  <c r="O12" i="7" s="1"/>
  <c r="N10" i="7"/>
  <c r="N12" i="7" s="1"/>
  <c r="L10" i="7"/>
  <c r="L12" i="7" s="1"/>
  <c r="E10" i="7"/>
  <c r="D10" i="7"/>
  <c r="C10" i="7"/>
  <c r="E4" i="7"/>
  <c r="S19" i="7" s="1"/>
  <c r="AL14" i="6"/>
  <c r="D14" i="6"/>
  <c r="C14" i="6"/>
  <c r="A14" i="6"/>
  <c r="AL12" i="6"/>
  <c r="D12" i="6"/>
  <c r="C12" i="6"/>
  <c r="AL9" i="6"/>
  <c r="D9" i="6"/>
  <c r="C9" i="6"/>
  <c r="F5" i="6"/>
  <c r="F6" i="6" s="1"/>
  <c r="S1" i="6"/>
  <c r="R15" i="5"/>
  <c r="P15" i="5"/>
  <c r="O15" i="5"/>
  <c r="N15" i="5"/>
  <c r="L15" i="5"/>
  <c r="E15" i="5"/>
  <c r="D15" i="5"/>
  <c r="C15" i="5"/>
  <c r="R14" i="5"/>
  <c r="R17" i="5" s="1"/>
  <c r="P14" i="5"/>
  <c r="P17" i="5" s="1"/>
  <c r="O14" i="5"/>
  <c r="O17" i="5" s="1"/>
  <c r="N14" i="5"/>
  <c r="N17" i="5" s="1"/>
  <c r="L14" i="5"/>
  <c r="L17" i="5" s="1"/>
  <c r="E14" i="5"/>
  <c r="D14" i="5"/>
  <c r="C14" i="5"/>
  <c r="R10" i="5"/>
  <c r="R12" i="5" s="1"/>
  <c r="P10" i="5"/>
  <c r="O10" i="5"/>
  <c r="O12" i="5" s="1"/>
  <c r="N10" i="5"/>
  <c r="N12" i="5" s="1"/>
  <c r="L10" i="5"/>
  <c r="E10" i="5"/>
  <c r="D10" i="5"/>
  <c r="C10" i="5"/>
  <c r="E4" i="5"/>
  <c r="D1" i="5" s="1"/>
  <c r="AL14" i="4"/>
  <c r="D14" i="4"/>
  <c r="C14" i="4"/>
  <c r="A14" i="4"/>
  <c r="AL12" i="4"/>
  <c r="D12" i="4"/>
  <c r="C12" i="4"/>
  <c r="AL9" i="4"/>
  <c r="D9" i="4"/>
  <c r="C9" i="4"/>
  <c r="F5" i="4"/>
  <c r="F6" i="4" s="1"/>
  <c r="S1" i="4"/>
  <c r="R15" i="3"/>
  <c r="P15" i="3"/>
  <c r="O15" i="3"/>
  <c r="N15" i="3"/>
  <c r="L15" i="3"/>
  <c r="E15" i="3"/>
  <c r="D15" i="3"/>
  <c r="C15" i="3"/>
  <c r="R14" i="3"/>
  <c r="R17" i="3" s="1"/>
  <c r="P14" i="3"/>
  <c r="P17" i="3" s="1"/>
  <c r="O14" i="3"/>
  <c r="O17" i="3" s="1"/>
  <c r="N14" i="3"/>
  <c r="N17" i="3" s="1"/>
  <c r="L14" i="3"/>
  <c r="E14" i="3"/>
  <c r="E17" i="3" s="1"/>
  <c r="D14" i="3"/>
  <c r="C14" i="3"/>
  <c r="R12" i="3"/>
  <c r="O12" i="3"/>
  <c r="N12" i="3"/>
  <c r="L12" i="3"/>
  <c r="E12" i="3"/>
  <c r="E4" i="3"/>
  <c r="S19" i="3" s="1"/>
  <c r="AL14" i="2"/>
  <c r="D14" i="2"/>
  <c r="C14" i="2"/>
  <c r="A14" i="2"/>
  <c r="AL12" i="2"/>
  <c r="D12" i="2"/>
  <c r="C12" i="2"/>
  <c r="AL9" i="2"/>
  <c r="D9" i="2"/>
  <c r="C9" i="2"/>
  <c r="F5" i="2"/>
  <c r="G5" i="2" s="1"/>
  <c r="S1" i="2"/>
  <c r="N97" i="1"/>
  <c r="M73" i="1"/>
  <c r="N103" i="1" s="1"/>
  <c r="M72" i="1"/>
  <c r="N101" i="1" s="1"/>
  <c r="M71" i="1"/>
  <c r="N99" i="1" s="1"/>
  <c r="M70" i="1"/>
  <c r="M69" i="1"/>
  <c r="N95" i="1" s="1"/>
  <c r="M68" i="1"/>
  <c r="N93" i="1" s="1"/>
  <c r="M67" i="1"/>
  <c r="N91" i="1" s="1"/>
  <c r="M66" i="1"/>
  <c r="N89" i="1" s="1"/>
  <c r="M65" i="1"/>
  <c r="N87" i="1" s="1"/>
  <c r="M64" i="1"/>
  <c r="N85" i="1" s="1"/>
  <c r="M63" i="1"/>
  <c r="N83" i="1" s="1"/>
  <c r="M62" i="1"/>
  <c r="N81" i="1" s="1"/>
  <c r="M61" i="1"/>
  <c r="N79" i="1" s="1"/>
  <c r="M60" i="1"/>
  <c r="N77" i="1" s="1"/>
  <c r="M59" i="1"/>
  <c r="N75" i="1" s="1"/>
  <c r="M58" i="1"/>
  <c r="N73" i="1" s="1"/>
  <c r="M57" i="1"/>
  <c r="N71" i="1" s="1"/>
  <c r="M56" i="1"/>
  <c r="N69" i="1" s="1"/>
  <c r="M55" i="1"/>
  <c r="N67" i="1" s="1"/>
  <c r="M54" i="1"/>
  <c r="N65" i="1" s="1"/>
  <c r="M53" i="1"/>
  <c r="N63" i="1" s="1"/>
  <c r="M52" i="1"/>
  <c r="N61" i="1" s="1"/>
  <c r="M51" i="1"/>
  <c r="N59" i="1" s="1"/>
  <c r="M50" i="1"/>
  <c r="N57" i="1" s="1"/>
  <c r="M49" i="1"/>
  <c r="N55" i="1" s="1"/>
  <c r="M48" i="1"/>
  <c r="N53" i="1" s="1"/>
  <c r="M47" i="1"/>
  <c r="N51" i="1" s="1"/>
  <c r="M46" i="1"/>
  <c r="N49" i="1" s="1"/>
  <c r="M45" i="1"/>
  <c r="N47" i="1" s="1"/>
  <c r="M44" i="1"/>
  <c r="N45" i="1" s="1"/>
  <c r="N43" i="1"/>
  <c r="M43" i="1"/>
  <c r="K21" i="1"/>
  <c r="K22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G16" i="1"/>
  <c r="F16" i="1"/>
  <c r="E16" i="1"/>
  <c r="A15" i="1"/>
  <c r="A14" i="1"/>
  <c r="A13" i="1"/>
  <c r="A12" i="1"/>
  <c r="A11" i="1"/>
  <c r="A6" i="1"/>
  <c r="G6" i="22" l="1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3"/>
  <c r="N17" i="7"/>
  <c r="P12" i="15"/>
  <c r="P12" i="21"/>
  <c r="P17" i="9"/>
  <c r="L12" i="15"/>
  <c r="G5" i="8"/>
  <c r="G6" i="8" s="1"/>
  <c r="D1" i="7"/>
  <c r="P12" i="3"/>
  <c r="G6" i="2"/>
  <c r="H5" i="2"/>
  <c r="D1" i="3"/>
  <c r="F6" i="2"/>
  <c r="H5" i="14"/>
  <c r="G6" i="14"/>
  <c r="G6" i="12"/>
  <c r="H5" i="12"/>
  <c r="F6" i="14"/>
  <c r="D1" i="15"/>
  <c r="E17" i="15"/>
  <c r="E12" i="15"/>
  <c r="G5" i="20"/>
  <c r="D1" i="21"/>
  <c r="E12" i="19"/>
  <c r="E16" i="19"/>
  <c r="G5" i="10"/>
  <c r="D1" i="11"/>
  <c r="P12" i="5"/>
  <c r="L12" i="5"/>
  <c r="I5" i="4"/>
  <c r="G5" i="6"/>
  <c r="E12" i="5"/>
  <c r="E17" i="5"/>
  <c r="S19" i="5"/>
  <c r="D1" i="9"/>
  <c r="E12" i="7"/>
  <c r="E17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9" i="24" l="1"/>
  <c r="H10" i="25" s="1"/>
  <c r="AK9" i="24"/>
  <c r="AK12" i="24"/>
  <c r="AM12" i="24"/>
  <c r="H14" i="25" s="1"/>
  <c r="AM9" i="22"/>
  <c r="H10" i="23" s="1"/>
  <c r="AK9" i="22"/>
  <c r="AM12" i="22"/>
  <c r="H14" i="23" s="1"/>
  <c r="AK12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2" i="24"/>
  <c r="F14" i="25"/>
  <c r="J14" i="25" s="1"/>
  <c r="F14" i="23"/>
  <c r="J14" i="23" s="1"/>
  <c r="AN12" i="22"/>
  <c r="U2" i="23"/>
  <c r="F10" i="23"/>
  <c r="J10" i="23" s="1"/>
  <c r="AN9" i="22"/>
  <c r="AI6" i="2"/>
  <c r="AJ5" i="2"/>
  <c r="AJ6" i="2" s="1"/>
  <c r="AK14" i="2"/>
  <c r="AM9" i="2"/>
  <c r="H10" i="3" s="1"/>
  <c r="AK12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4" i="4"/>
  <c r="H15" i="5" s="1"/>
  <c r="AM9" i="4"/>
  <c r="H10" i="5" s="1"/>
  <c r="AK14" i="4"/>
  <c r="AM12" i="4"/>
  <c r="H14" i="5" s="1"/>
  <c r="AK9" i="4"/>
  <c r="AK12" i="4"/>
  <c r="AH6" i="6"/>
  <c r="AI5" i="6"/>
  <c r="AI6" i="8"/>
  <c r="AJ5" i="8"/>
  <c r="AJ6" i="8" s="1"/>
  <c r="G10" i="25" l="1"/>
  <c r="G14" i="25"/>
  <c r="I10" i="25"/>
  <c r="I14" i="25"/>
  <c r="G10" i="23"/>
  <c r="G14" i="23"/>
  <c r="I14" i="23"/>
  <c r="I10" i="23"/>
  <c r="F14" i="3"/>
  <c r="AM12" i="2"/>
  <c r="H14" i="3" s="1"/>
  <c r="AM14" i="2"/>
  <c r="H15" i="3" s="1"/>
  <c r="AK9" i="2"/>
  <c r="F10" i="3" s="1"/>
  <c r="J10" i="3" s="1"/>
  <c r="F15" i="3"/>
  <c r="AI6" i="20"/>
  <c r="AJ5" i="20"/>
  <c r="AJ6" i="20" s="1"/>
  <c r="AM12" i="16"/>
  <c r="H14" i="17" s="1"/>
  <c r="AK12" i="16"/>
  <c r="AK9" i="16"/>
  <c r="AM9" i="16"/>
  <c r="H10" i="17" s="1"/>
  <c r="AK9" i="12"/>
  <c r="AM14" i="12"/>
  <c r="H15" i="13" s="1"/>
  <c r="AM9" i="12"/>
  <c r="H10" i="13" s="1"/>
  <c r="AM12" i="12"/>
  <c r="H14" i="13" s="1"/>
  <c r="AK14" i="12"/>
  <c r="AK12" i="12"/>
  <c r="AK9" i="18"/>
  <c r="AM9" i="18"/>
  <c r="H10" i="19" s="1"/>
  <c r="AM12" i="18"/>
  <c r="H14" i="19" s="1"/>
  <c r="AK12" i="18"/>
  <c r="AM14" i="14"/>
  <c r="H15" i="15" s="1"/>
  <c r="AK9" i="14"/>
  <c r="AM9" i="14"/>
  <c r="H10" i="15" s="1"/>
  <c r="AK14" i="14"/>
  <c r="AI6" i="10"/>
  <c r="AJ5" i="10"/>
  <c r="AJ6" i="10" s="1"/>
  <c r="AJ5" i="6"/>
  <c r="AJ6" i="6" s="1"/>
  <c r="AI6" i="6"/>
  <c r="AK12" i="8"/>
  <c r="AM14" i="8"/>
  <c r="H15" i="9" s="1"/>
  <c r="AM9" i="8"/>
  <c r="H10" i="9" s="1"/>
  <c r="AM12" i="8"/>
  <c r="H14" i="9" s="1"/>
  <c r="AK9" i="8"/>
  <c r="AK14" i="8"/>
  <c r="AN12" i="4"/>
  <c r="F14" i="5"/>
  <c r="J14" i="5" s="1"/>
  <c r="F15" i="5"/>
  <c r="J15" i="5" s="1"/>
  <c r="AN14" i="4"/>
  <c r="AN9" i="4"/>
  <c r="F10" i="5"/>
  <c r="J10" i="5" s="1"/>
  <c r="U2" i="5"/>
  <c r="I16" i="25" l="1"/>
  <c r="K14" i="25"/>
  <c r="M14" i="25" s="1"/>
  <c r="Q14" i="25" s="1"/>
  <c r="S14" i="25" s="1"/>
  <c r="I12" i="25"/>
  <c r="G16" i="25"/>
  <c r="K10" i="25"/>
  <c r="G12" i="25"/>
  <c r="I12" i="23"/>
  <c r="I16" i="23"/>
  <c r="K10" i="23"/>
  <c r="G12" i="23"/>
  <c r="G16" i="23"/>
  <c r="K14" i="23"/>
  <c r="M14" i="23" s="1"/>
  <c r="Q14" i="23" s="1"/>
  <c r="S14" i="23" s="1"/>
  <c r="J15" i="3"/>
  <c r="AN12" i="2"/>
  <c r="AN9" i="2"/>
  <c r="J14" i="3"/>
  <c r="AN14" i="2"/>
  <c r="U2" i="3"/>
  <c r="F14" i="17"/>
  <c r="J14" i="17" s="1"/>
  <c r="AN12" i="16"/>
  <c r="AN12" i="18"/>
  <c r="F14" i="19"/>
  <c r="J14" i="19" s="1"/>
  <c r="F15" i="15"/>
  <c r="J15" i="15" s="1"/>
  <c r="AN14" i="14"/>
  <c r="F10" i="15"/>
  <c r="J10" i="15" s="1"/>
  <c r="U2" i="15"/>
  <c r="AN9" i="14"/>
  <c r="U2" i="19"/>
  <c r="F10" i="19"/>
  <c r="J10" i="19" s="1"/>
  <c r="AN9" i="18"/>
  <c r="AN12" i="12"/>
  <c r="F14" i="13"/>
  <c r="J14" i="13" s="1"/>
  <c r="F10" i="17"/>
  <c r="J10" i="17" s="1"/>
  <c r="AN9" i="16"/>
  <c r="U2" i="17"/>
  <c r="AM9" i="20"/>
  <c r="H10" i="21" s="1"/>
  <c r="AK9" i="20"/>
  <c r="AK12" i="20"/>
  <c r="AM12" i="20"/>
  <c r="H14" i="21" s="1"/>
  <c r="F15" i="13"/>
  <c r="J15" i="13" s="1"/>
  <c r="AN14" i="12"/>
  <c r="F10" i="13"/>
  <c r="J10" i="13" s="1"/>
  <c r="U2" i="13"/>
  <c r="AN9" i="12"/>
  <c r="AK14" i="10"/>
  <c r="AM14" i="10"/>
  <c r="H15" i="11" s="1"/>
  <c r="AK9" i="10"/>
  <c r="AM12" i="10"/>
  <c r="H14" i="11" s="1"/>
  <c r="AK12" i="10"/>
  <c r="AM9" i="10"/>
  <c r="H10" i="11" s="1"/>
  <c r="G15" i="5"/>
  <c r="G10" i="5"/>
  <c r="G14" i="5"/>
  <c r="I14" i="5"/>
  <c r="I10" i="5"/>
  <c r="I15" i="5"/>
  <c r="F14" i="9"/>
  <c r="J14" i="9" s="1"/>
  <c r="AN12" i="8"/>
  <c r="F10" i="9"/>
  <c r="J10" i="9" s="1"/>
  <c r="AN9" i="8"/>
  <c r="U2" i="9"/>
  <c r="F15" i="9"/>
  <c r="J15" i="9" s="1"/>
  <c r="AN14" i="8"/>
  <c r="AK14" i="6"/>
  <c r="AK9" i="6"/>
  <c r="AM14" i="6"/>
  <c r="H15" i="7" s="1"/>
  <c r="AK12" i="6"/>
  <c r="AM9" i="6"/>
  <c r="H10" i="7" s="1"/>
  <c r="AM12" i="6"/>
  <c r="H14" i="7" s="1"/>
  <c r="I14" i="15" l="1"/>
  <c r="G14" i="15"/>
  <c r="L16" i="19"/>
  <c r="K16" i="25"/>
  <c r="K12" i="25"/>
  <c r="M10" i="25"/>
  <c r="K16" i="23"/>
  <c r="M10" i="23"/>
  <c r="K12" i="23"/>
  <c r="G10" i="3"/>
  <c r="I10" i="3"/>
  <c r="I12" i="5"/>
  <c r="I15" i="3"/>
  <c r="G15" i="3"/>
  <c r="I14" i="3"/>
  <c r="G14" i="3"/>
  <c r="G14" i="19"/>
  <c r="G10" i="19"/>
  <c r="I14" i="19"/>
  <c r="I10" i="19"/>
  <c r="I15" i="13"/>
  <c r="G15" i="13"/>
  <c r="I14" i="13"/>
  <c r="G10" i="13"/>
  <c r="I10" i="13"/>
  <c r="G14" i="13"/>
  <c r="F14" i="21"/>
  <c r="J14" i="21" s="1"/>
  <c r="AN12" i="20"/>
  <c r="F10" i="21"/>
  <c r="J10" i="21" s="1"/>
  <c r="AN9" i="20"/>
  <c r="U2" i="21"/>
  <c r="I10" i="15"/>
  <c r="G15" i="15"/>
  <c r="I15" i="15"/>
  <c r="G10" i="15"/>
  <c r="G14" i="17"/>
  <c r="G10" i="17"/>
  <c r="I14" i="17"/>
  <c r="I10" i="17"/>
  <c r="F14" i="11"/>
  <c r="J14" i="11" s="1"/>
  <c r="AN12" i="10"/>
  <c r="F10" i="11"/>
  <c r="J10" i="11" s="1"/>
  <c r="AN9" i="10"/>
  <c r="U2" i="11"/>
  <c r="F15" i="11"/>
  <c r="J15" i="11" s="1"/>
  <c r="AN14" i="10"/>
  <c r="F14" i="7"/>
  <c r="J14" i="7" s="1"/>
  <c r="AN12" i="6"/>
  <c r="I17" i="5"/>
  <c r="G12" i="5"/>
  <c r="K10" i="5"/>
  <c r="K15" i="5"/>
  <c r="M15" i="5" s="1"/>
  <c r="Q15" i="5" s="1"/>
  <c r="S15" i="5" s="1"/>
  <c r="U2" i="7"/>
  <c r="F10" i="7"/>
  <c r="J10" i="7" s="1"/>
  <c r="AN9" i="6"/>
  <c r="AN14" i="6"/>
  <c r="F15" i="7"/>
  <c r="J15" i="7" s="1"/>
  <c r="G10" i="9"/>
  <c r="I15" i="9"/>
  <c r="G14" i="9"/>
  <c r="G15" i="9"/>
  <c r="I14" i="9"/>
  <c r="I10" i="9"/>
  <c r="I12" i="9" s="1"/>
  <c r="G17" i="5"/>
  <c r="K14" i="5"/>
  <c r="K14" i="15" l="1"/>
  <c r="M14" i="15" s="1"/>
  <c r="Q14" i="15" s="1"/>
  <c r="S14" i="15" s="1"/>
  <c r="M12" i="25"/>
  <c r="Q10" i="25"/>
  <c r="M16" i="25"/>
  <c r="Q10" i="23"/>
  <c r="M12" i="23"/>
  <c r="M16" i="23"/>
  <c r="K14" i="17"/>
  <c r="M14" i="17" s="1"/>
  <c r="Q14" i="17" s="1"/>
  <c r="S14" i="17" s="1"/>
  <c r="K10" i="3"/>
  <c r="M10" i="3" s="1"/>
  <c r="Q10" i="3" s="1"/>
  <c r="S10" i="3" s="1"/>
  <c r="I12" i="17"/>
  <c r="K15" i="9"/>
  <c r="M15" i="9" s="1"/>
  <c r="Q15" i="9" s="1"/>
  <c r="S15" i="9" s="1"/>
  <c r="K15" i="3"/>
  <c r="M15" i="3" s="1"/>
  <c r="Q15" i="3" s="1"/>
  <c r="S15" i="3" s="1"/>
  <c r="I12" i="3"/>
  <c r="G12" i="3"/>
  <c r="G17" i="3"/>
  <c r="K14" i="3"/>
  <c r="I17" i="3"/>
  <c r="G12" i="17"/>
  <c r="K10" i="17"/>
  <c r="G17" i="15"/>
  <c r="G12" i="19"/>
  <c r="K10" i="19"/>
  <c r="I17" i="15"/>
  <c r="G14" i="21"/>
  <c r="I14" i="21"/>
  <c r="I10" i="21"/>
  <c r="G10" i="21"/>
  <c r="G12" i="13"/>
  <c r="K10" i="13"/>
  <c r="G16" i="19"/>
  <c r="G12" i="15"/>
  <c r="K10" i="15"/>
  <c r="K15" i="15"/>
  <c r="M15" i="15" s="1"/>
  <c r="Q15" i="15" s="1"/>
  <c r="S15" i="15" s="1"/>
  <c r="K14" i="13"/>
  <c r="G17" i="13"/>
  <c r="I16" i="19"/>
  <c r="G16" i="17"/>
  <c r="I16" i="17"/>
  <c r="I12" i="15"/>
  <c r="I12" i="13"/>
  <c r="I17" i="13"/>
  <c r="K15" i="13"/>
  <c r="M15" i="13" s="1"/>
  <c r="Q15" i="13" s="1"/>
  <c r="S15" i="13" s="1"/>
  <c r="I12" i="19"/>
  <c r="K14" i="19"/>
  <c r="M14" i="19" s="1"/>
  <c r="Q14" i="19" s="1"/>
  <c r="S14" i="19" s="1"/>
  <c r="I14" i="11"/>
  <c r="G10" i="11"/>
  <c r="G15" i="11"/>
  <c r="G14" i="11"/>
  <c r="I10" i="11"/>
  <c r="I15" i="11"/>
  <c r="I17" i="9"/>
  <c r="K10" i="9"/>
  <c r="G12" i="9"/>
  <c r="K14" i="9"/>
  <c r="G17" i="9"/>
  <c r="K12" i="5"/>
  <c r="M10" i="5"/>
  <c r="G15" i="7"/>
  <c r="I10" i="7"/>
  <c r="I15" i="7"/>
  <c r="G10" i="7"/>
  <c r="I14" i="7"/>
  <c r="G14" i="7"/>
  <c r="M14" i="5"/>
  <c r="K17" i="5"/>
  <c r="Q16" i="25" l="1"/>
  <c r="S16" i="25"/>
  <c r="S10" i="25"/>
  <c r="S12" i="25" s="1"/>
  <c r="Q12" i="25"/>
  <c r="S16" i="23"/>
  <c r="Q16" i="23"/>
  <c r="S10" i="23"/>
  <c r="S12" i="23" s="1"/>
  <c r="Q12" i="23"/>
  <c r="I16" i="21"/>
  <c r="I12" i="11"/>
  <c r="K17" i="3"/>
  <c r="M14" i="3"/>
  <c r="K12" i="3"/>
  <c r="K16" i="17"/>
  <c r="K16" i="19"/>
  <c r="K10" i="21"/>
  <c r="G12" i="21"/>
  <c r="K17" i="15"/>
  <c r="K12" i="15"/>
  <c r="M10" i="15"/>
  <c r="I12" i="21"/>
  <c r="K12" i="13"/>
  <c r="M10" i="13"/>
  <c r="M10" i="19"/>
  <c r="K12" i="19"/>
  <c r="K12" i="17"/>
  <c r="M10" i="17"/>
  <c r="K17" i="13"/>
  <c r="M14" i="13"/>
  <c r="G16" i="21"/>
  <c r="K14" i="21"/>
  <c r="M14" i="21" s="1"/>
  <c r="Q14" i="21" s="1"/>
  <c r="S14" i="21" s="1"/>
  <c r="K10" i="11"/>
  <c r="G12" i="11"/>
  <c r="K15" i="11"/>
  <c r="M15" i="11" s="1"/>
  <c r="Q15" i="11" s="1"/>
  <c r="S15" i="11" s="1"/>
  <c r="I17" i="11"/>
  <c r="K14" i="11"/>
  <c r="G17" i="11"/>
  <c r="G12" i="7"/>
  <c r="K10" i="7"/>
  <c r="I17" i="7"/>
  <c r="M12" i="5"/>
  <c r="Q10" i="5"/>
  <c r="K12" i="9"/>
  <c r="M10" i="9"/>
  <c r="G17" i="7"/>
  <c r="K14" i="7"/>
  <c r="I12" i="7"/>
  <c r="Q14" i="5"/>
  <c r="M17" i="5"/>
  <c r="K15" i="7"/>
  <c r="M15" i="7" s="1"/>
  <c r="Q15" i="7" s="1"/>
  <c r="S15" i="7" s="1"/>
  <c r="K17" i="9"/>
  <c r="M14" i="9"/>
  <c r="M12" i="3" l="1"/>
  <c r="Q14" i="3"/>
  <c r="M17" i="3"/>
  <c r="Q10" i="19"/>
  <c r="M12" i="19"/>
  <c r="M16" i="19"/>
  <c r="K16" i="21"/>
  <c r="Q10" i="13"/>
  <c r="M12" i="13"/>
  <c r="M16" i="17"/>
  <c r="M12" i="17"/>
  <c r="Q10" i="17"/>
  <c r="M12" i="15"/>
  <c r="Q10" i="15"/>
  <c r="Q14" i="13"/>
  <c r="M17" i="13"/>
  <c r="M17" i="15"/>
  <c r="K12" i="21"/>
  <c r="M10" i="21"/>
  <c r="K17" i="11"/>
  <c r="M14" i="11"/>
  <c r="K12" i="11"/>
  <c r="M10" i="11"/>
  <c r="M14" i="7"/>
  <c r="K17" i="7"/>
  <c r="Q12" i="5"/>
  <c r="S10" i="5"/>
  <c r="S12" i="5" s="1"/>
  <c r="M10" i="7"/>
  <c r="K12" i="7"/>
  <c r="Q14" i="9"/>
  <c r="M17" i="9"/>
  <c r="Q17" i="5"/>
  <c r="S14" i="5"/>
  <c r="S17" i="5" s="1"/>
  <c r="Q10" i="9"/>
  <c r="M12" i="9"/>
  <c r="Q17" i="3" l="1"/>
  <c r="S14" i="3"/>
  <c r="S17" i="3" s="1"/>
  <c r="S12" i="3"/>
  <c r="Q12" i="3"/>
  <c r="Q12" i="13"/>
  <c r="S10" i="13"/>
  <c r="S12" i="13" s="1"/>
  <c r="Q10" i="21"/>
  <c r="M12" i="21"/>
  <c r="Q12" i="17"/>
  <c r="S10" i="17"/>
  <c r="S12" i="17" s="1"/>
  <c r="S14" i="13"/>
  <c r="S17" i="13" s="1"/>
  <c r="Q17" i="13"/>
  <c r="Q16" i="19"/>
  <c r="S16" i="19"/>
  <c r="Q17" i="15"/>
  <c r="S17" i="15"/>
  <c r="Q12" i="15"/>
  <c r="S10" i="15"/>
  <c r="S12" i="15" s="1"/>
  <c r="Q16" i="17"/>
  <c r="S16" i="17"/>
  <c r="M16" i="21"/>
  <c r="Q12" i="19"/>
  <c r="S10" i="19"/>
  <c r="S12" i="19" s="1"/>
  <c r="Q10" i="11"/>
  <c r="M12" i="11"/>
  <c r="Q14" i="11"/>
  <c r="M17" i="11"/>
  <c r="S10" i="9"/>
  <c r="S12" i="9" s="1"/>
  <c r="Q12" i="9"/>
  <c r="S14" i="9"/>
  <c r="S17" i="9" s="1"/>
  <c r="Q17" i="9"/>
  <c r="Q10" i="7"/>
  <c r="M12" i="7"/>
  <c r="Q14" i="7"/>
  <c r="M17" i="7"/>
  <c r="S10" i="21" l="1"/>
  <c r="S12" i="21" s="1"/>
  <c r="Q12" i="21"/>
  <c r="S16" i="21"/>
  <c r="Q16" i="21"/>
  <c r="S14" i="11"/>
  <c r="S17" i="11" s="1"/>
  <c r="Q17" i="11"/>
  <c r="S10" i="11"/>
  <c r="S12" i="11" s="1"/>
  <c r="Q12" i="11"/>
  <c r="Q17" i="7"/>
  <c r="S14" i="7"/>
  <c r="S17" i="7" s="1"/>
  <c r="Q12" i="7"/>
  <c r="S10" i="7"/>
  <c r="S12" i="7" s="1"/>
</calcChain>
</file>

<file path=xl/sharedStrings.xml><?xml version="1.0" encoding="utf-8"?>
<sst xmlns="http://schemas.openxmlformats.org/spreadsheetml/2006/main" count="1056" uniqueCount="169">
  <si>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</si>
  <si>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</si>
  <si>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</si>
  <si>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</si>
  <si>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</si>
  <si>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</si>
  <si>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</si>
  <si>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</si>
  <si>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</si>
  <si>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</si>
  <si>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</si>
  <si>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</si>
  <si>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</si>
  <si>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</si>
  <si>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</si>
  <si>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</si>
  <si>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</si>
  <si>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</si>
  <si>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</si>
  <si>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</si>
  <si>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</si>
  <si>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</si>
  <si>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</si>
  <si>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</si>
  <si>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</si>
  <si>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</si>
  <si>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</si>
  <si>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</si>
  <si>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</si>
  <si>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</si>
  <si>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</si>
  <si>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Nguyễn Thị Thanh Thúy</t>
  </si>
  <si>
    <t>Công nhân</t>
  </si>
  <si>
    <t>CN02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</si>
  <si>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</si>
  <si>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</si>
  <si>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</si>
  <si>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</si>
  <si>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</si>
  <si>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</si>
  <si>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</si>
  <si>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</si>
  <si>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</si>
  <si>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</si>
  <si>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</si>
  <si>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</si>
  <si>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</si>
  <si>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</si>
  <si>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</si>
  <si>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</si>
  <si>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</si>
  <si>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</si>
  <si>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</si>
  <si>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</si>
  <si>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</si>
  <si>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</si>
  <si>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</si>
  <si>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</si>
  <si>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</si>
  <si>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</si>
  <si>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</si>
  <si>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</si>
  <si>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</si>
  <si>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</si>
  <si>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</si>
  <si>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</si>
  <si>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</si>
  <si>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</si>
  <si>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</si>
  <si>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</si>
  <si>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</si>
  <si>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</si>
  <si>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</si>
  <si>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</si>
  <si>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</si>
  <si>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</si>
  <si>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</si>
  <si>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</si>
  <si>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</si>
  <si>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</si>
  <si>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</si>
  <si>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</si>
  <si>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</si>
  <si>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</si>
  <si>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</si>
  <si>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</si>
  <si>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</si>
  <si>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</si>
  <si>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</si>
  <si>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</si>
  <si>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</si>
  <si>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</si>
  <si>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</si>
  <si>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</si>
  <si>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</si>
  <si>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</si>
  <si>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</si>
  <si>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</si>
  <si>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</si>
  <si>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</si>
  <si>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</si>
  <si>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</si>
  <si>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</si>
  <si>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</si>
  <si>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</si>
  <si>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</si>
  <si>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</si>
  <si>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</si>
  <si>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</si>
  <si>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</si>
  <si>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</si>
  <si>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</si>
  <si>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</si>
  <si>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</si>
  <si>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</si>
  <si>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</si>
  <si>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</si>
  <si>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</si>
  <si>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</si>
  <si>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</si>
  <si>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</si>
  <si>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</si>
  <si>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</si>
  <si>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</si>
  <si>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</si>
  <si>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</si>
  <si>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</si>
  <si>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</si>
  <si>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</si>
  <si>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</si>
  <si>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</si>
  <si>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</si>
  <si>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</si>
  <si>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</si>
  <si>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</si>
  <si>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</si>
  <si>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</si>
  <si>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</si>
  <si>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</si>
  <si>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</si>
  <si>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</si>
  <si>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</si>
  <si>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</si>
  <si>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</si>
  <si>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</si>
  <si>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</si>
  <si>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</si>
  <si>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</si>
  <si>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</si>
  <si>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</si>
  <si>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</si>
  <si>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</si>
  <si>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</si>
  <si>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</si>
  <si>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</si>
  <si>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</si>
  <si>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</si>
  <si>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</si>
  <si>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</si>
  <si>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</si>
  <si>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</si>
  <si>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</si>
  <si>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</si>
  <si>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</si>
  <si>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</si>
  <si>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</si>
  <si>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</si>
  <si>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</si>
  <si>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Hồ Thị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</si>
</sst>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5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4"/>
  <sheetViews>
    <sheetView topLeftCell="A8" workbookViewId="0">
      <pane ySplit="3" topLeftCell="A11" activePane="bottomLeft" state="frozen"/>
      <selection activeCell="E19" sqref="E19"/>
      <selection pane="bottomLeft" activeCell="E12" sqref="E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197" t="s">
        <v>2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</row>
    <row r="6" spans="1:26" ht="23.25" customHeight="1">
      <c r="A6" s="198" t="str">
        <f>"Tháng "&amp;'CC -1'!C4&amp;" năm 2011"</f>
        <v>Tháng  năm 2011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199" t="s">
        <v>3</v>
      </c>
      <c r="B8" s="199" t="s">
        <v>4</v>
      </c>
      <c r="C8" s="199" t="s">
        <v>5</v>
      </c>
      <c r="D8" s="199" t="s">
        <v>6</v>
      </c>
      <c r="E8" s="200" t="s">
        <v>7</v>
      </c>
      <c r="F8" s="201"/>
      <c r="G8" s="204" t="s">
        <v>8</v>
      </c>
      <c r="H8" s="204"/>
      <c r="I8" s="204" t="s">
        <v>9</v>
      </c>
      <c r="J8" s="204" t="s">
        <v>10</v>
      </c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5" t="s">
        <v>11</v>
      </c>
      <c r="W8" s="205" t="s">
        <v>12</v>
      </c>
      <c r="X8" s="205" t="s">
        <v>13</v>
      </c>
      <c r="Y8" s="9"/>
      <c r="Z8" s="9"/>
    </row>
    <row r="9" spans="1:26" s="1" customFormat="1" ht="20.25" customHeight="1">
      <c r="A9" s="199"/>
      <c r="B9" s="199"/>
      <c r="C9" s="199"/>
      <c r="D9" s="199"/>
      <c r="E9" s="202"/>
      <c r="F9" s="203"/>
      <c r="G9" s="10" t="s">
        <v>14</v>
      </c>
      <c r="H9" s="10" t="s">
        <v>15</v>
      </c>
      <c r="I9" s="204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6"/>
      <c r="W9" s="206"/>
      <c r="X9" s="206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5" si="0">IF(B11&lt;&gt;"",ROW()-10,"")</f>
        <v>1</v>
      </c>
      <c r="B11" s="12" t="s">
        <v>28</v>
      </c>
      <c r="C11" s="16" t="s">
        <v>168</v>
      </c>
      <c r="D11" s="12" t="s">
        <v>29</v>
      </c>
      <c r="E11" s="13">
        <v>1240000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si="0"/>
        <v>2</v>
      </c>
      <c r="B12" s="21" t="s">
        <v>30</v>
      </c>
      <c r="C12" s="22" t="s">
        <v>31</v>
      </c>
      <c r="D12" s="15" t="s">
        <v>32</v>
      </c>
      <c r="E12" s="17">
        <v>2000000</v>
      </c>
      <c r="F12" s="17"/>
      <c r="G12" s="17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 t="shared" si="0"/>
        <v>3</v>
      </c>
      <c r="B13" s="21" t="s">
        <v>33</v>
      </c>
      <c r="C13" s="22" t="s">
        <v>34</v>
      </c>
      <c r="D13" s="15" t="s">
        <v>32</v>
      </c>
      <c r="E13" s="17">
        <v>2500000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ht="21.75" customHeight="1">
      <c r="A14" s="12" t="str">
        <f t="shared" si="0"/>
        <v/>
      </c>
      <c r="B14" s="23"/>
      <c r="C14" s="2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9"/>
    </row>
    <row r="15" spans="1:26" ht="21.75" customHeight="1">
      <c r="A15" s="12" t="str">
        <f t="shared" si="0"/>
        <v/>
      </c>
      <c r="B15" s="27"/>
      <c r="C15" s="28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9"/>
    </row>
    <row r="16" spans="1:26" ht="21.75" customHeight="1">
      <c r="A16" s="207" t="s">
        <v>35</v>
      </c>
      <c r="B16" s="208"/>
      <c r="C16" s="208"/>
      <c r="D16" s="31" t="s">
        <v>36</v>
      </c>
      <c r="E16" s="32">
        <f>SUM(E11:E15)</f>
        <v>5740000</v>
      </c>
      <c r="F16" s="32">
        <f>SUM(F11:F15)</f>
        <v>0</v>
      </c>
      <c r="G16" s="32">
        <f>SUM(G11:G15)</f>
        <v>780000</v>
      </c>
      <c r="H16" s="32">
        <f>SUM(H11:H15)</f>
        <v>0</v>
      </c>
      <c r="I16" s="32"/>
      <c r="J16" s="32">
        <f t="shared" ref="J16:U16" si="1">SUMIF(J$11:J$15,"x",$E$11:$E$15)</f>
        <v>0</v>
      </c>
      <c r="K16" s="32">
        <f t="shared" si="1"/>
        <v>0</v>
      </c>
      <c r="L16" s="32">
        <f t="shared" si="1"/>
        <v>0</v>
      </c>
      <c r="M16" s="32">
        <f t="shared" si="1"/>
        <v>0</v>
      </c>
      <c r="N16" s="32">
        <f t="shared" si="1"/>
        <v>0</v>
      </c>
      <c r="O16" s="32">
        <f t="shared" si="1"/>
        <v>0</v>
      </c>
      <c r="P16" s="32">
        <f t="shared" si="1"/>
        <v>0</v>
      </c>
      <c r="Q16" s="32">
        <f t="shared" si="1"/>
        <v>0</v>
      </c>
      <c r="R16" s="32">
        <f t="shared" si="1"/>
        <v>0</v>
      </c>
      <c r="S16" s="32">
        <f t="shared" si="1"/>
        <v>0</v>
      </c>
      <c r="T16" s="32">
        <f t="shared" si="1"/>
        <v>0</v>
      </c>
      <c r="U16" s="32">
        <f t="shared" si="1"/>
        <v>0</v>
      </c>
      <c r="V16" s="32"/>
      <c r="W16" s="32"/>
      <c r="X16" s="32"/>
      <c r="Y16" s="9"/>
    </row>
    <row r="17" spans="1:25" ht="21.75" customHeight="1">
      <c r="A17" s="209"/>
      <c r="B17" s="210"/>
      <c r="C17" s="210"/>
      <c r="D17" s="31" t="s">
        <v>37</v>
      </c>
      <c r="E17" s="32"/>
      <c r="F17" s="32"/>
      <c r="G17" s="32"/>
      <c r="H17" s="32"/>
      <c r="I17" s="32"/>
      <c r="J17" s="32">
        <f t="array" ref="J17">SUM((J$11:J$15="x")*1)</f>
        <v>0</v>
      </c>
      <c r="K17" s="32">
        <f t="array" ref="K17">SUM((K$11:K$15="x")*1)</f>
        <v>0</v>
      </c>
      <c r="L17" s="32">
        <f t="array" ref="L17">SUM((L$11:L$15="x")*1)</f>
        <v>0</v>
      </c>
      <c r="M17" s="32">
        <f t="array" ref="M17">SUM((M$11:M$15="x")*1)</f>
        <v>0</v>
      </c>
      <c r="N17" s="32">
        <f t="array" ref="N17">SUM((N$11:N$15="x")*1)</f>
        <v>0</v>
      </c>
      <c r="O17" s="32">
        <f t="array" ref="O17">SUM((O$11:O$15="x")*1)</f>
        <v>0</v>
      </c>
      <c r="P17" s="32">
        <f t="array" ref="P17">SUM((P$11:P$15="x")*1)</f>
        <v>0</v>
      </c>
      <c r="Q17" s="32">
        <f t="array" ref="Q17">SUM((Q$11:Q$15="x")*1)</f>
        <v>0</v>
      </c>
      <c r="R17" s="32">
        <f t="array" ref="R17">SUM((R$11:R$15="x")*1)</f>
        <v>0</v>
      </c>
      <c r="S17" s="32">
        <f t="array" ref="S17">SUM((S$11:S$15="x")*1)</f>
        <v>0</v>
      </c>
      <c r="T17" s="32">
        <f t="array" ref="T17">SUM((T$11:T$15="x")*1)</f>
        <v>0</v>
      </c>
      <c r="U17" s="32">
        <f t="array" ref="U17">SUM((U$11:U$15="x")*1)</f>
        <v>0</v>
      </c>
      <c r="V17" s="32"/>
      <c r="W17" s="32"/>
      <c r="X17" s="32"/>
      <c r="Y17" s="9"/>
    </row>
    <row r="18" spans="1:25" ht="21.75" customHeight="1">
      <c r="A18" s="211"/>
      <c r="B18" s="212"/>
      <c r="C18" s="212"/>
      <c r="D18" s="31" t="s">
        <v>38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9"/>
    </row>
    <row r="19" spans="1:25" ht="11.25" customHeight="1">
      <c r="A19" s="33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39</v>
      </c>
      <c r="X20" s="34"/>
    </row>
    <row r="21" spans="1:25" ht="16.5" customHeight="1">
      <c r="A21" s="33"/>
      <c r="B21" s="33"/>
      <c r="C21" s="36" t="s">
        <v>40</v>
      </c>
      <c r="D21" s="37"/>
      <c r="E21" s="38"/>
      <c r="F21" s="39"/>
      <c r="G21" s="39"/>
      <c r="H21" s="39"/>
      <c r="I21" s="40"/>
      <c r="J21" s="40">
        <v>8278</v>
      </c>
      <c r="K21" s="41" t="e">
        <f>#REF!/27/8</f>
        <v>#REF!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2" t="s">
        <v>41</v>
      </c>
      <c r="X21" s="42"/>
    </row>
    <row r="22" spans="1:25" ht="11.25" customHeight="1">
      <c r="A22" s="33"/>
      <c r="B22" s="33"/>
      <c r="C22" s="36"/>
      <c r="D22" s="37"/>
      <c r="E22" s="38"/>
      <c r="F22" s="39"/>
      <c r="G22" s="39"/>
      <c r="H22" s="39"/>
      <c r="I22" s="40"/>
      <c r="J22" s="40"/>
      <c r="K22" s="40" t="e">
        <f>J21/K21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/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s="3" customFormat="1">
      <c r="A27" s="43"/>
      <c r="B27" s="43"/>
      <c r="C27" s="44" t="s">
        <v>42</v>
      </c>
      <c r="D27" s="37"/>
      <c r="E27" s="38"/>
      <c r="F27" s="39"/>
      <c r="G27" s="39"/>
      <c r="H27" s="39"/>
      <c r="I27" s="40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6"/>
      <c r="X27" s="47"/>
    </row>
    <row r="28" spans="1:25" s="3" customFormat="1" ht="9" customHeight="1">
      <c r="A28" s="2"/>
      <c r="B28" s="2"/>
      <c r="C28" s="48"/>
      <c r="D28" s="48"/>
      <c r="E28" s="38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50"/>
      <c r="X28" s="50"/>
    </row>
    <row r="29" spans="1:25" s="3" customFormat="1">
      <c r="A29" s="2"/>
      <c r="B29" s="2"/>
      <c r="C29" s="2"/>
      <c r="D29" s="2"/>
      <c r="E29" s="38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3" spans="3:14">
      <c r="C43" s="51"/>
      <c r="G43" s="22" t="s">
        <v>43</v>
      </c>
      <c r="J43" s="2" t="s">
        <v>44</v>
      </c>
      <c r="K43" s="2" t="s">
        <v>43</v>
      </c>
      <c r="M43" s="2" t="str">
        <f>VLOOKUP(K43,$G$43:$J$102,4,0)</f>
        <v>ALTP001</v>
      </c>
      <c r="N43" s="196" t="str">
        <f>M43</f>
        <v>ALTP001</v>
      </c>
    </row>
    <row r="44" spans="3:14">
      <c r="C44" s="51"/>
      <c r="G44" s="22" t="s">
        <v>45</v>
      </c>
      <c r="J44" s="2" t="s">
        <v>46</v>
      </c>
      <c r="K44" s="2" t="s">
        <v>45</v>
      </c>
      <c r="M44" s="2" t="str">
        <f t="shared" ref="M44:M73" si="2">VLOOKUP(K44,$G$43:$J$102,4,0)</f>
        <v>ALTP002</v>
      </c>
      <c r="N44" s="196"/>
    </row>
    <row r="45" spans="3:14">
      <c r="C45" s="51"/>
      <c r="G45" s="22" t="s">
        <v>47</v>
      </c>
      <c r="J45" s="2" t="s">
        <v>48</v>
      </c>
      <c r="K45" s="2" t="s">
        <v>47</v>
      </c>
      <c r="M45" s="2" t="str">
        <f t="shared" si="2"/>
        <v>ALTP003</v>
      </c>
      <c r="N45" s="196" t="str">
        <f>M44</f>
        <v>ALTP002</v>
      </c>
    </row>
    <row r="46" spans="3:14">
      <c r="C46" s="51"/>
      <c r="G46" s="22" t="s">
        <v>49</v>
      </c>
      <c r="J46" s="2" t="s">
        <v>50</v>
      </c>
      <c r="K46" s="2" t="s">
        <v>49</v>
      </c>
      <c r="M46" s="2" t="str">
        <f t="shared" si="2"/>
        <v>ALTP004</v>
      </c>
      <c r="N46" s="196"/>
    </row>
    <row r="47" spans="3:14">
      <c r="C47" s="51"/>
      <c r="G47" s="22" t="s">
        <v>51</v>
      </c>
      <c r="J47" s="2" t="s">
        <v>52</v>
      </c>
      <c r="K47" s="2" t="s">
        <v>51</v>
      </c>
      <c r="M47" s="2" t="str">
        <f t="shared" si="2"/>
        <v>ALTP005</v>
      </c>
      <c r="N47" s="196" t="str">
        <f>M45</f>
        <v>ALTP003</v>
      </c>
    </row>
    <row r="48" spans="3:14">
      <c r="C48" s="51"/>
      <c r="G48" s="22" t="s">
        <v>53</v>
      </c>
      <c r="J48" s="2" t="s">
        <v>54</v>
      </c>
      <c r="K48" s="2" t="s">
        <v>53</v>
      </c>
      <c r="M48" s="2" t="str">
        <f t="shared" si="2"/>
        <v>ALTP006</v>
      </c>
      <c r="N48" s="196"/>
    </row>
    <row r="49" spans="3:14">
      <c r="C49" s="51"/>
      <c r="G49" s="22" t="s">
        <v>55</v>
      </c>
      <c r="J49" s="2" t="s">
        <v>56</v>
      </c>
      <c r="K49" s="2" t="s">
        <v>55</v>
      </c>
      <c r="M49" s="2" t="str">
        <f t="shared" si="2"/>
        <v>ALTP007</v>
      </c>
      <c r="N49" s="196" t="str">
        <f>M46</f>
        <v>ALTP004</v>
      </c>
    </row>
    <row r="50" spans="3:14">
      <c r="C50" s="51"/>
      <c r="G50" s="22" t="s">
        <v>57</v>
      </c>
      <c r="J50" s="2" t="s">
        <v>58</v>
      </c>
      <c r="K50" s="2" t="s">
        <v>57</v>
      </c>
      <c r="M50" s="2" t="str">
        <f t="shared" si="2"/>
        <v>ALTP008</v>
      </c>
      <c r="N50" s="196"/>
    </row>
    <row r="51" spans="3:14">
      <c r="C51" s="51"/>
      <c r="G51" s="22" t="s">
        <v>59</v>
      </c>
      <c r="J51" s="2" t="s">
        <v>60</v>
      </c>
      <c r="K51" s="2" t="s">
        <v>59</v>
      </c>
      <c r="M51" s="2" t="str">
        <f t="shared" si="2"/>
        <v>ALTP009</v>
      </c>
      <c r="N51" s="196" t="str">
        <f>M47</f>
        <v>ALTP005</v>
      </c>
    </row>
    <row r="52" spans="3:14">
      <c r="C52" s="51"/>
      <c r="G52" s="22" t="s">
        <v>61</v>
      </c>
      <c r="J52" s="2" t="s">
        <v>62</v>
      </c>
      <c r="K52" s="2" t="s">
        <v>61</v>
      </c>
      <c r="M52" s="2" t="str">
        <f t="shared" si="2"/>
        <v>ALTP010</v>
      </c>
      <c r="N52" s="196"/>
    </row>
    <row r="53" spans="3:14">
      <c r="C53" s="51"/>
      <c r="G53" s="22" t="s">
        <v>63</v>
      </c>
      <c r="J53" s="2" t="s">
        <v>64</v>
      </c>
      <c r="K53" s="2" t="s">
        <v>63</v>
      </c>
      <c r="M53" s="2" t="str">
        <f t="shared" si="2"/>
        <v>ALTP011</v>
      </c>
      <c r="N53" s="196" t="str">
        <f>M48</f>
        <v>ALTP006</v>
      </c>
    </row>
    <row r="54" spans="3:14">
      <c r="C54" s="51"/>
      <c r="G54" s="22" t="s">
        <v>65</v>
      </c>
      <c r="J54" s="2" t="s">
        <v>66</v>
      </c>
      <c r="K54" s="2" t="s">
        <v>67</v>
      </c>
      <c r="M54" s="2" t="str">
        <f t="shared" si="2"/>
        <v>ALTP013</v>
      </c>
      <c r="N54" s="196"/>
    </row>
    <row r="55" spans="3:14">
      <c r="C55" s="51"/>
      <c r="G55" s="22" t="s">
        <v>67</v>
      </c>
      <c r="J55" s="2" t="s">
        <v>68</v>
      </c>
      <c r="K55" s="2" t="s">
        <v>69</v>
      </c>
      <c r="M55" s="2" t="str">
        <f t="shared" si="2"/>
        <v>ALTP014</v>
      </c>
      <c r="N55" s="196" t="str">
        <f>M49</f>
        <v>ALTP007</v>
      </c>
    </row>
    <row r="56" spans="3:14">
      <c r="C56" s="51"/>
      <c r="G56" s="22" t="s">
        <v>69</v>
      </c>
      <c r="J56" s="2" t="s">
        <v>70</v>
      </c>
      <c r="K56" s="2" t="s">
        <v>71</v>
      </c>
      <c r="M56" s="2" t="str">
        <f t="shared" si="2"/>
        <v>ALTP015</v>
      </c>
      <c r="N56" s="196"/>
    </row>
    <row r="57" spans="3:14">
      <c r="C57" s="51"/>
      <c r="G57" s="22" t="s">
        <v>71</v>
      </c>
      <c r="J57" s="2" t="s">
        <v>72</v>
      </c>
      <c r="K57" s="2" t="s">
        <v>73</v>
      </c>
      <c r="M57" s="2" t="str">
        <f t="shared" si="2"/>
        <v>ALTP016</v>
      </c>
      <c r="N57" s="196" t="str">
        <f>M50</f>
        <v>ALTP008</v>
      </c>
    </row>
    <row r="58" spans="3:14">
      <c r="C58" s="51"/>
      <c r="G58" s="22" t="s">
        <v>73</v>
      </c>
      <c r="J58" s="2" t="s">
        <v>74</v>
      </c>
      <c r="K58" s="2" t="s">
        <v>75</v>
      </c>
      <c r="M58" s="2" t="str">
        <f t="shared" si="2"/>
        <v>ALTP017</v>
      </c>
      <c r="N58" s="196"/>
    </row>
    <row r="59" spans="3:14">
      <c r="C59" s="51"/>
      <c r="G59" s="22" t="s">
        <v>75</v>
      </c>
      <c r="J59" s="2" t="s">
        <v>76</v>
      </c>
      <c r="K59" s="2" t="s">
        <v>77</v>
      </c>
      <c r="M59" s="2" t="str">
        <f t="shared" si="2"/>
        <v>ALTP018</v>
      </c>
      <c r="N59" s="196" t="str">
        <f>M51</f>
        <v>ALTP009</v>
      </c>
    </row>
    <row r="60" spans="3:14">
      <c r="C60" s="51"/>
      <c r="G60" s="22" t="s">
        <v>77</v>
      </c>
      <c r="J60" s="2" t="s">
        <v>78</v>
      </c>
      <c r="K60" s="2" t="s">
        <v>79</v>
      </c>
      <c r="M60" s="2" t="str">
        <f t="shared" si="2"/>
        <v>ALTP019</v>
      </c>
      <c r="N60" s="196"/>
    </row>
    <row r="61" spans="3:14">
      <c r="C61" s="51"/>
      <c r="G61" s="22" t="s">
        <v>79</v>
      </c>
      <c r="J61" s="2" t="s">
        <v>80</v>
      </c>
      <c r="K61" s="2" t="s">
        <v>81</v>
      </c>
      <c r="M61" s="2" t="str">
        <f t="shared" si="2"/>
        <v>ALTP020</v>
      </c>
      <c r="N61" s="196" t="str">
        <f>M52</f>
        <v>ALTP010</v>
      </c>
    </row>
    <row r="62" spans="3:14">
      <c r="C62" s="51"/>
      <c r="G62" s="22" t="s">
        <v>81</v>
      </c>
      <c r="J62" s="2" t="s">
        <v>82</v>
      </c>
      <c r="K62" s="2" t="s">
        <v>83</v>
      </c>
      <c r="M62" s="2" t="str">
        <f t="shared" si="2"/>
        <v>ALTP025</v>
      </c>
      <c r="N62" s="196"/>
    </row>
    <row r="63" spans="3:14">
      <c r="C63" s="51"/>
      <c r="G63" s="22" t="s">
        <v>84</v>
      </c>
      <c r="J63" s="2" t="s">
        <v>85</v>
      </c>
      <c r="K63" s="2" t="s">
        <v>86</v>
      </c>
      <c r="M63" s="2" t="str">
        <f t="shared" si="2"/>
        <v>ALTP027</v>
      </c>
      <c r="N63" s="196" t="str">
        <f>M53</f>
        <v>ALTP011</v>
      </c>
    </row>
    <row r="64" spans="3:14">
      <c r="C64" s="51"/>
      <c r="G64" s="22" t="s">
        <v>87</v>
      </c>
      <c r="J64" s="2" t="s">
        <v>88</v>
      </c>
      <c r="K64" s="2" t="s">
        <v>89</v>
      </c>
      <c r="M64" s="2" t="str">
        <f t="shared" si="2"/>
        <v>ALTN001</v>
      </c>
      <c r="N64" s="196"/>
    </row>
    <row r="65" spans="3:14">
      <c r="C65" s="51"/>
      <c r="G65" s="22" t="s">
        <v>86</v>
      </c>
      <c r="J65" s="2" t="s">
        <v>90</v>
      </c>
      <c r="K65" s="2" t="s">
        <v>91</v>
      </c>
      <c r="M65" s="2" t="str">
        <f t="shared" si="2"/>
        <v>ALTN002</v>
      </c>
      <c r="N65" s="196" t="str">
        <f>M54</f>
        <v>ALTP013</v>
      </c>
    </row>
    <row r="66" spans="3:14">
      <c r="C66" s="51"/>
      <c r="G66" s="2" t="s">
        <v>92</v>
      </c>
      <c r="J66" s="2" t="s">
        <v>93</v>
      </c>
      <c r="K66" s="2" t="s">
        <v>94</v>
      </c>
      <c r="M66" s="2" t="str">
        <f t="shared" si="2"/>
        <v>ALTN003</v>
      </c>
      <c r="N66" s="196"/>
    </row>
    <row r="67" spans="3:14">
      <c r="C67" s="51"/>
      <c r="G67" s="2" t="s">
        <v>95</v>
      </c>
      <c r="J67" s="2" t="s">
        <v>96</v>
      </c>
      <c r="K67" s="2" t="s">
        <v>97</v>
      </c>
      <c r="M67" s="2" t="str">
        <f t="shared" si="2"/>
        <v>ALTN004</v>
      </c>
      <c r="N67" s="196" t="str">
        <f>M55</f>
        <v>ALTP014</v>
      </c>
    </row>
    <row r="68" spans="3:14">
      <c r="C68" s="51"/>
      <c r="G68" s="2" t="s">
        <v>83</v>
      </c>
      <c r="J68" s="2" t="s">
        <v>98</v>
      </c>
      <c r="K68" s="2" t="s">
        <v>99</v>
      </c>
      <c r="M68" s="2" t="str">
        <f t="shared" si="2"/>
        <v>ALTN006</v>
      </c>
      <c r="N68" s="196"/>
    </row>
    <row r="69" spans="3:14">
      <c r="C69" s="51"/>
      <c r="G69" s="2" t="s">
        <v>100</v>
      </c>
      <c r="J69" s="2" t="s">
        <v>101</v>
      </c>
      <c r="K69" s="2" t="s">
        <v>102</v>
      </c>
      <c r="M69" s="2" t="str">
        <f t="shared" si="2"/>
        <v>ALTN007</v>
      </c>
      <c r="N69" s="196" t="str">
        <f>M56</f>
        <v>ALTP015</v>
      </c>
    </row>
    <row r="70" spans="3:14">
      <c r="C70" s="51"/>
      <c r="G70" s="2" t="s">
        <v>89</v>
      </c>
      <c r="J70" s="2" t="s">
        <v>103</v>
      </c>
      <c r="K70" s="2" t="s">
        <v>104</v>
      </c>
      <c r="M70" s="2" t="str">
        <f t="shared" si="2"/>
        <v>ALTN008</v>
      </c>
      <c r="N70" s="196"/>
    </row>
    <row r="71" spans="3:14">
      <c r="C71" s="51"/>
      <c r="G71" s="2" t="s">
        <v>91</v>
      </c>
      <c r="J71" s="2" t="s">
        <v>105</v>
      </c>
      <c r="K71" s="2" t="s">
        <v>106</v>
      </c>
      <c r="M71" s="2" t="str">
        <f t="shared" si="2"/>
        <v>ALTN009</v>
      </c>
      <c r="N71" s="196" t="str">
        <f>M57</f>
        <v>ALTP016</v>
      </c>
    </row>
    <row r="72" spans="3:14">
      <c r="C72" s="51"/>
      <c r="G72" s="2" t="s">
        <v>94</v>
      </c>
      <c r="J72" s="2" t="s">
        <v>107</v>
      </c>
      <c r="K72" s="2" t="s">
        <v>108</v>
      </c>
      <c r="M72" s="2" t="str">
        <f t="shared" si="2"/>
        <v>ALTN010</v>
      </c>
      <c r="N72" s="196"/>
    </row>
    <row r="73" spans="3:14">
      <c r="C73" s="51"/>
      <c r="G73" s="2" t="s">
        <v>97</v>
      </c>
      <c r="J73" s="2" t="s">
        <v>109</v>
      </c>
      <c r="K73" s="2" t="s">
        <v>110</v>
      </c>
      <c r="M73" s="2" t="str">
        <f t="shared" si="2"/>
        <v>ALTN011</v>
      </c>
      <c r="N73" s="196" t="str">
        <f>M58</f>
        <v>ALTP017</v>
      </c>
    </row>
    <row r="74" spans="3:14">
      <c r="C74" s="51"/>
      <c r="G74" s="2" t="s">
        <v>111</v>
      </c>
      <c r="J74" s="2" t="s">
        <v>112</v>
      </c>
      <c r="N74" s="196"/>
    </row>
    <row r="75" spans="3:14">
      <c r="C75" s="51"/>
      <c r="G75" s="4" t="s">
        <v>99</v>
      </c>
      <c r="J75" s="2" t="s">
        <v>113</v>
      </c>
      <c r="N75" s="196" t="str">
        <f>M59</f>
        <v>ALTP018</v>
      </c>
    </row>
    <row r="76" spans="3:14">
      <c r="C76" s="51"/>
      <c r="G76" s="4" t="s">
        <v>102</v>
      </c>
      <c r="J76" s="2" t="s">
        <v>114</v>
      </c>
      <c r="N76" s="196"/>
    </row>
    <row r="77" spans="3:14">
      <c r="C77" s="51"/>
      <c r="G77" s="4" t="s">
        <v>104</v>
      </c>
      <c r="J77" s="2" t="s">
        <v>115</v>
      </c>
      <c r="N77" s="196" t="str">
        <f>M60</f>
        <v>ALTP019</v>
      </c>
    </row>
    <row r="78" spans="3:14">
      <c r="C78" s="51"/>
      <c r="G78" s="4" t="s">
        <v>106</v>
      </c>
      <c r="J78" s="2" t="s">
        <v>116</v>
      </c>
      <c r="N78" s="196"/>
    </row>
    <row r="79" spans="3:14">
      <c r="C79" s="51"/>
      <c r="G79" s="4" t="s">
        <v>108</v>
      </c>
      <c r="J79" s="2" t="s">
        <v>117</v>
      </c>
      <c r="N79" s="196" t="str">
        <f>M61</f>
        <v>ALTP020</v>
      </c>
    </row>
    <row r="80" spans="3:14">
      <c r="C80" s="51"/>
      <c r="G80" s="4" t="s">
        <v>110</v>
      </c>
      <c r="J80" s="2" t="s">
        <v>118</v>
      </c>
      <c r="N80" s="196"/>
    </row>
    <row r="81" spans="3:14">
      <c r="C81" s="51"/>
      <c r="N81" s="196" t="str">
        <f>M62</f>
        <v>ALTP025</v>
      </c>
    </row>
    <row r="82" spans="3:14">
      <c r="C82" s="51"/>
      <c r="N82" s="196"/>
    </row>
    <row r="83" spans="3:14">
      <c r="C83" s="51"/>
      <c r="N83" s="196" t="str">
        <f>M63</f>
        <v>ALTP027</v>
      </c>
    </row>
    <row r="84" spans="3:14">
      <c r="C84" s="51"/>
      <c r="N84" s="196"/>
    </row>
    <row r="85" spans="3:14">
      <c r="C85" s="51"/>
      <c r="N85" s="196" t="str">
        <f>M64</f>
        <v>ALTN001</v>
      </c>
    </row>
    <row r="86" spans="3:14">
      <c r="C86" s="51"/>
      <c r="N86" s="196"/>
    </row>
    <row r="87" spans="3:14">
      <c r="C87" s="51"/>
      <c r="N87" s="196" t="str">
        <f>M65</f>
        <v>ALTN002</v>
      </c>
    </row>
    <row r="88" spans="3:14">
      <c r="C88" s="51"/>
      <c r="N88" s="196"/>
    </row>
    <row r="89" spans="3:14">
      <c r="C89" s="51"/>
      <c r="N89" s="196" t="str">
        <f>M66</f>
        <v>ALTN003</v>
      </c>
    </row>
    <row r="90" spans="3:14">
      <c r="C90" s="51"/>
      <c r="N90" s="196"/>
    </row>
    <row r="91" spans="3:14">
      <c r="C91" s="51"/>
      <c r="N91" s="196" t="str">
        <f>M67</f>
        <v>ALTN004</v>
      </c>
    </row>
    <row r="92" spans="3:14">
      <c r="C92" s="51"/>
      <c r="N92" s="196"/>
    </row>
    <row r="93" spans="3:14">
      <c r="C93" s="51"/>
      <c r="N93" s="196" t="str">
        <f>M68</f>
        <v>ALTN006</v>
      </c>
    </row>
    <row r="94" spans="3:14">
      <c r="C94" s="51"/>
      <c r="N94" s="196"/>
    </row>
    <row r="95" spans="3:14">
      <c r="C95" s="51"/>
      <c r="N95" s="196" t="str">
        <f>M69</f>
        <v>ALTN007</v>
      </c>
    </row>
    <row r="96" spans="3:14">
      <c r="C96" s="51"/>
      <c r="N96" s="196"/>
    </row>
    <row r="97" spans="3:14">
      <c r="C97" s="51"/>
      <c r="N97" s="196" t="str">
        <f>M70</f>
        <v>ALTN008</v>
      </c>
    </row>
    <row r="98" spans="3:14">
      <c r="C98" s="51"/>
      <c r="N98" s="196"/>
    </row>
    <row r="99" spans="3:14">
      <c r="C99" s="51"/>
      <c r="N99" s="196" t="str">
        <f>M71</f>
        <v>ALTN009</v>
      </c>
    </row>
    <row r="100" spans="3:14">
      <c r="C100" s="51"/>
      <c r="N100" s="196"/>
    </row>
    <row r="101" spans="3:14">
      <c r="C101" s="51"/>
      <c r="N101" s="196" t="str">
        <f>M72</f>
        <v>ALTN010</v>
      </c>
    </row>
    <row r="102" spans="3:14">
      <c r="C102" s="51"/>
      <c r="N102" s="196"/>
    </row>
    <row r="103" spans="3:14">
      <c r="C103" s="51"/>
      <c r="N103" s="196" t="str">
        <f>M73</f>
        <v>ALTN011</v>
      </c>
    </row>
    <row r="104" spans="3:14">
      <c r="C104" s="51"/>
      <c r="N104" s="196"/>
    </row>
  </sheetData>
  <protectedRanges>
    <protectedRange password="CC78" sqref="E31:E65332 C28:D65332 W8:W9 B19:B65332 C14:D18 F28:JG42 F94:M94 F43 H43:J43 L43:JG43 L44:L70 F81:L93 N44:JG94 M44:M73 F95:JG65332 K71:L80 F44:J64 F66:J80 F65 H65:J65 F8:H8 J14:JG18 V11:JG13 A8:A65332 B8:D9 B10:X10 Y8:JG10 E11:H18" name="Range1_12_12"/>
    <protectedRange password="CC78" sqref="C21:C26 E28:E30 W21:JG26 D21:H27" name="Range1_1_1"/>
    <protectedRange password="CC78" sqref="C27 W27:JG27" name="Range1_3_1"/>
    <protectedRange password="CC78" sqref="A5:JG7" name="Range1_2_1"/>
    <protectedRange password="CC78" sqref="I8:V9 I11:I18" name="Range1_3_2"/>
    <protectedRange password="CC78" sqref="B14:B18" name="Range1_1_2"/>
    <protectedRange password="CC78" sqref="E8:E9 F9" name="Range1_4_1"/>
    <protectedRange password="CC78" sqref="B12:B13" name="Range1_6_1"/>
    <protectedRange password="CC78" sqref="D11:D13" name="Range1_7_1"/>
    <protectedRange password="CC78" sqref="J11:U13" name="Range1_11_1"/>
  </protectedRanges>
  <autoFilter ref="A10:Z13"/>
  <mergeCells count="45">
    <mergeCell ref="N45:N46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6:C18"/>
    <mergeCell ref="N43:N44"/>
    <mergeCell ref="N69:N70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93:N94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5:N96"/>
    <mergeCell ref="N97:N98"/>
    <mergeCell ref="N99:N100"/>
    <mergeCell ref="N101:N102"/>
    <mergeCell ref="N103:N104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41640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41640</v>
      </c>
      <c r="G5" s="73">
        <f t="shared" ref="G5:AJ5" si="0">F5+1</f>
        <v>41641</v>
      </c>
      <c r="H5" s="73">
        <f t="shared" si="0"/>
        <v>41642</v>
      </c>
      <c r="I5" s="73">
        <f t="shared" si="0"/>
        <v>41643</v>
      </c>
      <c r="J5" s="73">
        <f t="shared" si="0"/>
        <v>41644</v>
      </c>
      <c r="K5" s="73">
        <f t="shared" si="0"/>
        <v>41645</v>
      </c>
      <c r="L5" s="73">
        <f t="shared" si="0"/>
        <v>41646</v>
      </c>
      <c r="M5" s="73">
        <f t="shared" si="0"/>
        <v>41647</v>
      </c>
      <c r="N5" s="73">
        <f t="shared" si="0"/>
        <v>41648</v>
      </c>
      <c r="O5" s="73">
        <f t="shared" si="0"/>
        <v>41649</v>
      </c>
      <c r="P5" s="73">
        <f t="shared" si="0"/>
        <v>41650</v>
      </c>
      <c r="Q5" s="73">
        <f t="shared" si="0"/>
        <v>41651</v>
      </c>
      <c r="R5" s="73">
        <f t="shared" si="0"/>
        <v>41652</v>
      </c>
      <c r="S5" s="73">
        <f t="shared" si="0"/>
        <v>41653</v>
      </c>
      <c r="T5" s="73">
        <f t="shared" si="0"/>
        <v>41654</v>
      </c>
      <c r="U5" s="73">
        <f t="shared" si="0"/>
        <v>41655</v>
      </c>
      <c r="V5" s="73">
        <f t="shared" si="0"/>
        <v>41656</v>
      </c>
      <c r="W5" s="73">
        <f t="shared" si="0"/>
        <v>41657</v>
      </c>
      <c r="X5" s="73">
        <f t="shared" si="0"/>
        <v>41658</v>
      </c>
      <c r="Y5" s="73">
        <f t="shared" si="0"/>
        <v>41659</v>
      </c>
      <c r="Z5" s="73">
        <f t="shared" si="0"/>
        <v>41660</v>
      </c>
      <c r="AA5" s="73">
        <f t="shared" si="0"/>
        <v>41661</v>
      </c>
      <c r="AB5" s="73">
        <f t="shared" si="0"/>
        <v>41662</v>
      </c>
      <c r="AC5" s="73">
        <f t="shared" si="0"/>
        <v>41663</v>
      </c>
      <c r="AD5" s="73">
        <f t="shared" si="0"/>
        <v>41664</v>
      </c>
      <c r="AE5" s="73">
        <f t="shared" si="0"/>
        <v>41665</v>
      </c>
      <c r="AF5" s="73">
        <f t="shared" si="0"/>
        <v>41666</v>
      </c>
      <c r="AG5" s="73">
        <f t="shared" si="0"/>
        <v>41667</v>
      </c>
      <c r="AH5" s="73">
        <f>AG5+1</f>
        <v>41668</v>
      </c>
      <c r="AI5" s="73">
        <f t="shared" si="0"/>
        <v>41669</v>
      </c>
      <c r="AJ5" s="73">
        <f t="shared" si="0"/>
        <v>41670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 t="shared" ref="AK9" si="2">((SUM(F9:AJ9))/8)-(SUMIF($F$6:$AJ$6,"C.Nhật",F9:AJ9)/8)</f>
        <v>27</v>
      </c>
      <c r="AL9" s="223">
        <f t="shared" ref="AL9" si="3">SUM(F10:AJ10)/8*1.5</f>
        <v>0</v>
      </c>
      <c r="AM9" s="227">
        <f t="shared" ref="AM9" si="4">SUMIF($F$6:$AJ$6,"C.Nhật",$F9:$AJ10)/8*2</f>
        <v>0</v>
      </c>
      <c r="AN9" s="215">
        <f t="shared" ref="AN9" si="5">SUM(AK9:AM10)</f>
        <v>27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3">
        <f t="shared" ref="AK12" si="6">((SUM(F12:AJ12))/8)-(SUMIF($F$6:$AJ$6,"C.Nhật",F12:AJ12)/8)</f>
        <v>27</v>
      </c>
      <c r="AL12" s="223">
        <f t="shared" ref="AL12" si="7">SUM(F13:AJ13)/8*1.5</f>
        <v>0</v>
      </c>
      <c r="AM12" s="227">
        <f>SUMIF($F$6:$AJ$6,"C.Nhật",$F12:$AJ13)/8*2</f>
        <v>0</v>
      </c>
      <c r="AN12" s="215">
        <f>SUM(AK12:AM13)</f>
        <v>27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/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/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/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/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3">
        <f t="shared" ref="AK14" si="8">((SUM(F14:AJ14))/8)-(SUMIF($F$6:$AJ$6,"C.Nhật",F14:AJ14)/8)</f>
        <v>27</v>
      </c>
      <c r="AL14" s="223">
        <f t="shared" ref="AL14" si="9">SUM(F15:AJ15)/8*1.5</f>
        <v>0</v>
      </c>
      <c r="AM14" s="227">
        <f>SUMIF($F$6:$AJ$6,"C.Nhật",$F14:$AJ15)/8*2</f>
        <v>0</v>
      </c>
      <c r="AN14" s="215">
        <f t="shared" ref="AN14" si="10">SUM(AK14:AM15)</f>
        <v>27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S14:AS15"/>
    <mergeCell ref="AM14:AM15"/>
    <mergeCell ref="AN14:AN15"/>
    <mergeCell ref="A12:A13"/>
    <mergeCell ref="B12:B13"/>
    <mergeCell ref="C12:C13"/>
    <mergeCell ref="D12:D13"/>
    <mergeCell ref="AK12:AK13"/>
    <mergeCell ref="AP9:AP10"/>
    <mergeCell ref="AQ9:AQ10"/>
    <mergeCell ref="AR9:AR10"/>
    <mergeCell ref="AS9:AS10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O14:AO15"/>
    <mergeCell ref="AP14:AP15"/>
    <mergeCell ref="AQ14:AQ15"/>
    <mergeCell ref="AR14:AR15"/>
    <mergeCell ref="A14:A15"/>
    <mergeCell ref="B14:B15"/>
    <mergeCell ref="C14:C15"/>
    <mergeCell ref="D14:D15"/>
    <mergeCell ref="AK14:AK15"/>
    <mergeCell ref="AL14:AL15"/>
  </mergeCells>
  <conditionalFormatting sqref="F5:AJ6 F9:AJ10">
    <cfRule type="expression" dxfId="44" priority="16" stopIfTrue="1">
      <formula>IF(WEEKDAY(F$5)=1,TRUE,FALSE)</formula>
    </cfRule>
  </conditionalFormatting>
  <conditionalFormatting sqref="F9:AJ10">
    <cfRule type="expression" dxfId="43" priority="15" stopIfTrue="1">
      <formula>IF(WEEKDAY(F$5)=1,TRUE,FALSE)</formula>
    </cfRule>
  </conditionalFormatting>
  <conditionalFormatting sqref="F12:AJ15">
    <cfRule type="expression" dxfId="42" priority="2" stopIfTrue="1">
      <formula>IF(WEEKDAY(F$5)=1,TRUE,FALSE)</formula>
    </cfRule>
  </conditionalFormatting>
  <conditionalFormatting sqref="F12:AJ15">
    <cfRule type="expression" dxfId="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01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41640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-1'!$B$8:$AS$15,36,0)</f>
        <v>27</v>
      </c>
      <c r="G10" s="146">
        <f t="shared" ref="G10" si="2">ROUND(E10/$U$2*F10,0)</f>
        <v>1240000</v>
      </c>
      <c r="H10" s="145">
        <f>(VLOOKUP(B10,'CC -1'!$B$8:$AS$15,37,0)+VLOOKUP(B10,'CC -1'!$B$8:$AS$15,38,0))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 t="shared" ref="K10" si="5">G10+I10</f>
        <v>1240000</v>
      </c>
      <c r="L10" s="144">
        <f>VLOOKUP(B10,DS,6,0)</f>
        <v>260000</v>
      </c>
      <c r="M10" s="149">
        <f t="shared" ref="M10" si="6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1500000</v>
      </c>
      <c r="R10" s="148">
        <f>VLOOKUP(B10,DS,23,0)</f>
        <v>0</v>
      </c>
      <c r="S10" s="150">
        <f t="shared" ref="S10" si="8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9">SUM(K9:K10)</f>
        <v>1240000</v>
      </c>
      <c r="L12" s="163">
        <f t="shared" si="9"/>
        <v>260000</v>
      </c>
      <c r="M12" s="163">
        <f t="shared" si="9"/>
        <v>1500000</v>
      </c>
      <c r="N12" s="163">
        <f t="shared" si="9"/>
        <v>0</v>
      </c>
      <c r="O12" s="163">
        <f t="shared" si="9"/>
        <v>0</v>
      </c>
      <c r="P12" s="163">
        <f t="shared" si="9"/>
        <v>0</v>
      </c>
      <c r="Q12" s="163">
        <f t="shared" si="9"/>
        <v>1500000</v>
      </c>
      <c r="R12" s="163">
        <f t="shared" si="9"/>
        <v>0</v>
      </c>
      <c r="S12" s="163">
        <f t="shared" si="9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" si="10">VLOOKUP(B14,DS,2,0)</f>
        <v>Nguyễn Thị Thanh Thúy</v>
      </c>
      <c r="D14" s="143" t="str">
        <f t="shared" ref="D14" si="11">VLOOKUP(B14,DS,3,0)</f>
        <v>Công nhân</v>
      </c>
      <c r="E14" s="144">
        <f t="shared" ref="E14" si="12">VLOOKUP(B14,DS,4,0)</f>
        <v>2000000</v>
      </c>
      <c r="F14" s="145">
        <f>VLOOKUP(B14,'CC -1'!$B$8:$AS$15,36,0)</f>
        <v>27</v>
      </c>
      <c r="G14" s="146">
        <f t="shared" ref="G14:G15" si="13">ROUND(E14/$U$2*F14,0)</f>
        <v>2000000</v>
      </c>
      <c r="H14" s="145">
        <f>(VLOOKUP(B14,'CC -1'!$B$8:$AS$15,37,0)+VLOOKUP(B14,'CC -1'!$B$8:$AS$15,38,0))</f>
        <v>0</v>
      </c>
      <c r="I14" s="146">
        <f t="shared" ref="I14:I15" si="14">ROUND(E14/$U$2*H14,0)</f>
        <v>0</v>
      </c>
      <c r="J14" s="167">
        <f t="shared" ref="J14:K15" si="15">F14+H14</f>
        <v>27</v>
      </c>
      <c r="K14" s="148">
        <f t="shared" si="15"/>
        <v>2000000</v>
      </c>
      <c r="L14" s="144">
        <f>VLOOKUP(B14,DS,6,0)</f>
        <v>260000</v>
      </c>
      <c r="M14" s="149">
        <f t="shared" ref="M14:M15" si="16">K14+L14</f>
        <v>2260000</v>
      </c>
      <c r="N14" s="149">
        <f>IF(VLOOKUP(B14,DS,9,0)="x",'L - 1'!E14*$N$4,0)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>M14-SUM(N14:P14)</f>
        <v>2260000</v>
      </c>
      <c r="R14" s="148">
        <f t="shared" ref="R14" si="19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0">VLOOKUP(B15,DS,2,0)</f>
        <v>Huỳnh Đoàn Viết Thanh</v>
      </c>
      <c r="D15" s="143" t="str">
        <f t="shared" ref="D15" si="21">VLOOKUP(B15,DS,3,0)</f>
        <v>Công nhân</v>
      </c>
      <c r="E15" s="144">
        <f t="shared" ref="E15" si="22">VLOOKUP(B15,DS,4,0)</f>
        <v>2500000</v>
      </c>
      <c r="F15" s="145">
        <f>VLOOKUP(B15,'CC -1'!$B$8:$AS$15,36,0)</f>
        <v>27</v>
      </c>
      <c r="G15" s="146">
        <f t="shared" si="13"/>
        <v>2500000</v>
      </c>
      <c r="H15" s="145">
        <f>(VLOOKUP(B15,'CC -1'!$B$8:$AS$15,37,0)+VLOOKUP(B15,'CC -1'!$B$8:$AS$15,38,0))</f>
        <v>0</v>
      </c>
      <c r="I15" s="146">
        <f t="shared" si="14"/>
        <v>0</v>
      </c>
      <c r="J15" s="167">
        <f t="shared" si="15"/>
        <v>27</v>
      </c>
      <c r="K15" s="148">
        <f t="shared" si="15"/>
        <v>2500000</v>
      </c>
      <c r="L15" s="144">
        <f>VLOOKUP(B15,DS,6,0)</f>
        <v>260000</v>
      </c>
      <c r="M15" s="149">
        <f t="shared" si="16"/>
        <v>2760000</v>
      </c>
      <c r="N15" s="149">
        <f>IF(VLOOKUP(B15,DS,9,0)="x",'L - 1'!E15*$N$4,0)</f>
        <v>0</v>
      </c>
      <c r="O15" s="149">
        <f t="shared" ref="O15" si="23">IF(VLOOKUP(B15,DS,9,0)="x",E15*0.015,0)</f>
        <v>0</v>
      </c>
      <c r="P15" s="149">
        <f t="shared" ref="P15" si="24">IF(VLOOKUP(B15,DS,9,0)="x",E15*0.01,0)</f>
        <v>0</v>
      </c>
      <c r="Q15" s="148">
        <f t="shared" ref="Q15" si="25">M15-SUM(N15:P15)</f>
        <v>2760000</v>
      </c>
      <c r="R15" s="148">
        <f t="shared" ref="R15" si="26">VLOOKUP(B15,DS,23,0)</f>
        <v>0</v>
      </c>
      <c r="S15" s="150">
        <f t="shared" ref="S15" si="27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8">SUM(K13:K16)</f>
        <v>4500000</v>
      </c>
      <c r="L17" s="163">
        <f t="shared" si="28"/>
        <v>520000</v>
      </c>
      <c r="M17" s="163">
        <f t="shared" si="28"/>
        <v>5020000</v>
      </c>
      <c r="N17" s="163">
        <f t="shared" si="28"/>
        <v>0</v>
      </c>
      <c r="O17" s="163">
        <f t="shared" si="28"/>
        <v>0</v>
      </c>
      <c r="P17" s="163">
        <f t="shared" si="28"/>
        <v>0</v>
      </c>
      <c r="Q17" s="163">
        <f t="shared" si="28"/>
        <v>5020000</v>
      </c>
      <c r="R17" s="163">
        <f t="shared" si="28"/>
        <v>0</v>
      </c>
      <c r="S17" s="163">
        <f t="shared" si="28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AE10:IJ11 V10:V11 Q10:S11 A10:B12 V5:V9 AE5:IJ9" name="Range1"/>
    <protectedRange password="CC78" sqref="F7:H7" name="Range1_4"/>
    <protectedRange password="CC78" sqref="V20:IJ21 S20:T21 N20:Q21 E20:I21" name="Range1_1_1"/>
    <protectedRange password="CC78" sqref="U1 V1:IJ4 B4:T4 R2:S3 B1:Q3 U16:U28 W13:AD13 W10:AD11 U10:U13 U4:U9 W5:AD9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41671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41671</v>
      </c>
      <c r="G5" s="73">
        <f t="shared" ref="G5:AJ5" si="0">F5+1</f>
        <v>41672</v>
      </c>
      <c r="H5" s="73">
        <f t="shared" si="0"/>
        <v>41673</v>
      </c>
      <c r="I5" s="73">
        <f t="shared" si="0"/>
        <v>41674</v>
      </c>
      <c r="J5" s="73">
        <f t="shared" si="0"/>
        <v>41675</v>
      </c>
      <c r="K5" s="73">
        <f t="shared" si="0"/>
        <v>41676</v>
      </c>
      <c r="L5" s="73">
        <f t="shared" si="0"/>
        <v>41677</v>
      </c>
      <c r="M5" s="73">
        <f t="shared" si="0"/>
        <v>41678</v>
      </c>
      <c r="N5" s="73">
        <f t="shared" si="0"/>
        <v>41679</v>
      </c>
      <c r="O5" s="73">
        <f t="shared" si="0"/>
        <v>41680</v>
      </c>
      <c r="P5" s="73">
        <f t="shared" si="0"/>
        <v>41681</v>
      </c>
      <c r="Q5" s="73">
        <f t="shared" si="0"/>
        <v>41682</v>
      </c>
      <c r="R5" s="73">
        <f t="shared" si="0"/>
        <v>41683</v>
      </c>
      <c r="S5" s="73">
        <f t="shared" si="0"/>
        <v>41684</v>
      </c>
      <c r="T5" s="73">
        <f t="shared" si="0"/>
        <v>41685</v>
      </c>
      <c r="U5" s="73">
        <f t="shared" si="0"/>
        <v>41686</v>
      </c>
      <c r="V5" s="73">
        <f t="shared" si="0"/>
        <v>41687</v>
      </c>
      <c r="W5" s="73">
        <f t="shared" si="0"/>
        <v>41688</v>
      </c>
      <c r="X5" s="73">
        <f t="shared" si="0"/>
        <v>41689</v>
      </c>
      <c r="Y5" s="73">
        <f t="shared" si="0"/>
        <v>41690</v>
      </c>
      <c r="Z5" s="73">
        <f t="shared" si="0"/>
        <v>41691</v>
      </c>
      <c r="AA5" s="73">
        <f t="shared" si="0"/>
        <v>41692</v>
      </c>
      <c r="AB5" s="73">
        <f t="shared" si="0"/>
        <v>41693</v>
      </c>
      <c r="AC5" s="73">
        <f t="shared" si="0"/>
        <v>41694</v>
      </c>
      <c r="AD5" s="73">
        <f t="shared" si="0"/>
        <v>41695</v>
      </c>
      <c r="AE5" s="73">
        <f t="shared" si="0"/>
        <v>41696</v>
      </c>
      <c r="AF5" s="73">
        <f t="shared" si="0"/>
        <v>41697</v>
      </c>
      <c r="AG5" s="73">
        <f t="shared" si="0"/>
        <v>41698</v>
      </c>
      <c r="AH5" s="73">
        <f>AG5+1</f>
        <v>41699</v>
      </c>
      <c r="AI5" s="73">
        <f t="shared" si="0"/>
        <v>41700</v>
      </c>
      <c r="AJ5" s="73">
        <f t="shared" si="0"/>
        <v>41701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3">
        <f>((SUM(F9:AJ9))/8)-(SUMIF($F$6:$AJ$6,"C.Nhật",F9:AJ9)/8)</f>
        <v>24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24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/>
      <c r="AJ12" s="87"/>
      <c r="AK12" s="223">
        <f t="shared" ref="AK12" si="2">((SUM(F12:AJ12))/8)-(SUMIF($F$6:$AJ$6,"C.Nhật",F12:AJ12)/8)</f>
        <v>24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>SUM(AK12:AM13)</f>
        <v>24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/>
      <c r="AJ14" s="87"/>
      <c r="AK14" s="223">
        <f t="shared" ref="AK14" si="4">((SUM(F14:AJ14))/8)-(SUMIF($F$6:$AJ$6,"C.Nhật",F14:AJ14)/8)</f>
        <v>24</v>
      </c>
      <c r="AL14" s="223">
        <f t="shared" ref="AL14" si="5">SUM(F15:AJ15)/8*1.5</f>
        <v>0</v>
      </c>
      <c r="AM14" s="227">
        <f>SUMIF($F$6:$AJ$6,"C.Nhật",$F14:$AJ15)/8*2</f>
        <v>0</v>
      </c>
      <c r="AN14" s="215">
        <f t="shared" ref="AN14" si="6">SUM(AK14:AM15)</f>
        <v>24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40" priority="8" stopIfTrue="1">
      <formula>IF(WEEKDAY(F$5)=1,TRUE,FALSE)</formula>
    </cfRule>
  </conditionalFormatting>
  <conditionalFormatting sqref="F9:AJ10">
    <cfRule type="expression" dxfId="39" priority="7" stopIfTrue="1">
      <formula>IF(WEEKDAY(F$5)=1,TRUE,FALSE)</formula>
    </cfRule>
  </conditionalFormatting>
  <conditionalFormatting sqref="AH12:AJ15">
    <cfRule type="expression" dxfId="38" priority="6" stopIfTrue="1">
      <formula>IF(WEEKDAY(AH$5)=1,TRUE,FALSE)</formula>
    </cfRule>
  </conditionalFormatting>
  <conditionalFormatting sqref="AH12:AJ15">
    <cfRule type="expression" dxfId="37" priority="5" stopIfTrue="1">
      <formula>IF(WEEKDAY(AH$5)=1,TRUE,FALSE)</formula>
    </cfRule>
  </conditionalFormatting>
  <conditionalFormatting sqref="F12:AG15">
    <cfRule type="expression" dxfId="36" priority="2" stopIfTrue="1">
      <formula>IF(WEEKDAY(F$5)=1,TRUE,FALSE)</formula>
    </cfRule>
  </conditionalFormatting>
  <conditionalFormatting sqref="F12:AG15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02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-2'!$AK$9:$AK$15)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41671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-2'!$B$8:$AS$15,36,0)</f>
        <v>24</v>
      </c>
      <c r="G10" s="146">
        <f t="shared" ref="G10" si="2">ROUND(E10/$U$2*F10,0)</f>
        <v>1240000</v>
      </c>
      <c r="H10" s="145">
        <f>(VLOOKUP(B10,'CC -2'!$B$8:$AS$15,37,0)+VLOOKUP(B10,'CC -2'!$B$8:$AS$15,38,0))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-2'!$B$8:$AS$15,36,0)</f>
        <v>24</v>
      </c>
      <c r="G14" s="146">
        <f t="shared" ref="G14:G15" si="12">ROUND(E14/$U$2*F14,0)</f>
        <v>2000000</v>
      </c>
      <c r="H14" s="145">
        <f>(VLOOKUP(B14,'CC -2'!$B$8:$AS$15,37,0)+VLOOKUP(B14,'CC -2'!$B$8:$AS$15,38,0))</f>
        <v>0</v>
      </c>
      <c r="I14" s="146">
        <f t="shared" ref="I14:I15" si="13">ROUND(E14/$U$2*H14,0)</f>
        <v>0</v>
      </c>
      <c r="J14" s="167">
        <f t="shared" ref="J14:K15" si="14">F14+H14</f>
        <v>24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- 2'!E14*$N$4,0)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-2'!$B$8:$AS$15,36,0)</f>
        <v>24</v>
      </c>
      <c r="G15" s="146">
        <f t="shared" si="12"/>
        <v>2500000</v>
      </c>
      <c r="H15" s="145">
        <f>(VLOOKUP(B15,'CC -2'!$B$8:$AS$15,37,0)+VLOOKUP(B15,'CC -2'!$B$8:$AS$15,38,0))</f>
        <v>0</v>
      </c>
      <c r="I15" s="146">
        <f t="shared" si="13"/>
        <v>0</v>
      </c>
      <c r="J15" s="167">
        <f t="shared" si="14"/>
        <v>24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- 2'!E15*$N$4,0)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28  tháng  2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41699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41699</v>
      </c>
      <c r="G5" s="73">
        <f t="shared" ref="G5:AJ5" si="0">F5+1</f>
        <v>41700</v>
      </c>
      <c r="H5" s="73">
        <f t="shared" si="0"/>
        <v>41701</v>
      </c>
      <c r="I5" s="73">
        <f t="shared" si="0"/>
        <v>41702</v>
      </c>
      <c r="J5" s="73">
        <f t="shared" si="0"/>
        <v>41703</v>
      </c>
      <c r="K5" s="73">
        <f t="shared" si="0"/>
        <v>41704</v>
      </c>
      <c r="L5" s="73">
        <f t="shared" si="0"/>
        <v>41705</v>
      </c>
      <c r="M5" s="73">
        <f t="shared" si="0"/>
        <v>41706</v>
      </c>
      <c r="N5" s="73">
        <f t="shared" si="0"/>
        <v>41707</v>
      </c>
      <c r="O5" s="73">
        <f t="shared" si="0"/>
        <v>41708</v>
      </c>
      <c r="P5" s="73">
        <f t="shared" si="0"/>
        <v>41709</v>
      </c>
      <c r="Q5" s="73">
        <f t="shared" si="0"/>
        <v>41710</v>
      </c>
      <c r="R5" s="73">
        <f t="shared" si="0"/>
        <v>41711</v>
      </c>
      <c r="S5" s="73">
        <f t="shared" si="0"/>
        <v>41712</v>
      </c>
      <c r="T5" s="73">
        <f t="shared" si="0"/>
        <v>41713</v>
      </c>
      <c r="U5" s="73">
        <f t="shared" si="0"/>
        <v>41714</v>
      </c>
      <c r="V5" s="73">
        <f t="shared" si="0"/>
        <v>41715</v>
      </c>
      <c r="W5" s="73">
        <f t="shared" si="0"/>
        <v>41716</v>
      </c>
      <c r="X5" s="73">
        <f t="shared" si="0"/>
        <v>41717</v>
      </c>
      <c r="Y5" s="73">
        <f t="shared" si="0"/>
        <v>41718</v>
      </c>
      <c r="Z5" s="73">
        <f t="shared" si="0"/>
        <v>41719</v>
      </c>
      <c r="AA5" s="73">
        <f t="shared" si="0"/>
        <v>41720</v>
      </c>
      <c r="AB5" s="73">
        <f t="shared" si="0"/>
        <v>41721</v>
      </c>
      <c r="AC5" s="73">
        <f t="shared" si="0"/>
        <v>41722</v>
      </c>
      <c r="AD5" s="73">
        <f t="shared" si="0"/>
        <v>41723</v>
      </c>
      <c r="AE5" s="73">
        <f t="shared" si="0"/>
        <v>41724</v>
      </c>
      <c r="AF5" s="73">
        <f t="shared" si="0"/>
        <v>41725</v>
      </c>
      <c r="AG5" s="73">
        <f t="shared" si="0"/>
        <v>41726</v>
      </c>
      <c r="AH5" s="73">
        <f>AG5+1</f>
        <v>41727</v>
      </c>
      <c r="AI5" s="73">
        <f t="shared" si="0"/>
        <v>41728</v>
      </c>
      <c r="AJ5" s="73">
        <f t="shared" si="0"/>
        <v>41729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3">
        <f>((SUM(F9:AJ9))/8)-(SUMIF($F$6:$AJ$6,"C.Nhật",F9:AJ9)/8)</f>
        <v>26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26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>
        <v>8</v>
      </c>
      <c r="AK12" s="223">
        <f t="shared" ref="AK12" si="2">((SUM(F12:AJ12))/8)-(SUMIF($F$6:$AJ$6,"C.Nhật",F12:AJ12)/8)</f>
        <v>26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>SUM(AK12:AM13)</f>
        <v>26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/>
      <c r="AJ14" s="87">
        <v>8</v>
      </c>
      <c r="AK14" s="223">
        <f t="shared" ref="AK14" si="4">((SUM(F14:AJ14))/8)-(SUMIF($F$6:$AJ$6,"C.Nhật",F14:AJ14)/8)</f>
        <v>26</v>
      </c>
      <c r="AL14" s="223">
        <f t="shared" ref="AL14" si="5">SUM(F15:AJ15)/8*1.5</f>
        <v>0</v>
      </c>
      <c r="AM14" s="227">
        <f>SUMIF($F$6:$AJ$6,"C.Nhật",$F14:$AJ15)/8*2</f>
        <v>0</v>
      </c>
      <c r="AN14" s="215">
        <f t="shared" ref="AN14" si="6">SUM(AK14:AM15)</f>
        <v>26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S12:AS13"/>
    <mergeCell ref="AP12:AP13"/>
    <mergeCell ref="AQ12:AQ13"/>
    <mergeCell ref="AR12:AR13"/>
  </mergeCells>
  <conditionalFormatting sqref="F5:AJ6 F9:AJ10">
    <cfRule type="expression" dxfId="34" priority="10" stopIfTrue="1">
      <formula>IF(WEEKDAY(F$5)=1,TRUE,FALSE)</formula>
    </cfRule>
  </conditionalFormatting>
  <conditionalFormatting sqref="F9:AJ10">
    <cfRule type="expression" dxfId="33" priority="9" stopIfTrue="1">
      <formula>IF(WEEKDAY(F$5)=1,TRUE,FALSE)</formula>
    </cfRule>
  </conditionalFormatting>
  <conditionalFormatting sqref="F12:AJ15">
    <cfRule type="expression" dxfId="32" priority="2" stopIfTrue="1">
      <formula>IF(WEEKDAY(F$5)=1,TRUE,FALSE)</formula>
    </cfRule>
  </conditionalFormatting>
  <conditionalFormatting sqref="F12:AJ15">
    <cfRule type="expression" dxfId="3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03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41699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-3'!$B$8:$AS$15,36,0)</f>
        <v>26</v>
      </c>
      <c r="G10" s="146">
        <f t="shared" ref="G10" si="2">ROUND(E10/$U$2*F10,0)</f>
        <v>1240000</v>
      </c>
      <c r="H10" s="145">
        <f>(VLOOKUP(B10,'CC -3'!$B$8:$AS$15,37,0)+VLOOKUP(B10,'CC -3'!$B$8:$AS$15,38,0))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-3'!$B$8:$AS$15,36,0)</f>
        <v>26</v>
      </c>
      <c r="G14" s="146">
        <f t="shared" ref="G14:G15" si="12">ROUND(E14/$U$2*F14,0)</f>
        <v>2000000</v>
      </c>
      <c r="H14" s="145">
        <f>(VLOOKUP(B14,'CC -3'!$B$8:$AS$15,37,0)+VLOOKUP(B14,'CC -3'!$B$8:$AS$15,38,0))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- 3'!E14*$N$4,0)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-3'!$B$8:$AS$15,36,0)</f>
        <v>26</v>
      </c>
      <c r="G15" s="146">
        <f t="shared" si="12"/>
        <v>2500000</v>
      </c>
      <c r="H15" s="145">
        <f>(VLOOKUP(B15,'CC -3'!$B$8:$AS$15,37,0)+VLOOKUP(B15,'CC -3'!$B$8:$AS$15,38,0))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- 3'!E15*$N$4,0)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3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41730</v>
      </c>
      <c r="G5" s="73">
        <f t="shared" ref="G5:AJ5" si="0">F5+1</f>
        <v>41731</v>
      </c>
      <c r="H5" s="73">
        <f t="shared" si="0"/>
        <v>41732</v>
      </c>
      <c r="I5" s="73">
        <f t="shared" si="0"/>
        <v>41733</v>
      </c>
      <c r="J5" s="73">
        <f t="shared" si="0"/>
        <v>41734</v>
      </c>
      <c r="K5" s="73">
        <f t="shared" si="0"/>
        <v>41735</v>
      </c>
      <c r="L5" s="73">
        <f t="shared" si="0"/>
        <v>41736</v>
      </c>
      <c r="M5" s="73">
        <f t="shared" si="0"/>
        <v>41737</v>
      </c>
      <c r="N5" s="73">
        <f t="shared" si="0"/>
        <v>41738</v>
      </c>
      <c r="O5" s="73">
        <f t="shared" si="0"/>
        <v>41739</v>
      </c>
      <c r="P5" s="73">
        <f t="shared" si="0"/>
        <v>41740</v>
      </c>
      <c r="Q5" s="73">
        <f t="shared" si="0"/>
        <v>41741</v>
      </c>
      <c r="R5" s="73">
        <f t="shared" si="0"/>
        <v>41742</v>
      </c>
      <c r="S5" s="73">
        <f t="shared" si="0"/>
        <v>41743</v>
      </c>
      <c r="T5" s="73">
        <f t="shared" si="0"/>
        <v>41744</v>
      </c>
      <c r="U5" s="73">
        <f t="shared" si="0"/>
        <v>41745</v>
      </c>
      <c r="V5" s="73">
        <f t="shared" si="0"/>
        <v>41746</v>
      </c>
      <c r="W5" s="73">
        <f t="shared" si="0"/>
        <v>41747</v>
      </c>
      <c r="X5" s="73">
        <f t="shared" si="0"/>
        <v>41748</v>
      </c>
      <c r="Y5" s="73">
        <f t="shared" si="0"/>
        <v>41749</v>
      </c>
      <c r="Z5" s="73">
        <f t="shared" si="0"/>
        <v>41750</v>
      </c>
      <c r="AA5" s="73">
        <f t="shared" si="0"/>
        <v>41751</v>
      </c>
      <c r="AB5" s="73">
        <f t="shared" si="0"/>
        <v>41752</v>
      </c>
      <c r="AC5" s="73">
        <f t="shared" si="0"/>
        <v>41753</v>
      </c>
      <c r="AD5" s="73">
        <f t="shared" si="0"/>
        <v>41754</v>
      </c>
      <c r="AE5" s="73">
        <f t="shared" si="0"/>
        <v>41755</v>
      </c>
      <c r="AF5" s="73">
        <f t="shared" si="0"/>
        <v>41756</v>
      </c>
      <c r="AG5" s="73">
        <f t="shared" si="0"/>
        <v>41757</v>
      </c>
      <c r="AH5" s="73">
        <f>AG5+1</f>
        <v>41758</v>
      </c>
      <c r="AI5" s="73">
        <f t="shared" si="0"/>
        <v>41759</v>
      </c>
      <c r="AJ5" s="73">
        <f t="shared" si="0"/>
        <v>41760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26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/>
      <c r="AG12" s="87">
        <v>8</v>
      </c>
      <c r="AH12" s="87">
        <v>8</v>
      </c>
      <c r="AI12" s="87">
        <v>8</v>
      </c>
      <c r="AJ12" s="87"/>
      <c r="AK12" s="223">
        <f t="shared" ref="AK12" si="2">((SUM(F12:AJ12))/8)-(SUMIF($F$6:$AJ$6,"C.Nhật",F12:AJ12)/8)</f>
        <v>26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>SUM(AK12:AM13)</f>
        <v>26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/>
      <c r="AK14" s="223">
        <f t="shared" ref="AK14" si="4">((SUM(F14:AJ14))/8)-(SUMIF($F$6:$AJ$6,"C.Nhật",F14:AJ14)/8)</f>
        <v>26</v>
      </c>
      <c r="AL14" s="223">
        <f t="shared" ref="AL14" si="5">SUM(F15:AJ15)/8*1.5</f>
        <v>0</v>
      </c>
      <c r="AM14" s="227">
        <f>SUMIF($F$6:$AJ$6,"C.Nhật",$F14:$AJ15)/8*2</f>
        <v>0</v>
      </c>
      <c r="AN14" s="215">
        <f t="shared" ref="AN14" si="6">SUM(AK14:AM15)</f>
        <v>26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S12:AS13"/>
    <mergeCell ref="AP12:AP13"/>
    <mergeCell ref="AQ12:AQ13"/>
    <mergeCell ref="AR12:AR13"/>
  </mergeCells>
  <conditionalFormatting sqref="F5:AJ6 F9:AJ10">
    <cfRule type="expression" dxfId="30" priority="10" stopIfTrue="1">
      <formula>IF(WEEKDAY(F$5)=1,TRUE,FALSE)</formula>
    </cfRule>
  </conditionalFormatting>
  <conditionalFormatting sqref="F9:AJ10">
    <cfRule type="expression" dxfId="29" priority="9" stopIfTrue="1">
      <formula>IF(WEEKDAY(F$5)=1,TRUE,FALSE)</formula>
    </cfRule>
  </conditionalFormatting>
  <conditionalFormatting sqref="AJ12:AJ15">
    <cfRule type="expression" dxfId="28" priority="8" stopIfTrue="1">
      <formula>IF(WEEKDAY(AJ$5)=1,TRUE,FALSE)</formula>
    </cfRule>
  </conditionalFormatting>
  <conditionalFormatting sqref="AJ12:AJ15">
    <cfRule type="expression" dxfId="27" priority="7" stopIfTrue="1">
      <formula>IF(WEEKDAY(AJ$5)=1,TRUE,FALSE)</formula>
    </cfRule>
  </conditionalFormatting>
  <conditionalFormatting sqref="F12:AI15">
    <cfRule type="expression" dxfId="26" priority="2" stopIfTrue="1">
      <formula>IF(WEEKDAY(F$5)=1,TRUE,FALSE)</formula>
    </cfRule>
  </conditionalFormatting>
  <conditionalFormatting sqref="F12:AI15">
    <cfRule type="expression" dxfId="2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04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41730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-4'!$B$8:$AS$15,36,0)</f>
        <v>26</v>
      </c>
      <c r="G10" s="146">
        <f t="shared" ref="G10" si="2">ROUND(E10/$U$2*F10,0)</f>
        <v>1240000</v>
      </c>
      <c r="H10" s="145">
        <f>(VLOOKUP(B10,'CC -4'!$B$8:$AS$15,37,0)+VLOOKUP(B10,'CC -4'!$B$8:$AS$15,38,0))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-4'!$B$8:$AS$15,36,0)</f>
        <v>26</v>
      </c>
      <c r="G14" s="146">
        <f t="shared" ref="G14:G15" si="12">ROUND(E14/$U$2*F14,0)</f>
        <v>2000000</v>
      </c>
      <c r="H14" s="145">
        <f>(VLOOKUP(B14,'CC -4'!$B$8:$AS$15,37,0)+VLOOKUP(B14,'CC -4'!$B$8:$AS$15,38,0))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- 4'!E14*$N$4,0)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-4'!$B$8:$AS$15,36,0)</f>
        <v>26</v>
      </c>
      <c r="G15" s="146">
        <f t="shared" si="12"/>
        <v>2500000</v>
      </c>
      <c r="H15" s="145">
        <f>(VLOOKUP(B15,'CC -4'!$B$8:$AS$15,37,0)+VLOOKUP(B15,'CC -4'!$B$8:$AS$15,38,0))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- 4'!E15*$N$4,0)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4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41760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41760</v>
      </c>
      <c r="G5" s="73">
        <f t="shared" ref="G5:AJ5" si="0">F5+1</f>
        <v>41761</v>
      </c>
      <c r="H5" s="73">
        <f t="shared" si="0"/>
        <v>41762</v>
      </c>
      <c r="I5" s="73">
        <f t="shared" si="0"/>
        <v>41763</v>
      </c>
      <c r="J5" s="73">
        <f t="shared" si="0"/>
        <v>41764</v>
      </c>
      <c r="K5" s="73">
        <f t="shared" si="0"/>
        <v>41765</v>
      </c>
      <c r="L5" s="73">
        <f t="shared" si="0"/>
        <v>41766</v>
      </c>
      <c r="M5" s="73">
        <f t="shared" si="0"/>
        <v>41767</v>
      </c>
      <c r="N5" s="73">
        <f t="shared" si="0"/>
        <v>41768</v>
      </c>
      <c r="O5" s="73">
        <f t="shared" si="0"/>
        <v>41769</v>
      </c>
      <c r="P5" s="73">
        <f t="shared" si="0"/>
        <v>41770</v>
      </c>
      <c r="Q5" s="73">
        <f t="shared" si="0"/>
        <v>41771</v>
      </c>
      <c r="R5" s="73">
        <f t="shared" si="0"/>
        <v>41772</v>
      </c>
      <c r="S5" s="73">
        <f t="shared" si="0"/>
        <v>41773</v>
      </c>
      <c r="T5" s="73">
        <f t="shared" si="0"/>
        <v>41774</v>
      </c>
      <c r="U5" s="73">
        <f t="shared" si="0"/>
        <v>41775</v>
      </c>
      <c r="V5" s="73">
        <f t="shared" si="0"/>
        <v>41776</v>
      </c>
      <c r="W5" s="73">
        <f t="shared" si="0"/>
        <v>41777</v>
      </c>
      <c r="X5" s="73">
        <f t="shared" si="0"/>
        <v>41778</v>
      </c>
      <c r="Y5" s="73">
        <f t="shared" si="0"/>
        <v>41779</v>
      </c>
      <c r="Z5" s="73">
        <f t="shared" si="0"/>
        <v>41780</v>
      </c>
      <c r="AA5" s="73">
        <f t="shared" si="0"/>
        <v>41781</v>
      </c>
      <c r="AB5" s="73">
        <f t="shared" si="0"/>
        <v>41782</v>
      </c>
      <c r="AC5" s="73">
        <f t="shared" si="0"/>
        <v>41783</v>
      </c>
      <c r="AD5" s="73">
        <f t="shared" si="0"/>
        <v>41784</v>
      </c>
      <c r="AE5" s="73">
        <f t="shared" si="0"/>
        <v>41785</v>
      </c>
      <c r="AF5" s="73">
        <f t="shared" si="0"/>
        <v>41786</v>
      </c>
      <c r="AG5" s="73">
        <f t="shared" si="0"/>
        <v>41787</v>
      </c>
      <c r="AH5" s="73">
        <f>AG5+1</f>
        <v>41788</v>
      </c>
      <c r="AI5" s="73">
        <f t="shared" si="0"/>
        <v>41789</v>
      </c>
      <c r="AJ5" s="73">
        <f t="shared" si="0"/>
        <v>41790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27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/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/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/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/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3">
        <f t="shared" ref="AK12" si="2">((SUM(F12:AJ12))/8)-(SUMIF($F$6:$AJ$6,"C.Nhật",F12:AJ12)/8)</f>
        <v>27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>SUM(AK12:AM13)</f>
        <v>27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/>
      <c r="J14" s="87">
        <v>8</v>
      </c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/>
      <c r="Q14" s="87">
        <v>8</v>
      </c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/>
      <c r="X14" s="87">
        <v>8</v>
      </c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/>
      <c r="AE14" s="87">
        <v>8</v>
      </c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3">
        <f t="shared" ref="AK14" si="4">((SUM(F14:AJ14))/8)-(SUMIF($F$6:$AJ$6,"C.Nhật",F14:AJ14)/8)</f>
        <v>27</v>
      </c>
      <c r="AL14" s="223">
        <f t="shared" ref="AL14" si="5">SUM(F15:AJ15)/8*1.5</f>
        <v>0</v>
      </c>
      <c r="AM14" s="227">
        <f>SUMIF($F$6:$AJ$6,"C.Nhật",$F14:$AJ15)/8*2</f>
        <v>0</v>
      </c>
      <c r="AN14" s="215">
        <f t="shared" ref="AN14" si="6">SUM(AK14:AM15)</f>
        <v>27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S12:AS13"/>
    <mergeCell ref="AP12:AP13"/>
    <mergeCell ref="AQ12:AQ13"/>
    <mergeCell ref="AR12:AR13"/>
  </mergeCells>
  <conditionalFormatting sqref="F5:AJ6 F9:AJ10">
    <cfRule type="expression" dxfId="24" priority="10" stopIfTrue="1">
      <formula>IF(WEEKDAY(F$5)=1,TRUE,FALSE)</formula>
    </cfRule>
  </conditionalFormatting>
  <conditionalFormatting sqref="F9:AJ10">
    <cfRule type="expression" dxfId="23" priority="9" stopIfTrue="1">
      <formula>IF(WEEKDAY(F$5)=1,TRUE,FALSE)</formula>
    </cfRule>
  </conditionalFormatting>
  <conditionalFormatting sqref="F12:AJ15">
    <cfRule type="expression" dxfId="22" priority="2" stopIfTrue="1">
      <formula>IF(WEEKDAY(F$5)=1,TRUE,FALSE)</formula>
    </cfRule>
  </conditionalFormatting>
  <conditionalFormatting sqref="F12:AJ15">
    <cfRule type="expression" dxfId="2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05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41760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-5'!$B$8:$AS$15,36,0)</f>
        <v>27</v>
      </c>
      <c r="G10" s="146">
        <f t="shared" ref="G10" si="2">ROUND(E10/$U$2*F10,0)</f>
        <v>1240000</v>
      </c>
      <c r="H10" s="145">
        <f>(VLOOKUP(B10,'CC -5'!$B$8:$AS$15,37,0)+VLOOKUP(B10,'CC -5'!$B$8:$AS$15,38,0))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-5'!$B$8:$AS$15,36,0)</f>
        <v>27</v>
      </c>
      <c r="G14" s="146">
        <f t="shared" ref="G14:G15" si="12">ROUND(E14/$U$2*F14,0)</f>
        <v>2000000</v>
      </c>
      <c r="H14" s="145">
        <f>(VLOOKUP(B14,'CC -5'!$B$8:$AS$15,37,0)+VLOOKUP(B14,'CC -5'!$B$8:$AS$15,38,0))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- 5'!E14*$N$4,0)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-5'!$B$8:$AS$15,36,0)</f>
        <v>27</v>
      </c>
      <c r="G15" s="146">
        <f t="shared" si="12"/>
        <v>2500000</v>
      </c>
      <c r="H15" s="145">
        <f>(VLOOKUP(B15,'CC -5'!$B$8:$AS$15,37,0)+VLOOKUP(B15,'CC -5'!$B$8:$AS$15,38,0))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- 5'!E15*$N$4,0)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5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41791</v>
      </c>
      <c r="G5" s="73">
        <f t="shared" ref="G5:AJ5" si="0">F5+1</f>
        <v>41792</v>
      </c>
      <c r="H5" s="73">
        <f t="shared" si="0"/>
        <v>41793</v>
      </c>
      <c r="I5" s="73">
        <f t="shared" si="0"/>
        <v>41794</v>
      </c>
      <c r="J5" s="73">
        <f t="shared" si="0"/>
        <v>41795</v>
      </c>
      <c r="K5" s="73">
        <f t="shared" si="0"/>
        <v>41796</v>
      </c>
      <c r="L5" s="73">
        <f t="shared" si="0"/>
        <v>41797</v>
      </c>
      <c r="M5" s="73">
        <f t="shared" si="0"/>
        <v>41798</v>
      </c>
      <c r="N5" s="73">
        <f t="shared" si="0"/>
        <v>41799</v>
      </c>
      <c r="O5" s="73">
        <f t="shared" si="0"/>
        <v>41800</v>
      </c>
      <c r="P5" s="73">
        <f t="shared" si="0"/>
        <v>41801</v>
      </c>
      <c r="Q5" s="73">
        <f t="shared" si="0"/>
        <v>41802</v>
      </c>
      <c r="R5" s="73">
        <f t="shared" si="0"/>
        <v>41803</v>
      </c>
      <c r="S5" s="73">
        <f t="shared" si="0"/>
        <v>41804</v>
      </c>
      <c r="T5" s="73">
        <f t="shared" si="0"/>
        <v>41805</v>
      </c>
      <c r="U5" s="73">
        <f t="shared" si="0"/>
        <v>41806</v>
      </c>
      <c r="V5" s="73">
        <f t="shared" si="0"/>
        <v>41807</v>
      </c>
      <c r="W5" s="73">
        <f t="shared" si="0"/>
        <v>41808</v>
      </c>
      <c r="X5" s="73">
        <f t="shared" si="0"/>
        <v>41809</v>
      </c>
      <c r="Y5" s="73">
        <f t="shared" si="0"/>
        <v>41810</v>
      </c>
      <c r="Z5" s="73">
        <f t="shared" si="0"/>
        <v>41811</v>
      </c>
      <c r="AA5" s="73">
        <f t="shared" si="0"/>
        <v>41812</v>
      </c>
      <c r="AB5" s="73">
        <f t="shared" si="0"/>
        <v>41813</v>
      </c>
      <c r="AC5" s="73">
        <f t="shared" si="0"/>
        <v>41814</v>
      </c>
      <c r="AD5" s="73">
        <f t="shared" si="0"/>
        <v>41815</v>
      </c>
      <c r="AE5" s="73">
        <f t="shared" si="0"/>
        <v>41816</v>
      </c>
      <c r="AF5" s="73">
        <f t="shared" si="0"/>
        <v>41817</v>
      </c>
      <c r="AG5" s="73">
        <f t="shared" si="0"/>
        <v>41818</v>
      </c>
      <c r="AH5" s="73">
        <f>AG5+1</f>
        <v>41819</v>
      </c>
      <c r="AI5" s="73">
        <f t="shared" si="0"/>
        <v>41820</v>
      </c>
      <c r="AJ5" s="73">
        <f t="shared" si="0"/>
        <v>41821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3">
        <f>((SUM(F9:AJ9))/8)-(SUMIF($F$6:$AJ$6,"C.Nhật",F9:AJ9)/8)</f>
        <v>25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25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/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/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/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/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>
        <v>8</v>
      </c>
      <c r="AJ12" s="87"/>
      <c r="AK12" s="223">
        <f t="shared" ref="AK12" si="2">((SUM(F12:AJ12))/8)-(SUMIF($F$6:$AJ$6,"C.Nhật",F12:AJ12)/8)</f>
        <v>25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>SUM(AK12:AM13)</f>
        <v>25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f>A12+1</f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/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/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/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/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>
        <v>8</v>
      </c>
      <c r="AJ14" s="87"/>
      <c r="AK14" s="223">
        <f t="shared" ref="AK14" si="4">((SUM(F14:AJ14))/8)-(SUMIF($F$6:$AJ$6,"C.Nhật",F14:AJ14)/8)</f>
        <v>25</v>
      </c>
      <c r="AL14" s="223">
        <f t="shared" ref="AL14" si="5">SUM(F15:AJ15)/8*1.5</f>
        <v>0</v>
      </c>
      <c r="AM14" s="227">
        <f>SUMIF($F$6:$AJ$6,"C.Nhật",$F14:$AJ15)/8*2</f>
        <v>0</v>
      </c>
      <c r="AN14" s="215">
        <f t="shared" ref="AN14" si="6">SUM(AK14:AM15)</f>
        <v>25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20" priority="16" stopIfTrue="1">
      <formula>IF(WEEKDAY(F$5)=1,TRUE,FALSE)</formula>
    </cfRule>
  </conditionalFormatting>
  <conditionalFormatting sqref="F9:AJ10">
    <cfRule type="expression" dxfId="19" priority="15" stopIfTrue="1">
      <formula>IF(WEEKDAY(F$5)=1,TRUE,FALSE)</formula>
    </cfRule>
  </conditionalFormatting>
  <conditionalFormatting sqref="AJ12:AJ15">
    <cfRule type="expression" dxfId="18" priority="14" stopIfTrue="1">
      <formula>IF(WEEKDAY(AJ$5)=1,TRUE,FALSE)</formula>
    </cfRule>
  </conditionalFormatting>
  <conditionalFormatting sqref="AJ12:AJ15">
    <cfRule type="expression" dxfId="17" priority="13" stopIfTrue="1">
      <formula>IF(WEEKDAY(AJ$5)=1,TRUE,FALSE)</formula>
    </cfRule>
  </conditionalFormatting>
  <conditionalFormatting sqref="F12:AI15">
    <cfRule type="expression" dxfId="16" priority="2" stopIfTrue="1">
      <formula>IF(WEEKDAY(F$5)=1,TRUE,FALSE)</formula>
    </cfRule>
  </conditionalFormatting>
  <conditionalFormatting sqref="F12:AI15">
    <cfRule type="expression" dxfId="1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06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-6'!$AK$9:$AK$15)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41791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-6'!$B$8:$AS$15,36,0)</f>
        <v>25</v>
      </c>
      <c r="G10" s="146">
        <f t="shared" ref="G10" si="2">ROUND(E10/$U$2*F10,0)</f>
        <v>1240000</v>
      </c>
      <c r="H10" s="145">
        <f>(VLOOKUP(B10,'CC -6'!$B$8:$AS$15,37,0)+VLOOKUP(B10,'CC -6'!$B$8:$AS$15,38,0))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-6'!$B$8:$AS$15,36,0)</f>
        <v>25</v>
      </c>
      <c r="G14" s="146">
        <f t="shared" ref="G14:G15" si="12">ROUND(E14/$U$2*F14,0)</f>
        <v>2000000</v>
      </c>
      <c r="H14" s="145">
        <f>(VLOOKUP(B14,'CC -6'!$B$8:$AS$15,37,0)+VLOOKUP(B14,'CC -6'!$B$8:$AS$15,38,0))</f>
        <v>0</v>
      </c>
      <c r="I14" s="146">
        <f t="shared" ref="I14:I15" si="13">ROUND(E14/$U$2*H14,0)</f>
        <v>0</v>
      </c>
      <c r="J14" s="167">
        <f t="shared" ref="J14:K15" si="14">F14+H14</f>
        <v>25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- 6'!E14*$N$4,0)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-6'!$B$8:$AS$15,36,0)</f>
        <v>25</v>
      </c>
      <c r="G15" s="146">
        <f t="shared" si="12"/>
        <v>2500000</v>
      </c>
      <c r="H15" s="145">
        <f>(VLOOKUP(B15,'CC -6'!$B$8:$AS$15,37,0)+VLOOKUP(B15,'CC -6'!$B$8:$AS$15,38,0))</f>
        <v>0</v>
      </c>
      <c r="I15" s="146">
        <f t="shared" si="13"/>
        <v>0</v>
      </c>
      <c r="J15" s="167">
        <f t="shared" si="14"/>
        <v>25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- 6'!E15*$N$4,0)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6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Z12" sqref="Z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41821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41821</v>
      </c>
      <c r="G5" s="73">
        <f t="shared" ref="G5:AJ5" si="0">F5+1</f>
        <v>41822</v>
      </c>
      <c r="H5" s="73">
        <f t="shared" si="0"/>
        <v>41823</v>
      </c>
      <c r="I5" s="73">
        <f t="shared" si="0"/>
        <v>41824</v>
      </c>
      <c r="J5" s="73">
        <f t="shared" si="0"/>
        <v>41825</v>
      </c>
      <c r="K5" s="73">
        <f t="shared" si="0"/>
        <v>41826</v>
      </c>
      <c r="L5" s="73">
        <f t="shared" si="0"/>
        <v>41827</v>
      </c>
      <c r="M5" s="73">
        <f t="shared" si="0"/>
        <v>41828</v>
      </c>
      <c r="N5" s="73">
        <f t="shared" si="0"/>
        <v>41829</v>
      </c>
      <c r="O5" s="73">
        <f t="shared" si="0"/>
        <v>41830</v>
      </c>
      <c r="P5" s="73">
        <f t="shared" si="0"/>
        <v>41831</v>
      </c>
      <c r="Q5" s="73">
        <f t="shared" si="0"/>
        <v>41832</v>
      </c>
      <c r="R5" s="73">
        <f t="shared" si="0"/>
        <v>41833</v>
      </c>
      <c r="S5" s="73">
        <f t="shared" si="0"/>
        <v>41834</v>
      </c>
      <c r="T5" s="73">
        <f t="shared" si="0"/>
        <v>41835</v>
      </c>
      <c r="U5" s="73">
        <f t="shared" si="0"/>
        <v>41836</v>
      </c>
      <c r="V5" s="73">
        <f t="shared" si="0"/>
        <v>41837</v>
      </c>
      <c r="W5" s="73">
        <f t="shared" si="0"/>
        <v>41838</v>
      </c>
      <c r="X5" s="73">
        <f t="shared" si="0"/>
        <v>41839</v>
      </c>
      <c r="Y5" s="73">
        <f t="shared" si="0"/>
        <v>41840</v>
      </c>
      <c r="Z5" s="73">
        <f t="shared" si="0"/>
        <v>41841</v>
      </c>
      <c r="AA5" s="73">
        <f t="shared" si="0"/>
        <v>41842</v>
      </c>
      <c r="AB5" s="73">
        <f t="shared" si="0"/>
        <v>41843</v>
      </c>
      <c r="AC5" s="73">
        <f t="shared" si="0"/>
        <v>41844</v>
      </c>
      <c r="AD5" s="73">
        <f t="shared" si="0"/>
        <v>41845</v>
      </c>
      <c r="AE5" s="73">
        <f t="shared" si="0"/>
        <v>41846</v>
      </c>
      <c r="AF5" s="73">
        <f t="shared" si="0"/>
        <v>41847</v>
      </c>
      <c r="AG5" s="73">
        <f t="shared" si="0"/>
        <v>41848</v>
      </c>
      <c r="AH5" s="73">
        <f>AG5+1</f>
        <v>41849</v>
      </c>
      <c r="AI5" s="73">
        <f t="shared" si="0"/>
        <v>41850</v>
      </c>
      <c r="AJ5" s="73">
        <f t="shared" si="0"/>
        <v>41851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27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30</v>
      </c>
      <c r="C12" s="219" t="str">
        <f>VLOOKUP(B12,DS,2,0)</f>
        <v>Nguyễn Thị Thanh Thúy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3.424464</v>
      </c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223">
        <f t="shared" ref="AK12" si="2">((SUM(F12:AJ12))/8)-(SUMIF($F$6:$AJ$6,"C.Nhật",F12:AJ12)/8)</f>
        <v>17.428058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17.428058</v>
      </c>
      <c r="AO12" s="213">
        <v>0</v>
      </c>
      <c r="AP12" s="215"/>
      <c r="AQ12" s="215"/>
      <c r="AR12" s="215"/>
      <c r="AS12" s="225"/>
      <c r="AT12" s="19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19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17">
        <v>2</v>
      </c>
      <c r="B14" s="217" t="s">
        <v>33</v>
      </c>
      <c r="C14" s="219" t="str">
        <f>VLOOKUP(B14,DS,2,0)</f>
        <v>Huỳnh Đoàn Viết Thanh</v>
      </c>
      <c r="D14" s="221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>
        <v>8</v>
      </c>
      <c r="AK14" s="223">
        <f t="shared" ref="AK14" si="5">((SUM(F14:AJ14))/8)-(SUMIF($F$6:$AJ$6,"C.Nhật",F14:AJ14)/8)</f>
        <v>27</v>
      </c>
      <c r="AL14" s="223">
        <f t="shared" ref="AL14" si="6">SUM(F15:AJ15)/8*1.5</f>
        <v>0</v>
      </c>
      <c r="AM14" s="227">
        <f>SUMIF($F$6:$AJ$6,"C.Nhật",$F14:$AJ15)/8*2</f>
        <v>0</v>
      </c>
      <c r="AN14" s="215">
        <f t="shared" ref="AN14" si="7">SUM(AK14:AM15)</f>
        <v>27</v>
      </c>
      <c r="AO14" s="213">
        <v>0</v>
      </c>
      <c r="AP14" s="215"/>
      <c r="AQ14" s="215"/>
      <c r="AR14" s="215"/>
      <c r="AS14" s="225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18"/>
      <c r="B15" s="218"/>
      <c r="C15" s="220"/>
      <c r="D15" s="222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4"/>
      <c r="AL15" s="224"/>
      <c r="AM15" s="228"/>
      <c r="AN15" s="216"/>
      <c r="AO15" s="214"/>
      <c r="AP15" s="216"/>
      <c r="AQ15" s="216"/>
      <c r="AR15" s="216"/>
      <c r="AS15" s="226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2:AS13"/>
    <mergeCell ref="A12:A13"/>
    <mergeCell ref="B12:B13"/>
    <mergeCell ref="C12:C13"/>
    <mergeCell ref="D12:D13"/>
    <mergeCell ref="AK12:AK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L14:AL15"/>
    <mergeCell ref="AR14:AR15"/>
    <mergeCell ref="AM9:AM10"/>
    <mergeCell ref="AN9:AN10"/>
    <mergeCell ref="AO9:AO10"/>
    <mergeCell ref="AL12:AL13"/>
    <mergeCell ref="AM12:AM13"/>
    <mergeCell ref="AN12:AN13"/>
    <mergeCell ref="AO12:AO13"/>
    <mergeCell ref="AP12:AP13"/>
    <mergeCell ref="AQ12:AQ13"/>
    <mergeCell ref="AR12:AR13"/>
    <mergeCell ref="A14:A15"/>
    <mergeCell ref="B14:B15"/>
    <mergeCell ref="C14:C15"/>
    <mergeCell ref="D14:D15"/>
    <mergeCell ref="AK14:AK15"/>
    <mergeCell ref="AS14:AS15"/>
    <mergeCell ref="AM14:AM15"/>
    <mergeCell ref="AN14:AN15"/>
    <mergeCell ref="AO14:AO15"/>
    <mergeCell ref="AP14:AP15"/>
    <mergeCell ref="AQ14:AQ15"/>
  </mergeCells>
  <conditionalFormatting sqref="F5:AJ6 F9:AJ10 F14:AJ15">
    <cfRule type="expression" dxfId="14" priority="7" stopIfTrue="1">
      <formula>IF(WEEKDAY(F$5)=1,TRUE,FALSE)</formula>
    </cfRule>
  </conditionalFormatting>
  <conditionalFormatting sqref="F9:AJ10">
    <cfRule type="expression" dxfId="13" priority="6" stopIfTrue="1">
      <formula>IF(WEEKDAY(F$5)=1,TRUE,FALSE)</formula>
    </cfRule>
  </conditionalFormatting>
  <conditionalFormatting sqref="F12:AJ1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U14" sqref="U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07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41821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-7'!$B$8:$AS$15,36,0)</f>
        <v>27</v>
      </c>
      <c r="G10" s="146">
        <f t="shared" ref="G10" si="2">ROUND(E10/$U$2*F10,0)</f>
        <v>1240000</v>
      </c>
      <c r="H10" s="145">
        <f>(VLOOKUP(B10,'CC -7'!$B$8:$AS$15,37,0)+VLOOKUP(B10,'CC -7'!$B$8:$AS$15,38,0))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37" customFormat="1" ht="24" customHeight="1">
      <c r="A14" s="141">
        <v>1</v>
      </c>
      <c r="B14" s="25" t="s">
        <v>30</v>
      </c>
      <c r="C14" s="142" t="str">
        <f t="shared" ref="C14" si="9">VLOOKUP(B14,DS,2,0)</f>
        <v>Nguyễn Thị Thanh Thúy</v>
      </c>
      <c r="D14" s="143" t="str">
        <f t="shared" ref="D14" si="10">VLOOKUP(B14,DS,3,0)</f>
        <v>Công nhân</v>
      </c>
      <c r="E14" s="144">
        <f t="shared" ref="E14" si="11">VLOOKUP(B14,DS,4,0)</f>
        <v>2000000</v>
      </c>
      <c r="F14" s="145">
        <f>VLOOKUP(B14,'CC -7'!$B$8:$AS$15,36,0)</f>
        <v>17.428058</v>
      </c>
      <c r="G14" s="146">
        <f t="shared" ref="G14" si="12">ROUND(E14/$U$2*F14,0)</f>
        <v>1290967</v>
      </c>
      <c r="H14" s="145">
        <f>(VLOOKUP(B14,'CC -7'!$B$8:$AS$15,37,0)+VLOOKUP(B14,'CC -7'!$B$8:$AS$15,38,0))</f>
        <v>0</v>
      </c>
      <c r="I14" s="146">
        <f t="shared" ref="I14" si="13">ROUND(E14/$U$2*H14,0)</f>
        <v>0</v>
      </c>
      <c r="J14" s="167">
        <f t="shared" ref="J14" si="14">F14+H14</f>
        <v>17.428058</v>
      </c>
      <c r="K14" s="148">
        <f t="shared" ref="K14" si="15">G14+I14</f>
        <v>1290967</v>
      </c>
      <c r="L14" s="144">
        <v>170000</v>
      </c>
      <c r="M14" s="149">
        <f t="shared" ref="M14" si="16">K14+L14</f>
        <v>1460967</v>
      </c>
      <c r="N14" s="149">
        <f>IF(VLOOKUP(B14,DS,9,0)="x",'L - 7'!E14*$N$4,0)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 t="shared" ref="Q14" si="19">M14-SUM(N14:P14)</f>
        <v>1460967</v>
      </c>
      <c r="R14" s="148">
        <f t="shared" ref="R14" si="20">VLOOKUP(B14,DS,23,0)</f>
        <v>0</v>
      </c>
      <c r="S14" s="150">
        <f t="shared" ref="S14" si="21">Q14-R14</f>
        <v>1460967</v>
      </c>
      <c r="T14" s="148"/>
      <c r="U14" s="259"/>
      <c r="V14" s="134"/>
      <c r="W14" s="135"/>
      <c r="X14" s="135"/>
      <c r="Y14" s="135"/>
      <c r="Z14" s="136"/>
      <c r="AA14" s="136"/>
      <c r="AB14" s="136"/>
      <c r="AC14" s="136"/>
      <c r="AD14" s="136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2">VLOOKUP(B15,DS,2,0)</f>
        <v>Huỳnh Đoàn Viết Thanh</v>
      </c>
      <c r="D15" s="143" t="str">
        <f t="shared" ref="D15" si="23">VLOOKUP(B15,DS,3,0)</f>
        <v>Công nhân</v>
      </c>
      <c r="E15" s="144">
        <f t="shared" ref="E15" si="24">VLOOKUP(B15,DS,4,0)</f>
        <v>2500000</v>
      </c>
      <c r="F15" s="145">
        <f>VLOOKUP(B15,'CC -7'!$B$8:$AS$15,36,0)</f>
        <v>27</v>
      </c>
      <c r="G15" s="146">
        <f t="shared" ref="G15" si="25">ROUND(E15/$U$2*F15,0)</f>
        <v>2500000</v>
      </c>
      <c r="H15" s="145">
        <f>(VLOOKUP(B15,'CC -7'!$B$8:$AS$15,37,0)+VLOOKUP(B15,'CC -7'!$B$8:$AS$15,38,0))</f>
        <v>0</v>
      </c>
      <c r="I15" s="146">
        <f t="shared" ref="I15" si="26">ROUND(E15/$U$2*H15,0)</f>
        <v>0</v>
      </c>
      <c r="J15" s="167">
        <f t="shared" ref="J15:K15" si="27">F15+H15</f>
        <v>27</v>
      </c>
      <c r="K15" s="148">
        <f t="shared" si="27"/>
        <v>2500000</v>
      </c>
      <c r="L15" s="144">
        <f>VLOOKUP(B15,DS,6,0)</f>
        <v>260000</v>
      </c>
      <c r="M15" s="149">
        <f t="shared" ref="M15" si="28">K15+L15</f>
        <v>2760000</v>
      </c>
      <c r="N15" s="149">
        <f>IF(VLOOKUP(B15,DS,9,0)="x",'L - 7'!E15*$N$4,0)</f>
        <v>0</v>
      </c>
      <c r="O15" s="149">
        <f t="shared" ref="O15" si="29">IF(VLOOKUP(B15,DS,9,0)="x",E15*0.015,0)</f>
        <v>0</v>
      </c>
      <c r="P15" s="149">
        <f t="shared" ref="P15" si="30">IF(VLOOKUP(B15,DS,9,0)="x",E15*0.01,0)</f>
        <v>0</v>
      </c>
      <c r="Q15" s="148">
        <f t="shared" ref="Q15" si="31">M15-SUM(N15:P15)</f>
        <v>2760000</v>
      </c>
      <c r="R15" s="148">
        <f t="shared" ref="R15" si="32">VLOOKUP(B15,DS,23,0)</f>
        <v>0</v>
      </c>
      <c r="S15" s="150">
        <f t="shared" ref="S15" si="33">Q15-R15</f>
        <v>2760000</v>
      </c>
      <c r="T15" s="148"/>
      <c r="U15" s="25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261"/>
      <c r="V16" s="175"/>
      <c r="W16" s="175"/>
      <c r="X16" s="175"/>
      <c r="Y16" s="175"/>
    </row>
    <row r="17" spans="1:25" s="166" customFormat="1" ht="21" customHeight="1">
      <c r="A17" s="241" t="s">
        <v>35</v>
      </c>
      <c r="B17" s="241"/>
      <c r="C17" s="241"/>
      <c r="D17" s="241"/>
      <c r="E17" s="163">
        <f>SUM(E13:E16)</f>
        <v>4500000</v>
      </c>
      <c r="F17" s="163"/>
      <c r="G17" s="163">
        <f>SUM(G13:G16)</f>
        <v>3790967</v>
      </c>
      <c r="H17" s="163"/>
      <c r="I17" s="163">
        <f>SUM(I13:I16)</f>
        <v>0</v>
      </c>
      <c r="J17" s="163"/>
      <c r="K17" s="163">
        <f t="shared" ref="K17:S17" si="34">SUM(K13:K16)</f>
        <v>3790967</v>
      </c>
      <c r="L17" s="163">
        <f t="shared" si="34"/>
        <v>430000</v>
      </c>
      <c r="M17" s="163">
        <f t="shared" si="34"/>
        <v>4220967</v>
      </c>
      <c r="N17" s="163">
        <f t="shared" si="34"/>
        <v>0</v>
      </c>
      <c r="O17" s="163">
        <f t="shared" si="34"/>
        <v>0</v>
      </c>
      <c r="P17" s="163">
        <f t="shared" si="34"/>
        <v>0</v>
      </c>
      <c r="Q17" s="163">
        <f t="shared" si="34"/>
        <v>4220967</v>
      </c>
      <c r="R17" s="163">
        <f t="shared" si="34"/>
        <v>0</v>
      </c>
      <c r="S17" s="163">
        <f t="shared" si="34"/>
        <v>4220967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7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:V14 Q5:T7 E5:I6 N5:P6 L5 L20 J6:K7 L7 A23:T56 U29:U56 N16:S16 V23:IJ56 J16:L16 AE13:IJ14 V12:IJ12 D12:T12 D17:T17 A57:IJ65324 AE5:IJ11 V5:V11 Q10:S11 A10:B12" name="Range1"/>
    <protectedRange password="CC78" sqref="F7:H7" name="Range1_4"/>
    <protectedRange password="CC78" sqref="V20:IJ21 S20:T21 N20:Q21 E20:I21" name="Range1_1_1"/>
    <protectedRange password="CC78" sqref="U1 V1:IJ4 B4:T4 R2:S3 B1:Q3 U16:U28 W13:AD14 U4:U14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 AE15:IJ15 Q14:S15 A14:B15" name="Range1_5"/>
    <protectedRange password="CC78" sqref="U15 W15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41852</v>
      </c>
      <c r="G5" s="73">
        <f t="shared" ref="G5:AJ5" si="0">F5+1</f>
        <v>41853</v>
      </c>
      <c r="H5" s="73">
        <f t="shared" si="0"/>
        <v>41854</v>
      </c>
      <c r="I5" s="73">
        <f t="shared" si="0"/>
        <v>41855</v>
      </c>
      <c r="J5" s="73">
        <f t="shared" si="0"/>
        <v>41856</v>
      </c>
      <c r="K5" s="73">
        <f t="shared" si="0"/>
        <v>41857</v>
      </c>
      <c r="L5" s="73">
        <f t="shared" si="0"/>
        <v>41858</v>
      </c>
      <c r="M5" s="73">
        <f t="shared" si="0"/>
        <v>41859</v>
      </c>
      <c r="N5" s="73">
        <f t="shared" si="0"/>
        <v>41860</v>
      </c>
      <c r="O5" s="73">
        <f t="shared" si="0"/>
        <v>41861</v>
      </c>
      <c r="P5" s="73">
        <f t="shared" si="0"/>
        <v>41862</v>
      </c>
      <c r="Q5" s="73">
        <f t="shared" si="0"/>
        <v>41863</v>
      </c>
      <c r="R5" s="73">
        <f t="shared" si="0"/>
        <v>41864</v>
      </c>
      <c r="S5" s="73">
        <f t="shared" si="0"/>
        <v>41865</v>
      </c>
      <c r="T5" s="73">
        <f t="shared" si="0"/>
        <v>41866</v>
      </c>
      <c r="U5" s="73">
        <f t="shared" si="0"/>
        <v>41867</v>
      </c>
      <c r="V5" s="73">
        <f t="shared" si="0"/>
        <v>41868</v>
      </c>
      <c r="W5" s="73">
        <f t="shared" si="0"/>
        <v>41869</v>
      </c>
      <c r="X5" s="73">
        <f t="shared" si="0"/>
        <v>41870</v>
      </c>
      <c r="Y5" s="73">
        <f t="shared" si="0"/>
        <v>41871</v>
      </c>
      <c r="Z5" s="73">
        <f t="shared" si="0"/>
        <v>41872</v>
      </c>
      <c r="AA5" s="73">
        <f t="shared" si="0"/>
        <v>41873</v>
      </c>
      <c r="AB5" s="73">
        <f t="shared" si="0"/>
        <v>41874</v>
      </c>
      <c r="AC5" s="73">
        <f t="shared" si="0"/>
        <v>41875</v>
      </c>
      <c r="AD5" s="73">
        <f t="shared" si="0"/>
        <v>41876</v>
      </c>
      <c r="AE5" s="73">
        <f t="shared" si="0"/>
        <v>41877</v>
      </c>
      <c r="AF5" s="73">
        <f t="shared" si="0"/>
        <v>41878</v>
      </c>
      <c r="AG5" s="73">
        <f t="shared" si="0"/>
        <v>41879</v>
      </c>
      <c r="AH5" s="73">
        <f>AG5+1</f>
        <v>41880</v>
      </c>
      <c r="AI5" s="73">
        <f t="shared" si="0"/>
        <v>41881</v>
      </c>
      <c r="AJ5" s="73">
        <f t="shared" si="0"/>
        <v>41882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26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33</v>
      </c>
      <c r="C12" s="219" t="str">
        <f>VLOOKUP(B12,DS,2,0)</f>
        <v>Huỳnh Đoàn Viết Thanh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/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/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/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/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/>
      <c r="AK12" s="223">
        <f t="shared" ref="AK12" si="2">((SUM(F12:AJ12))/8)-(SUMIF($F$6:$AJ$6,"C.Nhật",F12:AJ12)/8)</f>
        <v>26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26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11" priority="6" stopIfTrue="1">
      <formula>IF(WEEKDAY(F$5)=1,TRUE,FALSE)</formula>
    </cfRule>
  </conditionalFormatting>
  <conditionalFormatting sqref="F9:AJ10">
    <cfRule type="expression" dxfId="10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08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41852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-8'!$B$8:$AS$13,36,0)</f>
        <v>26</v>
      </c>
      <c r="G10" s="146">
        <f t="shared" ref="G10" si="2">ROUND(E10/$U$2*F10,0)</f>
        <v>1240000</v>
      </c>
      <c r="H10" s="145">
        <f>(VLOOKUP(B10,'CC -8'!$B$8:$AS$13,37,0)+VLOOKUP(B10,'CC -8'!$B$8:$AS$13,38,0))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-8'!$B$8:$AS$13,36,0)</f>
        <v>26</v>
      </c>
      <c r="G14" s="146">
        <f t="shared" ref="G14" si="12">ROUND(E14/$U$2*F14,0)</f>
        <v>2500000</v>
      </c>
      <c r="H14" s="145">
        <f>(VLOOKUP(B14,'CC -8'!$B$8:$AS$13,37,0)+VLOOKUP(B14,'CC -8'!$B$8:$AS$13,38,0))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- 8'!E14*$N$4,0)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1" t="s">
        <v>35</v>
      </c>
      <c r="B16" s="241"/>
      <c r="C16" s="241"/>
      <c r="D16" s="241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8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2" sqref="A12:XFD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41883</v>
      </c>
      <c r="G5" s="73">
        <f t="shared" ref="G5:AJ5" si="0">F5+1</f>
        <v>41884</v>
      </c>
      <c r="H5" s="73">
        <f t="shared" si="0"/>
        <v>41885</v>
      </c>
      <c r="I5" s="73">
        <f t="shared" si="0"/>
        <v>41886</v>
      </c>
      <c r="J5" s="73">
        <f t="shared" si="0"/>
        <v>41887</v>
      </c>
      <c r="K5" s="73">
        <f t="shared" si="0"/>
        <v>41888</v>
      </c>
      <c r="L5" s="73">
        <f t="shared" si="0"/>
        <v>41889</v>
      </c>
      <c r="M5" s="73">
        <f t="shared" si="0"/>
        <v>41890</v>
      </c>
      <c r="N5" s="73">
        <f t="shared" si="0"/>
        <v>41891</v>
      </c>
      <c r="O5" s="73">
        <f t="shared" si="0"/>
        <v>41892</v>
      </c>
      <c r="P5" s="73">
        <f t="shared" si="0"/>
        <v>41893</v>
      </c>
      <c r="Q5" s="73">
        <f t="shared" si="0"/>
        <v>41894</v>
      </c>
      <c r="R5" s="73">
        <f t="shared" si="0"/>
        <v>41895</v>
      </c>
      <c r="S5" s="73">
        <f t="shared" si="0"/>
        <v>41896</v>
      </c>
      <c r="T5" s="73">
        <f t="shared" si="0"/>
        <v>41897</v>
      </c>
      <c r="U5" s="73">
        <f t="shared" si="0"/>
        <v>41898</v>
      </c>
      <c r="V5" s="73">
        <f t="shared" si="0"/>
        <v>41899</v>
      </c>
      <c r="W5" s="73">
        <f t="shared" si="0"/>
        <v>41900</v>
      </c>
      <c r="X5" s="73">
        <f t="shared" si="0"/>
        <v>41901</v>
      </c>
      <c r="Y5" s="73">
        <f t="shared" si="0"/>
        <v>41902</v>
      </c>
      <c r="Z5" s="73">
        <f t="shared" si="0"/>
        <v>41903</v>
      </c>
      <c r="AA5" s="73">
        <f t="shared" si="0"/>
        <v>41904</v>
      </c>
      <c r="AB5" s="73">
        <f t="shared" si="0"/>
        <v>41905</v>
      </c>
      <c r="AC5" s="73">
        <f t="shared" si="0"/>
        <v>41906</v>
      </c>
      <c r="AD5" s="73">
        <f t="shared" si="0"/>
        <v>41907</v>
      </c>
      <c r="AE5" s="73">
        <f t="shared" si="0"/>
        <v>41908</v>
      </c>
      <c r="AF5" s="73">
        <f t="shared" si="0"/>
        <v>41909</v>
      </c>
      <c r="AG5" s="73">
        <f t="shared" si="0"/>
        <v>41910</v>
      </c>
      <c r="AH5" s="73">
        <f>AG5+1</f>
        <v>41911</v>
      </c>
      <c r="AI5" s="73">
        <f t="shared" si="0"/>
        <v>41912</v>
      </c>
      <c r="AJ5" s="73">
        <f t="shared" si="0"/>
        <v>41913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3">
        <f>((SUM(F9:AJ9))/8)-(SUMIF($F$6:$AJ$6,"C.Nhật",F9:AJ9)/8)</f>
        <v>26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26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2</v>
      </c>
      <c r="B12" s="217" t="s">
        <v>33</v>
      </c>
      <c r="C12" s="219" t="str">
        <f>VLOOKUP(B12,DS,2,0)</f>
        <v>Huỳnh Đoàn Viết Thanh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/>
      <c r="AK12" s="223">
        <f t="shared" ref="AK12" si="2">((SUM(F12:AJ12))/8)-(SUMIF($F$6:$AJ$6,"C.Nhật",F12:AJ12)/8)</f>
        <v>26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26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9" priority="12" stopIfTrue="1">
      <formula>IF(WEEKDAY(F$5)=1,TRUE,FALSE)</formula>
    </cfRule>
  </conditionalFormatting>
  <conditionalFormatting sqref="F9:AJ10">
    <cfRule type="expression" dxfId="8" priority="1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09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41883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-9'!$B$8:$AS$13,36,0)</f>
        <v>26</v>
      </c>
      <c r="G10" s="146">
        <f t="shared" ref="G10" si="2">ROUND(E10/$U$2*F10,0)</f>
        <v>1240000</v>
      </c>
      <c r="H10" s="145">
        <f>(VLOOKUP(B10,'CC -9'!$B$8:$AS$13,37,0)+VLOOKUP(B10,'CC -9'!$B$8:$AS$13,38,0))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-9'!$B$8:$AS$13,36,0)</f>
        <v>26</v>
      </c>
      <c r="G14" s="146">
        <f t="shared" ref="G14" si="12">ROUND(E14/$U$2*F14,0)</f>
        <v>2500000</v>
      </c>
      <c r="H14" s="145">
        <f>(VLOOKUP(B14,'CC -9'!$B$8:$AS$13,37,0)+VLOOKUP(B14,'CC -9'!$B$8:$AS$13,38,0))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- 9'!E14*$N$4,0)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260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261"/>
      <c r="V15" s="175"/>
      <c r="W15" s="175"/>
      <c r="X15" s="175"/>
      <c r="Y15" s="175"/>
    </row>
    <row r="16" spans="1:30" s="166" customFormat="1" ht="21" customHeight="1">
      <c r="A16" s="241" t="s">
        <v>35</v>
      </c>
      <c r="B16" s="241"/>
      <c r="C16" s="241"/>
      <c r="D16" s="241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9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AE13:IJ13 Q5:T7 E5:I6 N5:P6 L5 L19 J6:K7 L7 A22:T55 U28:U55 N15:S15 V22:IJ55 J15:L15 A10:B12 V12:IJ12 D12:T12 D16:T16 A56:IJ65323 Q10:S11 V5:V11 AE5:IJ11 V13" name="Range1"/>
    <protectedRange password="CC78" sqref="F7:H7" name="Range1_4"/>
    <protectedRange password="CC78" sqref="V19:IJ20 S19:T20 N19:Q20 E19:I20" name="Range1_1_1"/>
    <protectedRange password="CC78" sqref="U1 V1:IJ4 B4:T4 R2:S3 B1:Q3 U15:U27 U4:U13 W5:AD11 W13:AD13" name="Range1_2"/>
    <protectedRange password="CC78" sqref="A1" name="Range1_2_1_1"/>
    <protectedRange password="CC78" sqref="I7" name="Range1_4_1"/>
    <protectedRange password="CC78" sqref="U2:U3" name="Range1_2_2_1"/>
    <protectedRange password="CC78" sqref="V14 AE14:IJ14 Q14:S14 A14:B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41913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41913</v>
      </c>
      <c r="G5" s="73">
        <f t="shared" ref="G5:AJ5" si="0">F5+1</f>
        <v>41914</v>
      </c>
      <c r="H5" s="73">
        <f t="shared" si="0"/>
        <v>41915</v>
      </c>
      <c r="I5" s="73">
        <f t="shared" si="0"/>
        <v>41916</v>
      </c>
      <c r="J5" s="73">
        <f t="shared" si="0"/>
        <v>41917</v>
      </c>
      <c r="K5" s="73">
        <f t="shared" si="0"/>
        <v>41918</v>
      </c>
      <c r="L5" s="73">
        <f t="shared" si="0"/>
        <v>41919</v>
      </c>
      <c r="M5" s="73">
        <f t="shared" si="0"/>
        <v>41920</v>
      </c>
      <c r="N5" s="73">
        <f t="shared" si="0"/>
        <v>41921</v>
      </c>
      <c r="O5" s="73">
        <f t="shared" si="0"/>
        <v>41922</v>
      </c>
      <c r="P5" s="73">
        <f t="shared" si="0"/>
        <v>41923</v>
      </c>
      <c r="Q5" s="73">
        <f t="shared" si="0"/>
        <v>41924</v>
      </c>
      <c r="R5" s="73">
        <f t="shared" si="0"/>
        <v>41925</v>
      </c>
      <c r="S5" s="73">
        <f t="shared" si="0"/>
        <v>41926</v>
      </c>
      <c r="T5" s="73">
        <f t="shared" si="0"/>
        <v>41927</v>
      </c>
      <c r="U5" s="73">
        <f t="shared" si="0"/>
        <v>41928</v>
      </c>
      <c r="V5" s="73">
        <f t="shared" si="0"/>
        <v>41929</v>
      </c>
      <c r="W5" s="73">
        <f t="shared" si="0"/>
        <v>41930</v>
      </c>
      <c r="X5" s="73">
        <f t="shared" si="0"/>
        <v>41931</v>
      </c>
      <c r="Y5" s="73">
        <f t="shared" si="0"/>
        <v>41932</v>
      </c>
      <c r="Z5" s="73">
        <f t="shared" si="0"/>
        <v>41933</v>
      </c>
      <c r="AA5" s="73">
        <f t="shared" si="0"/>
        <v>41934</v>
      </c>
      <c r="AB5" s="73">
        <f t="shared" si="0"/>
        <v>41935</v>
      </c>
      <c r="AC5" s="73">
        <f t="shared" si="0"/>
        <v>41936</v>
      </c>
      <c r="AD5" s="73">
        <f t="shared" si="0"/>
        <v>41937</v>
      </c>
      <c r="AE5" s="73">
        <f t="shared" si="0"/>
        <v>41938</v>
      </c>
      <c r="AF5" s="73">
        <f t="shared" si="0"/>
        <v>41939</v>
      </c>
      <c r="AG5" s="73">
        <f t="shared" si="0"/>
        <v>41940</v>
      </c>
      <c r="AH5" s="73">
        <f>AG5+1</f>
        <v>41941</v>
      </c>
      <c r="AI5" s="73">
        <f t="shared" si="0"/>
        <v>41942</v>
      </c>
      <c r="AJ5" s="73">
        <f t="shared" si="0"/>
        <v>41943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27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33</v>
      </c>
      <c r="C12" s="219" t="str">
        <f>VLOOKUP(B12,DS,2,0)</f>
        <v>Huỳnh Đoàn Viết Thanh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3">
        <f t="shared" ref="AK12" si="2">((SUM(F12:AJ12))/8)-(SUMIF($F$6:$AJ$6,"C.Nhật",F12:AJ12)/8)</f>
        <v>27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27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5" priority="10" stopIfTrue="1">
      <formula>IF(WEEKDAY(F$5)=1,TRUE,FALSE)</formula>
    </cfRule>
  </conditionalFormatting>
  <conditionalFormatting sqref="F9:AJ10">
    <cfRule type="expression" dxfId="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8" t="str">
        <f>"BẢNG THANH TOÁN LƯƠNG THÁNG"&amp;" "&amp;TEXT($E$4,"mm")&amp;" / "&amp;TEXT($E$4,"yyyy")</f>
        <v>BẢNG THANH TOÁN LƯƠNG THÁNG 10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41913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-10'!$B$8:$AS$13,36,0)</f>
        <v>27</v>
      </c>
      <c r="G10" s="146">
        <f t="shared" ref="G10" si="2">ROUND(E10/$U$2*F10,0)</f>
        <v>1240000</v>
      </c>
      <c r="H10" s="145">
        <f>(VLOOKUP(B10,'CC -10'!$B$8:$AS$13,37,0)+VLOOKUP(B10,'CC -10'!$B$8:$AS$13,38,0))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-10'!$B$8:$AS$13,36,0)</f>
        <v>27</v>
      </c>
      <c r="G14" s="146">
        <f t="shared" ref="G14" si="12">ROUND(E14/$U$2*F14,0)</f>
        <v>2500000</v>
      </c>
      <c r="H14" s="145">
        <f>(VLOOKUP(B14,'CC -10'!$B$8:$AS$13,37,0)+VLOOKUP(B14,'CC -10'!$B$8:$AS$13,38,0))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- 10'!E14*$N$4,0)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1" t="s">
        <v>35</v>
      </c>
      <c r="B16" s="241"/>
      <c r="C16" s="241"/>
      <c r="D16" s="241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10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41944</v>
      </c>
      <c r="G5" s="73">
        <f t="shared" ref="G5:AJ5" si="0">F5+1</f>
        <v>41945</v>
      </c>
      <c r="H5" s="73">
        <f t="shared" si="0"/>
        <v>41946</v>
      </c>
      <c r="I5" s="73">
        <f t="shared" si="0"/>
        <v>41947</v>
      </c>
      <c r="J5" s="73">
        <f t="shared" si="0"/>
        <v>41948</v>
      </c>
      <c r="K5" s="73">
        <f t="shared" si="0"/>
        <v>41949</v>
      </c>
      <c r="L5" s="73">
        <f t="shared" si="0"/>
        <v>41950</v>
      </c>
      <c r="M5" s="73">
        <f t="shared" si="0"/>
        <v>41951</v>
      </c>
      <c r="N5" s="73">
        <f t="shared" si="0"/>
        <v>41952</v>
      </c>
      <c r="O5" s="73">
        <f t="shared" si="0"/>
        <v>41953</v>
      </c>
      <c r="P5" s="73">
        <f t="shared" si="0"/>
        <v>41954</v>
      </c>
      <c r="Q5" s="73">
        <f t="shared" si="0"/>
        <v>41955</v>
      </c>
      <c r="R5" s="73">
        <f t="shared" si="0"/>
        <v>41956</v>
      </c>
      <c r="S5" s="73">
        <f t="shared" si="0"/>
        <v>41957</v>
      </c>
      <c r="T5" s="73">
        <f t="shared" si="0"/>
        <v>41958</v>
      </c>
      <c r="U5" s="73">
        <f t="shared" si="0"/>
        <v>41959</v>
      </c>
      <c r="V5" s="73">
        <f t="shared" si="0"/>
        <v>41960</v>
      </c>
      <c r="W5" s="73">
        <f t="shared" si="0"/>
        <v>41961</v>
      </c>
      <c r="X5" s="73">
        <f t="shared" si="0"/>
        <v>41962</v>
      </c>
      <c r="Y5" s="73">
        <f t="shared" si="0"/>
        <v>41963</v>
      </c>
      <c r="Z5" s="73">
        <f t="shared" si="0"/>
        <v>41964</v>
      </c>
      <c r="AA5" s="73">
        <f t="shared" si="0"/>
        <v>41965</v>
      </c>
      <c r="AB5" s="73">
        <f t="shared" si="0"/>
        <v>41966</v>
      </c>
      <c r="AC5" s="73">
        <f t="shared" si="0"/>
        <v>41967</v>
      </c>
      <c r="AD5" s="73">
        <f t="shared" si="0"/>
        <v>41968</v>
      </c>
      <c r="AE5" s="73">
        <f t="shared" si="0"/>
        <v>41969</v>
      </c>
      <c r="AF5" s="73">
        <f t="shared" si="0"/>
        <v>41970</v>
      </c>
      <c r="AG5" s="73">
        <f t="shared" si="0"/>
        <v>41971</v>
      </c>
      <c r="AH5" s="73">
        <f>AG5+1</f>
        <v>41972</v>
      </c>
      <c r="AI5" s="73">
        <f t="shared" si="0"/>
        <v>41973</v>
      </c>
      <c r="AJ5" s="73">
        <f t="shared" si="0"/>
        <v>41974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23">
        <f>((SUM(F9:AJ9))/8)-(SUMIF($F$6:$AJ$6,"C.Nhật",F9:AJ9)/8)</f>
        <v>25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25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33</v>
      </c>
      <c r="C12" s="219" t="str">
        <f>VLOOKUP(B12,DS,2,0)</f>
        <v>Huỳnh Đoàn Viết Thanh</v>
      </c>
      <c r="D12" s="221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/>
      <c r="AK12" s="223">
        <f t="shared" ref="AK12" si="2">((SUM(F12:AJ12))/8)-(SUMIF($F$6:$AJ$6,"C.Nhật",F12:AJ12)/8)</f>
        <v>25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25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3" priority="10" stopIfTrue="1">
      <formula>IF(WEEKDAY(F$5)=1,TRUE,FALSE)</formula>
    </cfRule>
  </conditionalFormatting>
  <conditionalFormatting sqref="F9:AJ10">
    <cfRule type="expression" dxfId="2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1" sqref="A11:XFD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8" t="str">
        <f>"BẢNG THANH TOÁN LƯƠNG THÁNG"&amp;" "&amp;TEXT($E$4,"mm")&amp;" / "&amp;TEXT($E$4,"yyyy")</f>
        <v>BẢNG THANH TOÁN LƯƠNG THÁNG 11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-11'!$AK$9:$AK$13)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41944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-11'!$B$8:$AS$13,36,0)</f>
        <v>25</v>
      </c>
      <c r="G10" s="146">
        <f t="shared" ref="G10" si="2">ROUND(E10/$U$2*F10,0)</f>
        <v>1240000</v>
      </c>
      <c r="H10" s="145">
        <f>(VLOOKUP(B10,'CC -11'!$B$8:$AS$13,37,0)+VLOOKUP(B10,'CC -11'!$B$8:$AS$13,38,0))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>SUM(K9:K10)</f>
        <v>1240000</v>
      </c>
      <c r="L12" s="163">
        <f>SUM(L9:L10)</f>
        <v>260000</v>
      </c>
      <c r="M12" s="163">
        <f>SUM(M9:M10)</f>
        <v>1500000</v>
      </c>
      <c r="N12" s="163">
        <f>SUM(N9:N10)</f>
        <v>0</v>
      </c>
      <c r="O12" s="163">
        <f>SUM(O9:O10)</f>
        <v>0</v>
      </c>
      <c r="P12" s="163">
        <f>SUM(P9:P10)</f>
        <v>0</v>
      </c>
      <c r="Q12" s="163">
        <f>SUM(Q9:Q10)</f>
        <v>1500000</v>
      </c>
      <c r="R12" s="163">
        <f>SUM(R9:R10)</f>
        <v>0</v>
      </c>
      <c r="S12" s="163">
        <f>SUM(S9:S10)</f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8">VLOOKUP(B14,DS,2,0)</f>
        <v>Huỳnh Đoàn Viết Thanh</v>
      </c>
      <c r="D14" s="143" t="str">
        <f t="shared" ref="D14" si="9">VLOOKUP(B14,DS,3,0)</f>
        <v>Công nhân</v>
      </c>
      <c r="E14" s="144">
        <f t="shared" ref="E14" si="10">VLOOKUP(B14,DS,4,0)</f>
        <v>2500000</v>
      </c>
      <c r="F14" s="145">
        <f>VLOOKUP(B14,'CC -11'!$B$8:$AS$13,36,0)</f>
        <v>25</v>
      </c>
      <c r="G14" s="146">
        <f t="shared" ref="G14" si="11">ROUND(E14/$U$2*F14,0)</f>
        <v>2500000</v>
      </c>
      <c r="H14" s="145">
        <f>(VLOOKUP(B14,'CC -11'!$B$8:$AS$13,37,0)+VLOOKUP(B14,'CC -11'!$B$8:$AS$13,38,0))</f>
        <v>0</v>
      </c>
      <c r="I14" s="146">
        <f t="shared" ref="I14" si="12">ROUND(E14/$U$2*H14,0)</f>
        <v>0</v>
      </c>
      <c r="J14" s="167">
        <f t="shared" ref="J14:K14" si="13">F14+H14</f>
        <v>25</v>
      </c>
      <c r="K14" s="148">
        <f t="shared" si="13"/>
        <v>2500000</v>
      </c>
      <c r="L14" s="144">
        <f>VLOOKUP(B14,DS,6,0)</f>
        <v>260000</v>
      </c>
      <c r="M14" s="149">
        <f t="shared" ref="M14" si="14">K14+L14</f>
        <v>2760000</v>
      </c>
      <c r="N14" s="149">
        <f>IF(VLOOKUP(B14,DS,9,0)="x",'L - 11'!E14*$N$4,0)</f>
        <v>0</v>
      </c>
      <c r="O14" s="149">
        <f t="shared" ref="O14" si="15">IF(VLOOKUP(B14,DS,9,0)="x",E14*0.015,0)</f>
        <v>0</v>
      </c>
      <c r="P14" s="149">
        <f t="shared" ref="P14" si="16">IF(VLOOKUP(B14,DS,9,0)="x",E14*0.01,0)</f>
        <v>0</v>
      </c>
      <c r="Q14" s="148">
        <f t="shared" ref="Q14" si="17">M14-SUM(N14:P14)</f>
        <v>2760000</v>
      </c>
      <c r="R14" s="148">
        <f t="shared" ref="R14" si="18">VLOOKUP(B14,DS,23,0)</f>
        <v>0</v>
      </c>
      <c r="S14" s="150">
        <f t="shared" ref="S14" si="19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1" t="s">
        <v>35</v>
      </c>
      <c r="B16" s="241"/>
      <c r="C16" s="241"/>
      <c r="D16" s="241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0">SUM(K13:K15)</f>
        <v>2500000</v>
      </c>
      <c r="L16" s="163">
        <f t="shared" si="20"/>
        <v>260000</v>
      </c>
      <c r="M16" s="163">
        <f t="shared" si="20"/>
        <v>2760000</v>
      </c>
      <c r="N16" s="163">
        <f t="shared" si="20"/>
        <v>0</v>
      </c>
      <c r="O16" s="163">
        <f t="shared" si="20"/>
        <v>0</v>
      </c>
      <c r="P16" s="163">
        <f t="shared" si="20"/>
        <v>0</v>
      </c>
      <c r="Q16" s="163">
        <f t="shared" si="20"/>
        <v>2760000</v>
      </c>
      <c r="R16" s="163">
        <f t="shared" si="20"/>
        <v>0</v>
      </c>
      <c r="S16" s="163">
        <f t="shared" si="20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11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E11:IJ11 V11 Q11:S11 A11:B12 A10:B10 Q10:S10 V5:V10 AE5:IJ10" name="Range1"/>
    <protectedRange password="CC78" sqref="F7:H7" name="Range1_4"/>
    <protectedRange password="CC78" sqref="V19:IJ20 S19:T20 N19:Q20 E19:I20" name="Range1_1_1"/>
    <protectedRange password="CC78" sqref="U1 V1:IJ4 B4:T4 R2:S3 B1:Q3 U15:U27 W13:AD13 W11:AD11 U11:U13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0" t="s">
        <v>119</v>
      </c>
      <c r="AN1" s="231"/>
      <c r="AO1" s="231"/>
      <c r="AP1" s="231"/>
      <c r="AQ1" s="231"/>
      <c r="AR1" s="231"/>
      <c r="AS1" s="232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41974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3" t="s">
        <v>120</v>
      </c>
      <c r="B5" s="233" t="s">
        <v>4</v>
      </c>
      <c r="C5" s="233" t="s">
        <v>5</v>
      </c>
      <c r="D5" s="235" t="s">
        <v>121</v>
      </c>
      <c r="E5" s="233" t="s">
        <v>122</v>
      </c>
      <c r="F5" s="73">
        <f>+E4</f>
        <v>41974</v>
      </c>
      <c r="G5" s="73">
        <f t="shared" ref="G5:AJ5" si="0">F5+1</f>
        <v>41975</v>
      </c>
      <c r="H5" s="73">
        <f t="shared" si="0"/>
        <v>41976</v>
      </c>
      <c r="I5" s="73">
        <f t="shared" si="0"/>
        <v>41977</v>
      </c>
      <c r="J5" s="73">
        <f t="shared" si="0"/>
        <v>41978</v>
      </c>
      <c r="K5" s="73">
        <f t="shared" si="0"/>
        <v>41979</v>
      </c>
      <c r="L5" s="73">
        <f t="shared" si="0"/>
        <v>41980</v>
      </c>
      <c r="M5" s="73">
        <f t="shared" si="0"/>
        <v>41981</v>
      </c>
      <c r="N5" s="73">
        <f t="shared" si="0"/>
        <v>41982</v>
      </c>
      <c r="O5" s="73">
        <f t="shared" si="0"/>
        <v>41983</v>
      </c>
      <c r="P5" s="73">
        <f t="shared" si="0"/>
        <v>41984</v>
      </c>
      <c r="Q5" s="73">
        <f t="shared" si="0"/>
        <v>41985</v>
      </c>
      <c r="R5" s="73">
        <f t="shared" si="0"/>
        <v>41986</v>
      </c>
      <c r="S5" s="73">
        <f t="shared" si="0"/>
        <v>41987</v>
      </c>
      <c r="T5" s="73">
        <f t="shared" si="0"/>
        <v>41988</v>
      </c>
      <c r="U5" s="73">
        <f t="shared" si="0"/>
        <v>41989</v>
      </c>
      <c r="V5" s="73">
        <f t="shared" si="0"/>
        <v>41990</v>
      </c>
      <c r="W5" s="73">
        <f t="shared" si="0"/>
        <v>41991</v>
      </c>
      <c r="X5" s="73">
        <f t="shared" si="0"/>
        <v>41992</v>
      </c>
      <c r="Y5" s="73">
        <f t="shared" si="0"/>
        <v>41993</v>
      </c>
      <c r="Z5" s="73">
        <f t="shared" si="0"/>
        <v>41994</v>
      </c>
      <c r="AA5" s="73">
        <f t="shared" si="0"/>
        <v>41995</v>
      </c>
      <c r="AB5" s="73">
        <f t="shared" si="0"/>
        <v>41996</v>
      </c>
      <c r="AC5" s="73">
        <f t="shared" si="0"/>
        <v>41997</v>
      </c>
      <c r="AD5" s="73">
        <f t="shared" si="0"/>
        <v>41998</v>
      </c>
      <c r="AE5" s="73">
        <f t="shared" si="0"/>
        <v>41999</v>
      </c>
      <c r="AF5" s="73">
        <f t="shared" si="0"/>
        <v>42000</v>
      </c>
      <c r="AG5" s="73">
        <f t="shared" si="0"/>
        <v>42001</v>
      </c>
      <c r="AH5" s="73">
        <f>AG5+1</f>
        <v>42002</v>
      </c>
      <c r="AI5" s="73">
        <f t="shared" si="0"/>
        <v>42003</v>
      </c>
      <c r="AJ5" s="73">
        <f t="shared" si="0"/>
        <v>42004</v>
      </c>
      <c r="AK5" s="236" t="s">
        <v>123</v>
      </c>
      <c r="AL5" s="237"/>
      <c r="AM5" s="238"/>
      <c r="AN5" s="239" t="s">
        <v>124</v>
      </c>
      <c r="AO5" s="239" t="s">
        <v>125</v>
      </c>
      <c r="AP5" s="239" t="s">
        <v>126</v>
      </c>
      <c r="AQ5" s="239" t="s">
        <v>127</v>
      </c>
      <c r="AR5" s="239" t="s">
        <v>128</v>
      </c>
      <c r="AS5" s="235" t="s">
        <v>129</v>
      </c>
      <c r="AT5" s="2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4"/>
      <c r="B6" s="234"/>
      <c r="C6" s="234"/>
      <c r="D6" s="234"/>
      <c r="E6" s="234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40"/>
      <c r="AO6" s="240"/>
      <c r="AP6" s="240"/>
      <c r="AQ6" s="240"/>
      <c r="AR6" s="240"/>
      <c r="AS6" s="234"/>
      <c r="AT6" s="2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17">
        <v>1</v>
      </c>
      <c r="B9" s="217" t="s">
        <v>28</v>
      </c>
      <c r="C9" s="219" t="str">
        <f>VLOOKUP(B9,DS,2,0)</f>
        <v>Hồ Thị An</v>
      </c>
      <c r="D9" s="221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23">
        <f>((SUM(F9:AJ9))/8)-(SUMIF($F$6:$AJ$6,"C.Nhật",F9:AJ9)/8)</f>
        <v>27</v>
      </c>
      <c r="AL9" s="223">
        <f>SUM(F10:AJ10)/8*1.5</f>
        <v>0</v>
      </c>
      <c r="AM9" s="227">
        <f>SUMIF($F$6:$AJ$6,"C.Nhật",$F9:$AJ10)/8*2</f>
        <v>0</v>
      </c>
      <c r="AN9" s="215">
        <f>SUM(AK9:AM10)</f>
        <v>27</v>
      </c>
      <c r="AO9" s="213">
        <v>0</v>
      </c>
      <c r="AP9" s="215"/>
      <c r="AQ9" s="215"/>
      <c r="AR9" s="215"/>
      <c r="AS9" s="225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18"/>
      <c r="B10" s="218"/>
      <c r="C10" s="220"/>
      <c r="D10" s="222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4"/>
      <c r="AL10" s="224"/>
      <c r="AM10" s="228"/>
      <c r="AN10" s="216"/>
      <c r="AO10" s="214"/>
      <c r="AP10" s="216"/>
      <c r="AQ10" s="216"/>
      <c r="AR10" s="216"/>
      <c r="AS10" s="226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17">
        <v>1</v>
      </c>
      <c r="B12" s="217" t="s">
        <v>33</v>
      </c>
      <c r="C12" s="219" t="str">
        <f>VLOOKUP(B12,DS,2,0)</f>
        <v>Huỳnh Đoàn Viết Thanh</v>
      </c>
      <c r="D12" s="221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>
        <v>8</v>
      </c>
      <c r="AK12" s="223">
        <f t="shared" ref="AK12" si="2">((SUM(F12:AJ12))/8)-(SUMIF($F$6:$AJ$6,"C.Nhật",F12:AJ12)/8)</f>
        <v>27</v>
      </c>
      <c r="AL12" s="223">
        <f t="shared" ref="AL12" si="3">SUM(F13:AJ13)/8*1.5</f>
        <v>0</v>
      </c>
      <c r="AM12" s="227">
        <f>SUMIF($F$6:$AJ$6,"C.Nhật",$F12:$AJ13)/8*2</f>
        <v>0</v>
      </c>
      <c r="AN12" s="215">
        <f t="shared" ref="AN12" si="4">SUM(AK12:AM13)</f>
        <v>27</v>
      </c>
      <c r="AO12" s="213">
        <v>0</v>
      </c>
      <c r="AP12" s="215"/>
      <c r="AQ12" s="215"/>
      <c r="AR12" s="215"/>
      <c r="AS12" s="225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18"/>
      <c r="B13" s="218"/>
      <c r="C13" s="220"/>
      <c r="D13" s="222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4"/>
      <c r="AL13" s="224"/>
      <c r="AM13" s="228"/>
      <c r="AN13" s="216"/>
      <c r="AO13" s="214"/>
      <c r="AP13" s="216"/>
      <c r="AQ13" s="216"/>
      <c r="AR13" s="216"/>
      <c r="AS13" s="226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1" priority="10" stopIfTrue="1">
      <formula>IF(WEEKDAY(F$5)=1,TRUE,FALSE)</formula>
    </cfRule>
  </conditionalFormatting>
  <conditionalFormatting sqref="F9:AJ10">
    <cfRule type="expression" dxfId="0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12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8" t="str">
        <f>"BẢNG THANH TOÁN LƯƠNG THÁNG"&amp;" "&amp;TEXT($E$4,"mm")&amp;" / "&amp;TEXT($E$4,"yyyy")</f>
        <v>BẢNG THANH TOÁN LƯƠNG THÁNG 12 / 2014</v>
      </c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9"/>
      <c r="R1" s="250" t="s">
        <v>119</v>
      </c>
      <c r="S1" s="251"/>
      <c r="T1" s="252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41974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3" t="s">
        <v>3</v>
      </c>
      <c r="B5" s="253" t="s">
        <v>148</v>
      </c>
      <c r="C5" s="199" t="s">
        <v>5</v>
      </c>
      <c r="D5" s="199" t="s">
        <v>6</v>
      </c>
      <c r="E5" s="204" t="s">
        <v>7</v>
      </c>
      <c r="F5" s="255" t="s">
        <v>149</v>
      </c>
      <c r="G5" s="256"/>
      <c r="H5" s="256"/>
      <c r="I5" s="256"/>
      <c r="J5" s="256"/>
      <c r="K5" s="257"/>
      <c r="L5" s="244" t="s">
        <v>14</v>
      </c>
      <c r="M5" s="244" t="s">
        <v>150</v>
      </c>
      <c r="N5" s="199" t="s">
        <v>151</v>
      </c>
      <c r="O5" s="199"/>
      <c r="P5" s="199"/>
      <c r="Q5" s="244" t="s">
        <v>152</v>
      </c>
      <c r="R5" s="244" t="s">
        <v>153</v>
      </c>
      <c r="S5" s="244" t="s">
        <v>154</v>
      </c>
      <c r="T5" s="205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4"/>
      <c r="B6" s="254"/>
      <c r="C6" s="199"/>
      <c r="D6" s="199"/>
      <c r="E6" s="204"/>
      <c r="F6" s="255" t="s">
        <v>156</v>
      </c>
      <c r="G6" s="257"/>
      <c r="H6" s="255" t="s">
        <v>157</v>
      </c>
      <c r="I6" s="256"/>
      <c r="J6" s="242" t="s">
        <v>158</v>
      </c>
      <c r="K6" s="244" t="s">
        <v>159</v>
      </c>
      <c r="L6" s="245"/>
      <c r="M6" s="245"/>
      <c r="N6" s="246" t="s">
        <v>160</v>
      </c>
      <c r="O6" s="244" t="s">
        <v>161</v>
      </c>
      <c r="P6" s="244" t="s">
        <v>162</v>
      </c>
      <c r="Q6" s="245"/>
      <c r="R6" s="245"/>
      <c r="S6" s="245"/>
      <c r="T6" s="206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4"/>
      <c r="B7" s="254"/>
      <c r="C7" s="244"/>
      <c r="D7" s="244"/>
      <c r="E7" s="204"/>
      <c r="F7" s="130" t="s">
        <v>163</v>
      </c>
      <c r="G7" s="131" t="s">
        <v>164</v>
      </c>
      <c r="H7" s="130" t="s">
        <v>163</v>
      </c>
      <c r="I7" s="132" t="s">
        <v>164</v>
      </c>
      <c r="J7" s="243"/>
      <c r="K7" s="245"/>
      <c r="L7" s="258"/>
      <c r="M7" s="258"/>
      <c r="N7" s="247"/>
      <c r="O7" s="245"/>
      <c r="P7" s="245"/>
      <c r="Q7" s="245"/>
      <c r="R7" s="245"/>
      <c r="S7" s="245"/>
      <c r="T7" s="206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-12'!$B$8:$AS$13,36,0)</f>
        <v>27</v>
      </c>
      <c r="G10" s="146">
        <f t="shared" ref="G10" si="2">ROUND(E10/$U$2*F10,0)</f>
        <v>1240000</v>
      </c>
      <c r="H10" s="145">
        <f>(VLOOKUP(B10,'CC -12'!$B$8:$AS$13,37,0)+VLOOKUP(B10,'CC -12'!$B$8:$AS$13,38,0))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1" t="s">
        <v>35</v>
      </c>
      <c r="B12" s="241"/>
      <c r="C12" s="241"/>
      <c r="D12" s="241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-12'!$B$8:$AS$13,36,0)</f>
        <v>27</v>
      </c>
      <c r="G14" s="146">
        <f t="shared" ref="G14" si="12">ROUND(E14/$U$2*F14,0)</f>
        <v>2500000</v>
      </c>
      <c r="H14" s="145">
        <f>(VLOOKUP(B14,'CC -12'!$B$8:$AS$13,37,0)+VLOOKUP(B14,'CC -12'!$B$8:$AS$13,38,0))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- 12'!E14*$N$4,0)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41" t="s">
        <v>35</v>
      </c>
      <c r="B16" s="241"/>
      <c r="C16" s="241"/>
      <c r="D16" s="241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12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11:B12 Q11:S11 V11 AE11:IJ11 AE5:IJ10 V5:V10 Q10:S10 A10:B10" name="Range1"/>
    <protectedRange password="CC78" sqref="F7:H7" name="Range1_4"/>
    <protectedRange password="CC78" sqref="V19:IJ20 S19:T20 N19:Q20 E19:I20" name="Range1_1_1"/>
    <protectedRange password="CC78" sqref="U1 V1:IJ4 B4:T4 R2:S3 B1:Q3 U15:U27 W13:AD13 U11:U13 W11:AD11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2016-08-25T03:50:35Z</dcterms:modified>
</cp:coreProperties>
</file>