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120" yWindow="330" windowWidth="15150" windowHeight="8460" tabRatio="897" activeTab="1"/>
  </bookViews>
  <sheets>
    <sheet name="TH" sheetId="15" r:id="rId1"/>
    <sheet name="CC -5" sheetId="14" r:id="rId2"/>
    <sheet name="UL" sheetId="47" r:id="rId3"/>
    <sheet name="L - 5" sheetId="16" r:id="rId4"/>
  </sheets>
  <definedNames>
    <definedName name="____a1" hidden="1">{"'Sheet1'!$L$16"}</definedName>
    <definedName name="_a1" localSheetId="1" hidden="1">{"'Sheet1'!$L$16"}</definedName>
    <definedName name="_a1" localSheetId="3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" hidden="1">'CC -5'!$A$7:$AR$7</definedName>
    <definedName name="_xlnm._FilterDatabase" localSheetId="3" hidden="1">'L - 5'!$A$7:$AF$10</definedName>
    <definedName name="_xlnm._FilterDatabase" localSheetId="0" hidden="1">TH!$A$10:$M$28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" hidden="1">{#N/A,#N/A,FALSE,"Chi tiÆt"}</definedName>
    <definedName name="dh" localSheetId="3" hidden="1">{#N/A,#N/A,FALSE,"Chi tiÆt"}</definedName>
    <definedName name="dh" localSheetId="0" hidden="1">{#N/A,#N/A,FALSE,"Chi tiÆt"}</definedName>
    <definedName name="dh" hidden="1">{#N/A,#N/A,FALSE,"Chi tiÆt"}</definedName>
    <definedName name="DS">TH!$B$11:$K$43</definedName>
    <definedName name="DS_">UL!$C$3:$I$33</definedName>
    <definedName name="GFSAH" localSheetId="1" hidden="1">{"'Sheet1'!$L$16"}</definedName>
    <definedName name="GFSAH" localSheetId="3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3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3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3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3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3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3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3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3" hidden="1">{"'Sheet1'!$L$16"}</definedName>
    <definedName name="KTLDLAN3" localSheetId="0" hidden="1">{"'Sheet1'!$L$16"}</definedName>
    <definedName name="KTLDLAN3" hidden="1">{"'Sheet1'!$L$16"}</definedName>
    <definedName name="_xlnm.Print_Area" localSheetId="1">'CC -5'!$A$1:$AR$73</definedName>
    <definedName name="ưer" localSheetId="1" hidden="1">{"'Sheet1'!$L$16"}</definedName>
    <definedName name="ưer" localSheetId="3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3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3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5621"/>
</workbook>
</file>

<file path=xl/calcChain.xml><?xml version="1.0" encoding="utf-8"?>
<calcChain xmlns="http://schemas.openxmlformats.org/spreadsheetml/2006/main">
  <c r="F41" i="16" l="1"/>
  <c r="F42" i="16"/>
  <c r="F43" i="16"/>
  <c r="F44" i="16"/>
  <c r="F40" i="16"/>
  <c r="F29" i="16"/>
  <c r="F30" i="16"/>
  <c r="F31" i="16"/>
  <c r="F32" i="16"/>
  <c r="F33" i="16"/>
  <c r="F34" i="16"/>
  <c r="F35" i="16"/>
  <c r="F36" i="16"/>
  <c r="F28" i="16"/>
  <c r="F24" i="16"/>
  <c r="F23" i="16"/>
  <c r="F16" i="16"/>
  <c r="F17" i="16"/>
  <c r="F18" i="16"/>
  <c r="F19" i="16"/>
  <c r="F15" i="16"/>
  <c r="F11" i="16"/>
  <c r="AQ51" i="14" a="1"/>
  <c r="AQ51" i="14" s="1"/>
  <c r="AQ53" i="14" a="1"/>
  <c r="AQ53" i="14" s="1"/>
  <c r="AQ55" i="14" a="1"/>
  <c r="AQ55" i="14" s="1"/>
  <c r="AQ57" i="14" a="1"/>
  <c r="AQ57" i="14" s="1"/>
  <c r="AQ49" i="14" a="1"/>
  <c r="AQ49" i="14" s="1"/>
  <c r="AQ34" i="14" a="1"/>
  <c r="AQ34" i="14"/>
  <c r="AQ36" i="14" a="1"/>
  <c r="AQ36" i="14" s="1"/>
  <c r="AQ38" i="14" a="1"/>
  <c r="AQ38" i="14" s="1"/>
  <c r="AQ40" i="14" a="1"/>
  <c r="AQ40" i="14" s="1"/>
  <c r="AQ42" i="14" a="1"/>
  <c r="AQ42" i="14" s="1"/>
  <c r="AQ44" i="14" a="1"/>
  <c r="AQ44" i="14" s="1"/>
  <c r="AQ46" i="14" a="1"/>
  <c r="AQ46" i="14" s="1"/>
  <c r="AQ32" i="14" a="1"/>
  <c r="AQ32" i="14" s="1"/>
  <c r="AQ30" i="14"/>
  <c r="AQ30" i="14" a="1"/>
  <c r="AQ27" i="14" a="1"/>
  <c r="AQ27" i="14" s="1"/>
  <c r="AQ25" i="14" a="1"/>
  <c r="AQ25" i="14" s="1"/>
  <c r="AQ16" i="14" a="1"/>
  <c r="AQ16" i="14"/>
  <c r="AQ18" i="14" a="1"/>
  <c r="AQ18" i="14" s="1"/>
  <c r="AQ20" i="14" a="1"/>
  <c r="AQ20" i="14" s="1"/>
  <c r="AQ22" i="14" a="1"/>
  <c r="AQ22" i="14" s="1"/>
  <c r="AQ14" i="14" a="1"/>
  <c r="AQ14" i="14" s="1"/>
  <c r="AQ11" i="14" a="1"/>
  <c r="AQ11" i="14" s="1"/>
  <c r="AK9" i="14"/>
  <c r="F10" i="16" s="1"/>
  <c r="AP9" i="14" a="1"/>
  <c r="AP9" i="14" s="1"/>
  <c r="AQ9" i="14" a="1"/>
  <c r="AQ9" i="14" s="1"/>
  <c r="S1" i="14" l="1"/>
  <c r="T41" i="16"/>
  <c r="T42" i="16"/>
  <c r="T43" i="16"/>
  <c r="T44" i="16"/>
  <c r="T40" i="16"/>
  <c r="T29" i="16"/>
  <c r="T30" i="16"/>
  <c r="T31" i="16"/>
  <c r="T32" i="16"/>
  <c r="T33" i="16"/>
  <c r="T34" i="16"/>
  <c r="T35" i="16"/>
  <c r="T36" i="16"/>
  <c r="T28" i="16"/>
  <c r="T24" i="16"/>
  <c r="T23" i="16"/>
  <c r="T17" i="16"/>
  <c r="T18" i="16"/>
  <c r="T19" i="16"/>
  <c r="T16" i="16"/>
  <c r="T15" i="16"/>
  <c r="T11" i="16"/>
  <c r="T10" i="16"/>
  <c r="O36" i="16"/>
  <c r="O41" i="16"/>
  <c r="O42" i="16"/>
  <c r="O43" i="16"/>
  <c r="O44" i="16"/>
  <c r="O40" i="16"/>
  <c r="O29" i="16"/>
  <c r="O30" i="16"/>
  <c r="O31" i="16"/>
  <c r="O32" i="16"/>
  <c r="O33" i="16"/>
  <c r="O34" i="16"/>
  <c r="O35" i="16"/>
  <c r="O28" i="16"/>
  <c r="O24" i="16"/>
  <c r="O23" i="16"/>
  <c r="O16" i="16"/>
  <c r="O17" i="16"/>
  <c r="O18" i="16"/>
  <c r="O19" i="16"/>
  <c r="O15" i="16"/>
  <c r="O11" i="16"/>
  <c r="O10" i="16"/>
  <c r="AP51" i="14" a="1"/>
  <c r="AP51" i="14" s="1"/>
  <c r="AP53" i="14" a="1"/>
  <c r="AP53" i="14" s="1"/>
  <c r="AP55" i="14" a="1"/>
  <c r="AP55" i="14" s="1"/>
  <c r="AP57" i="14" a="1"/>
  <c r="AP57" i="14" s="1"/>
  <c r="AP49" i="14" a="1"/>
  <c r="AP49" i="14" s="1"/>
  <c r="AP32" i="14" a="1"/>
  <c r="AP32" i="14" s="1"/>
  <c r="AP34" i="14" a="1"/>
  <c r="AP34" i="14" s="1"/>
  <c r="AP36" i="14" a="1"/>
  <c r="AP36" i="14" s="1"/>
  <c r="AP38" i="14" a="1"/>
  <c r="AP38" i="14" s="1"/>
  <c r="AP40" i="14" a="1"/>
  <c r="AP40" i="14" s="1"/>
  <c r="AP42" i="14" a="1"/>
  <c r="AP42" i="14" s="1"/>
  <c r="AP44" i="14" a="1"/>
  <c r="AP44" i="14" s="1"/>
  <c r="AP46" i="14" a="1"/>
  <c r="AP46" i="14" s="1"/>
  <c r="AP30" i="14" a="1"/>
  <c r="AP30" i="14" s="1"/>
  <c r="AP27" i="14" a="1"/>
  <c r="AP27" i="14" s="1"/>
  <c r="AP25" i="14" a="1"/>
  <c r="AP25" i="14" s="1"/>
  <c r="AP16" i="14" a="1"/>
  <c r="AP16" i="14"/>
  <c r="AP18" i="14" a="1"/>
  <c r="AP18" i="14" s="1"/>
  <c r="AP20" i="14" a="1"/>
  <c r="AP20" i="14" s="1"/>
  <c r="AP22" i="14" a="1"/>
  <c r="AP22" i="14" s="1"/>
  <c r="AP14" i="14" a="1"/>
  <c r="AP14" i="14" s="1"/>
  <c r="AP11" i="14" a="1"/>
  <c r="AP11" i="14" s="1"/>
  <c r="AN9" i="14" a="1"/>
  <c r="AN9" i="14" s="1"/>
  <c r="H10" i="16" s="1"/>
  <c r="M10" i="16"/>
  <c r="M41" i="16"/>
  <c r="M42" i="16"/>
  <c r="M43" i="16"/>
  <c r="M44" i="16"/>
  <c r="M40" i="16"/>
  <c r="M29" i="16"/>
  <c r="M30" i="16"/>
  <c r="M31" i="16"/>
  <c r="M32" i="16"/>
  <c r="M33" i="16"/>
  <c r="M34" i="16"/>
  <c r="M35" i="16"/>
  <c r="M36" i="16"/>
  <c r="M28" i="16"/>
  <c r="M24" i="16"/>
  <c r="M23" i="16"/>
  <c r="M16" i="16"/>
  <c r="M17" i="16"/>
  <c r="M18" i="16"/>
  <c r="M19" i="16"/>
  <c r="M15" i="16"/>
  <c r="M11" i="16"/>
  <c r="AN51" i="14" a="1"/>
  <c r="AN51" i="14" s="1"/>
  <c r="H41" i="16" s="1"/>
  <c r="AN53" i="14" a="1"/>
  <c r="AN53" i="14" s="1"/>
  <c r="H42" i="16" s="1"/>
  <c r="AN55" i="14" a="1"/>
  <c r="AN55" i="14" s="1"/>
  <c r="H43" i="16" s="1"/>
  <c r="AN57" i="14" a="1"/>
  <c r="AN57" i="14" s="1"/>
  <c r="H44" i="16" s="1"/>
  <c r="AN49" i="14" a="1"/>
  <c r="AN49" i="14" s="1"/>
  <c r="H40" i="16" s="1"/>
  <c r="AN32" i="14" a="1"/>
  <c r="AN32" i="14" s="1"/>
  <c r="H29" i="16" s="1"/>
  <c r="AN34" i="14" a="1"/>
  <c r="AN34" i="14" s="1"/>
  <c r="H30" i="16" s="1"/>
  <c r="AN36" i="14" a="1"/>
  <c r="AN36" i="14" s="1"/>
  <c r="H31" i="16" s="1"/>
  <c r="AN38" i="14" a="1"/>
  <c r="AN38" i="14" s="1"/>
  <c r="H32" i="16" s="1"/>
  <c r="AN40" i="14" a="1"/>
  <c r="AN40" i="14" s="1"/>
  <c r="H33" i="16" s="1"/>
  <c r="AN42" i="14" a="1"/>
  <c r="AN42" i="14" s="1"/>
  <c r="H34" i="16" s="1"/>
  <c r="AN44" i="14" a="1"/>
  <c r="AN44" i="14" s="1"/>
  <c r="H35" i="16" s="1"/>
  <c r="AN46" i="14" a="1"/>
  <c r="AN46" i="14" s="1"/>
  <c r="H36" i="16" s="1"/>
  <c r="AN30" i="14" a="1"/>
  <c r="AN30" i="14" s="1"/>
  <c r="H28" i="16" s="1"/>
  <c r="AN27" i="14" a="1"/>
  <c r="AN27" i="14" s="1"/>
  <c r="H24" i="16" s="1"/>
  <c r="AN25" i="14" a="1"/>
  <c r="AN25" i="14" s="1"/>
  <c r="H23" i="16" s="1"/>
  <c r="AN16" i="14" a="1"/>
  <c r="AN16" i="14" s="1"/>
  <c r="H16" i="16" s="1"/>
  <c r="AN18" i="14" a="1"/>
  <c r="AN18" i="14" s="1"/>
  <c r="H17" i="16" s="1"/>
  <c r="AN20" i="14" a="1"/>
  <c r="AN20" i="14" s="1"/>
  <c r="H18" i="16" s="1"/>
  <c r="AN22" i="14" a="1"/>
  <c r="AN22" i="14" s="1"/>
  <c r="H19" i="16" s="1"/>
  <c r="AN14" i="14" a="1"/>
  <c r="AN14" i="14" s="1"/>
  <c r="H15" i="16" s="1"/>
  <c r="AN11" i="14" a="1"/>
  <c r="AN11" i="14" s="1"/>
  <c r="H11" i="16" s="1"/>
  <c r="C25" i="47" l="1"/>
  <c r="E25" i="47"/>
  <c r="C26" i="47"/>
  <c r="E26" i="47"/>
  <c r="C27" i="47"/>
  <c r="E27" i="47"/>
  <c r="C28" i="47"/>
  <c r="E28" i="47"/>
  <c r="C29" i="47"/>
  <c r="E29" i="47"/>
  <c r="C30" i="47"/>
  <c r="E30" i="47"/>
  <c r="C31" i="47"/>
  <c r="E31" i="47"/>
  <c r="C32" i="47"/>
  <c r="E32" i="47"/>
  <c r="E24" i="47"/>
  <c r="C24" i="47"/>
  <c r="C14" i="47"/>
  <c r="E14" i="47"/>
  <c r="C15" i="47"/>
  <c r="E15" i="47"/>
  <c r="C16" i="47"/>
  <c r="E16" i="47"/>
  <c r="C17" i="47"/>
  <c r="E17" i="47"/>
  <c r="C18" i="47"/>
  <c r="E18" i="47"/>
  <c r="C19" i="47"/>
  <c r="E19" i="47"/>
  <c r="C20" i="47"/>
  <c r="E20" i="47"/>
  <c r="C21" i="47"/>
  <c r="E21" i="47"/>
  <c r="E13" i="47"/>
  <c r="C13" i="47"/>
  <c r="C11" i="47"/>
  <c r="E11" i="47"/>
  <c r="E10" i="47"/>
  <c r="C10" i="47"/>
  <c r="C5" i="47"/>
  <c r="E5" i="47"/>
  <c r="C6" i="47"/>
  <c r="E6" i="47"/>
  <c r="C7" i="47"/>
  <c r="E7" i="47"/>
  <c r="C8" i="47"/>
  <c r="E8" i="47"/>
  <c r="E4" i="47"/>
  <c r="C4" i="47"/>
  <c r="C10" i="16"/>
  <c r="E4" i="16"/>
  <c r="U48" i="16" s="1"/>
  <c r="AL53" i="14"/>
  <c r="D53" i="14"/>
  <c r="C53" i="14"/>
  <c r="AL55" i="14"/>
  <c r="D55" i="14"/>
  <c r="C55" i="14"/>
  <c r="C51" i="14"/>
  <c r="A51" i="14" s="1"/>
  <c r="C57" i="14"/>
  <c r="C49" i="14"/>
  <c r="C44" i="14"/>
  <c r="C46" i="14"/>
  <c r="C32" i="14"/>
  <c r="A32" i="14" s="1"/>
  <c r="C34" i="14"/>
  <c r="C36" i="14"/>
  <c r="C38" i="14"/>
  <c r="C40" i="14"/>
  <c r="C42" i="14"/>
  <c r="C30" i="14"/>
  <c r="C27" i="14"/>
  <c r="A27" i="14" s="1"/>
  <c r="C25" i="14"/>
  <c r="C16" i="14"/>
  <c r="A16" i="14" s="1"/>
  <c r="C18" i="14"/>
  <c r="C20" i="14"/>
  <c r="C22" i="14"/>
  <c r="C14" i="14"/>
  <c r="C11" i="14"/>
  <c r="A11" i="14" s="1"/>
  <c r="C9" i="14"/>
  <c r="AL34" i="14"/>
  <c r="D34" i="14"/>
  <c r="AL38" i="14"/>
  <c r="D38" i="14"/>
  <c r="AL36" i="14"/>
  <c r="D36" i="14"/>
  <c r="AL42" i="14"/>
  <c r="D42" i="14"/>
  <c r="AL40" i="14"/>
  <c r="D40" i="14"/>
  <c r="AL44" i="14"/>
  <c r="D44" i="14"/>
  <c r="AL18" i="14"/>
  <c r="D18" i="14"/>
  <c r="AL20" i="14"/>
  <c r="D20" i="14"/>
  <c r="AL57" i="14"/>
  <c r="D57" i="14"/>
  <c r="AL51" i="14"/>
  <c r="D51" i="14"/>
  <c r="AL49" i="14"/>
  <c r="D49" i="14"/>
  <c r="AL46" i="14"/>
  <c r="D46" i="14"/>
  <c r="AL32" i="14"/>
  <c r="D32" i="14"/>
  <c r="AL30" i="14"/>
  <c r="D30" i="14"/>
  <c r="AL27" i="14"/>
  <c r="D27" i="14"/>
  <c r="AL25" i="14"/>
  <c r="D25" i="14"/>
  <c r="AL22" i="14"/>
  <c r="D22" i="14"/>
  <c r="AL16" i="14"/>
  <c r="D16" i="14"/>
  <c r="AL14" i="14"/>
  <c r="D14" i="14"/>
  <c r="E41" i="16"/>
  <c r="E42" i="16"/>
  <c r="E43" i="16"/>
  <c r="E44" i="16"/>
  <c r="E40" i="16"/>
  <c r="E29" i="16"/>
  <c r="E30" i="16"/>
  <c r="E31" i="16"/>
  <c r="E32" i="16"/>
  <c r="E33" i="16"/>
  <c r="E34" i="16"/>
  <c r="E35" i="16"/>
  <c r="E36" i="16"/>
  <c r="E28" i="16"/>
  <c r="E24" i="16"/>
  <c r="E23" i="16"/>
  <c r="E16" i="16"/>
  <c r="E17" i="16"/>
  <c r="E18" i="16"/>
  <c r="E19" i="16"/>
  <c r="E15" i="16"/>
  <c r="E11" i="16"/>
  <c r="E10" i="16"/>
  <c r="D41" i="16"/>
  <c r="D42" i="16"/>
  <c r="D43" i="16"/>
  <c r="D44" i="16"/>
  <c r="D40" i="16"/>
  <c r="D29" i="16"/>
  <c r="D30" i="16"/>
  <c r="D31" i="16"/>
  <c r="D32" i="16"/>
  <c r="D33" i="16"/>
  <c r="D34" i="16"/>
  <c r="D35" i="16"/>
  <c r="D36" i="16"/>
  <c r="D28" i="16"/>
  <c r="D24" i="16"/>
  <c r="D23" i="16"/>
  <c r="D16" i="16"/>
  <c r="D17" i="16"/>
  <c r="D18" i="16"/>
  <c r="D19" i="16"/>
  <c r="D15" i="16"/>
  <c r="D11" i="16"/>
  <c r="D10" i="16"/>
  <c r="C43" i="16"/>
  <c r="C44" i="16"/>
  <c r="C41" i="16"/>
  <c r="C42" i="16"/>
  <c r="C40" i="16"/>
  <c r="C29" i="16"/>
  <c r="C30" i="16"/>
  <c r="C31" i="16"/>
  <c r="C32" i="16"/>
  <c r="C33" i="16"/>
  <c r="C34" i="16"/>
  <c r="C35" i="16"/>
  <c r="C36" i="16"/>
  <c r="C28" i="16"/>
  <c r="C24" i="16"/>
  <c r="C23" i="16"/>
  <c r="C16" i="16"/>
  <c r="C17" i="16"/>
  <c r="C18" i="16"/>
  <c r="C19" i="16"/>
  <c r="C15" i="16"/>
  <c r="C11" i="16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F5" i="14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AG5" i="14" s="1"/>
  <c r="AH5" i="14" s="1"/>
  <c r="AI5" i="14" s="1"/>
  <c r="AJ5" i="14" s="1"/>
  <c r="K1" i="47"/>
  <c r="A1" i="47" s="1"/>
  <c r="H33" i="47"/>
  <c r="H32" i="47"/>
  <c r="H31" i="47"/>
  <c r="H30" i="47"/>
  <c r="H29" i="47"/>
  <c r="H28" i="47"/>
  <c r="H27" i="47"/>
  <c r="A27" i="47"/>
  <c r="A28" i="47" s="1"/>
  <c r="A29" i="47" s="1"/>
  <c r="A30" i="47" s="1"/>
  <c r="A31" i="47" s="1"/>
  <c r="A32" i="47" s="1"/>
  <c r="H26" i="47"/>
  <c r="A26" i="47"/>
  <c r="H25" i="47"/>
  <c r="H24" i="47"/>
  <c r="G23" i="47"/>
  <c r="D23" i="47"/>
  <c r="H22" i="47"/>
  <c r="H21" i="47"/>
  <c r="H20" i="47"/>
  <c r="H19" i="47"/>
  <c r="H18" i="47"/>
  <c r="H17" i="47"/>
  <c r="H16" i="47"/>
  <c r="H15" i="47"/>
  <c r="H14" i="47"/>
  <c r="H13" i="47"/>
  <c r="G12" i="47"/>
  <c r="D12" i="47"/>
  <c r="H11" i="47"/>
  <c r="H10" i="47"/>
  <c r="G9" i="47"/>
  <c r="F9" i="47"/>
  <c r="D9" i="47"/>
  <c r="H8" i="47"/>
  <c r="H7" i="47"/>
  <c r="F3" i="47"/>
  <c r="H5" i="47"/>
  <c r="A5" i="47"/>
  <c r="A6" i="47" s="1"/>
  <c r="A7" i="47" s="1"/>
  <c r="A8" i="47" s="1"/>
  <c r="A10" i="47" s="1"/>
  <c r="A11" i="47" s="1"/>
  <c r="A13" i="47" s="1"/>
  <c r="A14" i="47" s="1"/>
  <c r="A15" i="47" s="1"/>
  <c r="A16" i="47" s="1"/>
  <c r="A17" i="47" s="1"/>
  <c r="A18" i="47" s="1"/>
  <c r="A19" i="47" s="1"/>
  <c r="A20" i="47" s="1"/>
  <c r="A21" i="47" s="1"/>
  <c r="H4" i="47"/>
  <c r="G3" i="47"/>
  <c r="D3" i="47"/>
  <c r="A24" i="16" l="1"/>
  <c r="A11" i="16"/>
  <c r="A29" i="16"/>
  <c r="A16" i="16"/>
  <c r="A34" i="14"/>
  <c r="A36" i="14" s="1"/>
  <c r="A38" i="14" s="1"/>
  <c r="A40" i="14" s="1"/>
  <c r="A42" i="14" s="1"/>
  <c r="A44" i="14" s="1"/>
  <c r="A46" i="14" s="1"/>
  <c r="E3" i="47"/>
  <c r="E23" i="47"/>
  <c r="H12" i="47"/>
  <c r="E12" i="47"/>
  <c r="E9" i="47"/>
  <c r="E34" i="47" s="1"/>
  <c r="G34" i="47"/>
  <c r="D34" i="47"/>
  <c r="H9" i="47"/>
  <c r="F12" i="47"/>
  <c r="A18" i="14"/>
  <c r="A20" i="14" s="1"/>
  <c r="A22" i="14" s="1"/>
  <c r="A53" i="14"/>
  <c r="A55" i="14" s="1"/>
  <c r="A57" i="14" s="1"/>
  <c r="A30" i="16"/>
  <c r="A31" i="16" s="1"/>
  <c r="A32" i="16" s="1"/>
  <c r="A33" i="16" s="1"/>
  <c r="A34" i="16" s="1"/>
  <c r="A35" i="16" s="1"/>
  <c r="A36" i="16" s="1"/>
  <c r="A17" i="16"/>
  <c r="A18" i="16" s="1"/>
  <c r="A19" i="16" s="1"/>
  <c r="E38" i="16"/>
  <c r="E21" i="16"/>
  <c r="E26" i="16"/>
  <c r="H23" i="47"/>
  <c r="H6" i="47"/>
  <c r="H3" i="47" s="1"/>
  <c r="F23" i="47"/>
  <c r="T26" i="16" l="1"/>
  <c r="T21" i="16"/>
  <c r="T38" i="16"/>
  <c r="F34" i="47"/>
  <c r="H34" i="47"/>
  <c r="A41" i="16"/>
  <c r="A42" i="16" s="1"/>
  <c r="A43" i="16" s="1"/>
  <c r="A44" i="16" s="1"/>
  <c r="E13" i="16" l="1"/>
  <c r="E46" i="16"/>
  <c r="T46" i="16"/>
  <c r="T13" i="16"/>
  <c r="AL11" i="14"/>
  <c r="D11" i="14"/>
  <c r="A12" i="15"/>
  <c r="A40" i="15"/>
  <c r="A11" i="15"/>
  <c r="E47" i="15" l="1"/>
  <c r="F41" i="15" l="1"/>
  <c r="D1" i="16" l="1"/>
  <c r="A3" i="14" l="1"/>
  <c r="A2" i="14"/>
  <c r="AL9" i="14" l="1"/>
  <c r="E41" i="15" l="1"/>
  <c r="G41" i="15" l="1"/>
  <c r="J41" i="15"/>
  <c r="A6" i="15"/>
  <c r="D9" i="14" l="1"/>
  <c r="F6" i="14" l="1"/>
  <c r="G6" i="14" l="1"/>
  <c r="H6" i="14" l="1"/>
  <c r="I6" i="14" l="1"/>
  <c r="J6" i="14" l="1"/>
  <c r="K6" i="14" l="1"/>
  <c r="L6" i="14" l="1"/>
  <c r="M6" i="14" l="1"/>
  <c r="N6" i="14" l="1"/>
  <c r="O6" i="14" l="1"/>
  <c r="P6" i="14" l="1"/>
  <c r="Q6" i="14" l="1"/>
  <c r="R6" i="14" l="1"/>
  <c r="S6" i="14" l="1"/>
  <c r="T6" i="14" l="1"/>
  <c r="U6" i="14" l="1"/>
  <c r="V6" i="14" l="1"/>
  <c r="W6" i="14" l="1"/>
  <c r="X6" i="14" l="1"/>
  <c r="Y6" i="14" l="1"/>
  <c r="Z6" i="14" l="1"/>
  <c r="AA6" i="14" l="1"/>
  <c r="AB6" i="14" l="1"/>
  <c r="AC6" i="14" l="1"/>
  <c r="AD6" i="14" l="1"/>
  <c r="AE6" i="14" l="1"/>
  <c r="AF6" i="14" l="1"/>
  <c r="AG6" i="14" l="1"/>
  <c r="AH6" i="14" l="1"/>
  <c r="AJ6" i="14" l="1"/>
  <c r="AI6" i="14"/>
  <c r="AM55" i="14" l="1"/>
  <c r="J43" i="16" s="1"/>
  <c r="AM53" i="14"/>
  <c r="J42" i="16" s="1"/>
  <c r="AK53" i="14"/>
  <c r="AK55" i="14"/>
  <c r="AM38" i="14"/>
  <c r="J32" i="16" s="1"/>
  <c r="AM42" i="14"/>
  <c r="J34" i="16" s="1"/>
  <c r="AK38" i="14"/>
  <c r="Q32" i="16" s="1"/>
  <c r="AM34" i="14"/>
  <c r="J30" i="16" s="1"/>
  <c r="AK44" i="14"/>
  <c r="Q35" i="16" s="1"/>
  <c r="AM40" i="14"/>
  <c r="J33" i="16" s="1"/>
  <c r="AM36" i="14"/>
  <c r="J31" i="16" s="1"/>
  <c r="AM44" i="14"/>
  <c r="J35" i="16" s="1"/>
  <c r="AK40" i="14"/>
  <c r="Q33" i="16" s="1"/>
  <c r="AK36" i="14"/>
  <c r="AK34" i="14"/>
  <c r="AK42" i="14"/>
  <c r="AM18" i="14"/>
  <c r="J17" i="16" s="1"/>
  <c r="AM20" i="14"/>
  <c r="J18" i="16" s="1"/>
  <c r="AK18" i="14"/>
  <c r="AK20" i="14"/>
  <c r="AM14" i="14"/>
  <c r="J15" i="16" s="1"/>
  <c r="AM57" i="14"/>
  <c r="J44" i="16" s="1"/>
  <c r="AM30" i="14"/>
  <c r="J28" i="16" s="1"/>
  <c r="AM25" i="14"/>
  <c r="J23" i="16" s="1"/>
  <c r="AK46" i="14"/>
  <c r="Q36" i="16" s="1"/>
  <c r="AK25" i="14"/>
  <c r="AK57" i="14"/>
  <c r="Q44" i="16" s="1"/>
  <c r="AM51" i="14"/>
  <c r="J41" i="16" s="1"/>
  <c r="AM32" i="14"/>
  <c r="J29" i="16" s="1"/>
  <c r="AK51" i="14"/>
  <c r="Q41" i="16" s="1"/>
  <c r="AK22" i="14"/>
  <c r="Q19" i="16" s="1"/>
  <c r="AK14" i="14"/>
  <c r="AM27" i="14"/>
  <c r="J24" i="16" s="1"/>
  <c r="AK16" i="14"/>
  <c r="Q16" i="16" s="1"/>
  <c r="AM16" i="14"/>
  <c r="J16" i="16" s="1"/>
  <c r="AK32" i="14"/>
  <c r="Q29" i="16" s="1"/>
  <c r="AK30" i="14"/>
  <c r="Q28" i="16" s="1"/>
  <c r="AM46" i="14"/>
  <c r="J36" i="16" s="1"/>
  <c r="AM22" i="14"/>
  <c r="J19" i="16" s="1"/>
  <c r="AM49" i="14"/>
  <c r="J40" i="16" s="1"/>
  <c r="AK49" i="14"/>
  <c r="AK27" i="14"/>
  <c r="Q24" i="16" s="1"/>
  <c r="AK11" i="14"/>
  <c r="Q11" i="16" s="1"/>
  <c r="AM11" i="14"/>
  <c r="J11" i="16" s="1"/>
  <c r="Q10" i="16"/>
  <c r="AM9" i="14"/>
  <c r="J10" i="16" s="1"/>
  <c r="Q43" i="16" l="1"/>
  <c r="Q42" i="16"/>
  <c r="W2" i="16"/>
  <c r="P28" i="16" s="1"/>
  <c r="Q40" i="16"/>
  <c r="Q30" i="16"/>
  <c r="Q31" i="16"/>
  <c r="Q23" i="16"/>
  <c r="Q18" i="16"/>
  <c r="Q17" i="16"/>
  <c r="G19" i="16" l="1"/>
  <c r="G24" i="16"/>
  <c r="P15" i="16"/>
  <c r="Q15" i="16"/>
  <c r="P34" i="16"/>
  <c r="Q34" i="16"/>
  <c r="G32" i="16"/>
  <c r="P23" i="16"/>
  <c r="P30" i="16"/>
  <c r="P42" i="16"/>
  <c r="P33" i="16"/>
  <c r="P16" i="16"/>
  <c r="P11" i="16"/>
  <c r="P17" i="16"/>
  <c r="P18" i="16"/>
  <c r="P36" i="16"/>
  <c r="P32" i="16"/>
  <c r="P24" i="16"/>
  <c r="P43" i="16"/>
  <c r="P10" i="16"/>
  <c r="P44" i="16"/>
  <c r="P29" i="16"/>
  <c r="P31" i="16"/>
  <c r="P40" i="16"/>
  <c r="P35" i="16"/>
  <c r="P41" i="16"/>
  <c r="P19" i="16"/>
  <c r="G10" i="16"/>
  <c r="N29" i="16"/>
  <c r="N33" i="16"/>
  <c r="N28" i="16"/>
  <c r="N17" i="16"/>
  <c r="N11" i="16"/>
  <c r="N30" i="16"/>
  <c r="N34" i="16"/>
  <c r="N24" i="16"/>
  <c r="N18" i="16"/>
  <c r="N10" i="16"/>
  <c r="N31" i="16"/>
  <c r="N35" i="16"/>
  <c r="N23" i="16"/>
  <c r="N19" i="16"/>
  <c r="N32" i="16"/>
  <c r="N36" i="16"/>
  <c r="N16" i="16"/>
  <c r="N15" i="16"/>
  <c r="K11" i="16"/>
  <c r="K24" i="16"/>
  <c r="I28" i="16"/>
  <c r="I19" i="16"/>
  <c r="I44" i="16"/>
  <c r="I34" i="16"/>
  <c r="I11" i="16"/>
  <c r="I42" i="16"/>
  <c r="I32" i="16"/>
  <c r="I35" i="16"/>
  <c r="I30" i="16"/>
  <c r="I17" i="16"/>
  <c r="I15" i="16"/>
  <c r="I40" i="16"/>
  <c r="I31" i="16"/>
  <c r="I43" i="16"/>
  <c r="I33" i="16"/>
  <c r="I16" i="16"/>
  <c r="I41" i="16"/>
  <c r="I18" i="16"/>
  <c r="I10" i="16"/>
  <c r="I29" i="16"/>
  <c r="I36" i="16"/>
  <c r="I23" i="16"/>
  <c r="I24" i="16"/>
  <c r="K41" i="16"/>
  <c r="G11" i="16"/>
  <c r="G16" i="16"/>
  <c r="G33" i="16"/>
  <c r="G35" i="16"/>
  <c r="G28" i="16"/>
  <c r="G41" i="16"/>
  <c r="K32" i="16"/>
  <c r="K17" i="16"/>
  <c r="G29" i="16"/>
  <c r="G36" i="16"/>
  <c r="K18" i="16"/>
  <c r="K28" i="16"/>
  <c r="K35" i="16"/>
  <c r="G44" i="16"/>
  <c r="K15" i="16"/>
  <c r="K10" i="16"/>
  <c r="K44" i="16"/>
  <c r="K16" i="16"/>
  <c r="K23" i="16"/>
  <c r="K29" i="16"/>
  <c r="K34" i="16"/>
  <c r="K36" i="16"/>
  <c r="K19" i="16"/>
  <c r="K42" i="16"/>
  <c r="G43" i="16"/>
  <c r="G42" i="16"/>
  <c r="K43" i="16"/>
  <c r="K33" i="16"/>
  <c r="K31" i="16"/>
  <c r="K30" i="16"/>
  <c r="K40" i="16"/>
  <c r="G40" i="16"/>
  <c r="G31" i="16"/>
  <c r="G30" i="16"/>
  <c r="G34" i="16"/>
  <c r="Q26" i="16"/>
  <c r="G23" i="16"/>
  <c r="G18" i="16"/>
  <c r="G15" i="16"/>
  <c r="G17" i="16"/>
  <c r="Q13" i="16"/>
  <c r="G13" i="16" l="1"/>
  <c r="K26" i="16"/>
  <c r="I26" i="16"/>
  <c r="L34" i="16"/>
  <c r="L32" i="16"/>
  <c r="I13" i="16"/>
  <c r="I21" i="16"/>
  <c r="I38" i="16"/>
  <c r="L24" i="16"/>
  <c r="R24" i="16" s="1"/>
  <c r="U24" i="16" s="1"/>
  <c r="L15" i="16"/>
  <c r="R15" i="16" s="1"/>
  <c r="U15" i="16" s="1"/>
  <c r="L35" i="16"/>
  <c r="L41" i="16"/>
  <c r="L23" i="16"/>
  <c r="I46" i="16"/>
  <c r="L17" i="16"/>
  <c r="L18" i="16"/>
  <c r="L31" i="16"/>
  <c r="L28" i="16"/>
  <c r="R28" i="16" s="1"/>
  <c r="U28" i="16" s="1"/>
  <c r="L11" i="16"/>
  <c r="L19" i="16"/>
  <c r="L30" i="16"/>
  <c r="L29" i="16"/>
  <c r="L33" i="16"/>
  <c r="L36" i="16"/>
  <c r="Q46" i="16"/>
  <c r="L16" i="16"/>
  <c r="L10" i="16"/>
  <c r="K13" i="16"/>
  <c r="L43" i="16"/>
  <c r="L40" i="16"/>
  <c r="G46" i="16"/>
  <c r="L42" i="16"/>
  <c r="K21" i="16"/>
  <c r="L44" i="16"/>
  <c r="K46" i="16"/>
  <c r="K38" i="16"/>
  <c r="Q38" i="16"/>
  <c r="G38" i="16"/>
  <c r="G26" i="16"/>
  <c r="Q21" i="16"/>
  <c r="G21" i="16"/>
  <c r="R10" i="16" l="1"/>
  <c r="U10" i="16" s="1"/>
  <c r="R33" i="16"/>
  <c r="U33" i="16" s="1"/>
  <c r="R11" i="16"/>
  <c r="U11" i="16" s="1"/>
  <c r="R17" i="16"/>
  <c r="U17" i="16" s="1"/>
  <c r="R35" i="16"/>
  <c r="U35" i="16" s="1"/>
  <c r="R44" i="16"/>
  <c r="U44" i="16" s="1"/>
  <c r="R40" i="16"/>
  <c r="U40" i="16" s="1"/>
  <c r="R16" i="16"/>
  <c r="U16" i="16" s="1"/>
  <c r="R29" i="16"/>
  <c r="U29" i="16" s="1"/>
  <c r="R43" i="16"/>
  <c r="U43" i="16" s="1"/>
  <c r="R30" i="16"/>
  <c r="U30" i="16" s="1"/>
  <c r="R31" i="16"/>
  <c r="U31" i="16" s="1"/>
  <c r="R23" i="16"/>
  <c r="R32" i="16"/>
  <c r="U32" i="16" s="1"/>
  <c r="R42" i="16"/>
  <c r="U42" i="16" s="1"/>
  <c r="R36" i="16"/>
  <c r="U36" i="16" s="1"/>
  <c r="R19" i="16"/>
  <c r="U19" i="16" s="1"/>
  <c r="R18" i="16"/>
  <c r="U18" i="16" s="1"/>
  <c r="R41" i="16"/>
  <c r="U41" i="16" s="1"/>
  <c r="R34" i="16"/>
  <c r="U34" i="16" s="1"/>
  <c r="L13" i="16"/>
  <c r="L46" i="16"/>
  <c r="L38" i="16"/>
  <c r="L26" i="16"/>
  <c r="L21" i="16"/>
  <c r="R26" i="16" l="1"/>
  <c r="U23" i="16"/>
  <c r="U26" i="16" s="1"/>
  <c r="R38" i="16"/>
  <c r="R46" i="16"/>
  <c r="R13" i="16"/>
  <c r="U38" i="16"/>
  <c r="R21" i="16"/>
  <c r="U13" i="16"/>
  <c r="U46" i="16"/>
  <c r="U21" i="16" l="1"/>
</calcChain>
</file>

<file path=xl/sharedStrings.xml><?xml version="1.0" encoding="utf-8"?>
<sst xmlns="http://schemas.openxmlformats.org/spreadsheetml/2006/main" count="359" uniqueCount="169">
  <si>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</si>
  <si>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</si>
  <si>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</si>
  <si>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</si>
  <si>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</si>
  <si>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</si>
  <si>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</si>
  <si>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Tạm Ứng</t>
  </si>
  <si>
    <t>Thực Lãnh</t>
  </si>
  <si>
    <t>Ký Nhận</t>
  </si>
  <si>
    <t>Ghi Chú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</si>
  <si>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</si>
  <si>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</si>
  <si>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</si>
  <si>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</si>
  <si>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</si>
  <si>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</si>
  <si>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</si>
  <si>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</si>
  <si>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</si>
  <si>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TỔNG CỘNG</t>
  </si>
  <si>
    <t>Thu nhập ngày công</t>
  </si>
  <si>
    <t>Stt</t>
  </si>
  <si>
    <t>Chức
vụ</t>
  </si>
  <si>
    <t>Giờ công</t>
  </si>
  <si>
    <t>TC</t>
  </si>
  <si>
    <t>BT,CN</t>
  </si>
  <si>
    <t>CẬP NHẬT THÔNG TIN NGƯỜI LAO ĐỘNG  HÀNG THÁNG</t>
  </si>
  <si>
    <t>Phụ cấp</t>
  </si>
  <si>
    <t>Số ngày</t>
  </si>
  <si>
    <t>Ro: Nghỉ việc riêng không lương</t>
  </si>
  <si>
    <t>Lương căn bản</t>
  </si>
  <si>
    <t>Cơm</t>
  </si>
  <si>
    <t>Ngày công
trong tháng</t>
  </si>
  <si>
    <t>Ngày công hành chính</t>
  </si>
  <si>
    <t>Người lập biểu</t>
  </si>
  <si>
    <t>Nguyễn Văn Bé Hai</t>
  </si>
  <si>
    <t>Thạch Tiền</t>
  </si>
  <si>
    <t>Hứa Hậu</t>
  </si>
  <si>
    <t>Nguyễn Văn Tâm</t>
  </si>
  <si>
    <t>Sơn Lét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</si>
  <si>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</si>
  <si>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</si>
  <si>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</si>
  <si>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</si>
  <si>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</si>
  <si>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</si>
  <si>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</si>
  <si>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</si>
  <si>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</si>
  <si>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</si>
  <si>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</si>
  <si>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</si>
  <si>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</si>
  <si>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</si>
  <si>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</si>
  <si>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</si>
  <si>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</si>
  <si>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</si>
  <si>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</si>
  <si>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</si>
  <si>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</si>
  <si>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</si>
  <si>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</si>
  <si>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</si>
  <si>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</si>
  <si>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</si>
  <si>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</si>
  <si>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</si>
  <si>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</si>
  <si>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</si>
  <si>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</si>
  <si>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</si>
  <si>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</si>
  <si>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Phạm Thành Đô</t>
  </si>
  <si>
    <t>Sơn Pép</t>
  </si>
  <si>
    <t xml:space="preserve"> Lâm Thị Mộng Thường</t>
  </si>
  <si>
    <t>Công ty TNHH Hải sản An Lạc</t>
  </si>
  <si>
    <t>Địa chỉ: Lô A14, đường 4A, KCN Hải Sơn, Đức Hòa, Long An</t>
  </si>
  <si>
    <t>I</t>
  </si>
  <si>
    <t>II</t>
  </si>
  <si>
    <t>Tăng ca &amp; CN</t>
  </si>
  <si>
    <t>2016</t>
  </si>
  <si>
    <t>QL01</t>
  </si>
  <si>
    <t>QL02</t>
  </si>
  <si>
    <t>Giám Đốc</t>
  </si>
  <si>
    <t>Kinh Doanh</t>
  </si>
  <si>
    <t>BP: Quản lý &amp; CN Trực Tiếp SX</t>
  </si>
  <si>
    <t>Lương 
cơ bản
(Trước khi tăng)</t>
  </si>
  <si>
    <t>Lương 
cơ bản
(sau khi tăng)</t>
  </si>
  <si>
    <t xml:space="preserve">TẠM ỨNG
</t>
  </si>
  <si>
    <t>THỰC NHẬN</t>
  </si>
  <si>
    <t>KÝ NHẬN</t>
  </si>
  <si>
    <t>VĂN PHÒNG</t>
  </si>
  <si>
    <t>Trần Thị Ngọc</t>
  </si>
  <si>
    <t>Lê Thị Ngân</t>
  </si>
  <si>
    <t>Hoàng Hải Bằng</t>
  </si>
  <si>
    <t>Huỳnh Minh Toàn</t>
  </si>
  <si>
    <t>GIAO HÀNG</t>
  </si>
  <si>
    <t>Nguyễn Hồng Tâm</t>
  </si>
  <si>
    <t>Lê Thành Phước</t>
  </si>
  <si>
    <t>III</t>
  </si>
  <si>
    <t>CÔNG ĐOẠN 2</t>
  </si>
  <si>
    <t>Lê Văn Hữu</t>
  </si>
  <si>
    <t>Bùi Trường Giang</t>
  </si>
  <si>
    <t>Nguyễn T Bích Thủy</t>
  </si>
  <si>
    <t>Phan Hùng Trí</t>
  </si>
  <si>
    <t>Lý Thanh Hải</t>
  </si>
  <si>
    <t>Danh Sà Phép</t>
  </si>
  <si>
    <t>Nguyễn Thị Sự</t>
  </si>
  <si>
    <t>Sơn Minh Bảo</t>
  </si>
  <si>
    <t>Nguyễn Trung Nghị</t>
  </si>
  <si>
    <t>CÔNG ĐOẠN 1</t>
  </si>
  <si>
    <t>Võ Văn Kiệt</t>
  </si>
  <si>
    <t>Huỳnh Văn Út</t>
  </si>
  <si>
    <t>Dương Thế Kiệt</t>
  </si>
  <si>
    <t>Bùi Chí Long</t>
  </si>
  <si>
    <t>Phạm Hiếu Phụng</t>
  </si>
  <si>
    <t>TỔNG CỘNG</t>
  </si>
  <si>
    <t>Đinh Công Đoan</t>
  </si>
  <si>
    <t>Lê Kim Ngọc Thảo</t>
  </si>
  <si>
    <t>VP01</t>
  </si>
  <si>
    <t>VP02</t>
  </si>
  <si>
    <t>VP03</t>
  </si>
  <si>
    <t>VP04</t>
  </si>
  <si>
    <t>VP05</t>
  </si>
  <si>
    <t>GH01</t>
  </si>
  <si>
    <t>GH02</t>
  </si>
  <si>
    <t>GĐ11</t>
  </si>
  <si>
    <t>GĐ12</t>
  </si>
  <si>
    <t>GĐ13</t>
  </si>
  <si>
    <t>GĐ14</t>
  </si>
  <si>
    <t>GĐ15</t>
  </si>
  <si>
    <t>GĐ16</t>
  </si>
  <si>
    <t>GĐ17</t>
  </si>
  <si>
    <t>GĐ18</t>
  </si>
  <si>
    <t>GĐ19</t>
  </si>
  <si>
    <t>GĐ21</t>
  </si>
  <si>
    <t>GĐ22</t>
  </si>
  <si>
    <t>GĐ23</t>
  </si>
  <si>
    <t>GĐ24</t>
  </si>
  <si>
    <t>GĐ25</t>
  </si>
  <si>
    <t>Trần Anh Nhựt</t>
  </si>
  <si>
    <t>BP - VĂN PHÒNG:</t>
  </si>
  <si>
    <t>BP - QUẢN LÝ:</t>
  </si>
  <si>
    <t>BP - GIAO HÀNG:</t>
  </si>
  <si>
    <t>BP - CÔNG ĐOẠN 1:</t>
  </si>
  <si>
    <t>BP - CÔNG ĐOẠN 2:</t>
  </si>
  <si>
    <t>IV</t>
  </si>
  <si>
    <t>V</t>
  </si>
  <si>
    <t>Công Đoạn 1</t>
  </si>
  <si>
    <t>Công Đoạn 2</t>
  </si>
  <si>
    <t>Độc hại</t>
  </si>
  <si>
    <t>Trách nhiệm</t>
  </si>
  <si>
    <t>Giờ TC</t>
  </si>
  <si>
    <t>Lương 60%</t>
  </si>
  <si>
    <t>L: Nghỉ hưởng lương 60%</t>
  </si>
  <si>
    <t>Nghỉ Hưởng (60%)</t>
  </si>
  <si>
    <t>Xếp loại</t>
  </si>
  <si>
    <t>A</t>
  </si>
  <si>
    <t>Xăng</t>
  </si>
  <si>
    <t>Độc hại &amp; Trách nhiệm</t>
  </si>
  <si>
    <t>Tiền xăng</t>
  </si>
  <si>
    <t>Chuyên cần</t>
  </si>
  <si>
    <t>TC Cơm</t>
  </si>
  <si>
    <t>Trừ khác</t>
  </si>
  <si>
    <t>Nghỉ ko phép</t>
  </si>
  <si>
    <t>K: Nghỉ không phép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</si>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</sst>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9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u/>
      <sz val="10"/>
      <color indexed="12"/>
      <name val="Arial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sz val="9"/>
      <color indexed="8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sz val="10"/>
      <color theme="1"/>
      <name val="Times New Roman"/>
      <family val="1"/>
    </font>
    <font>
      <sz val="10"/>
      <color theme="0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4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610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0" fontId="109" fillId="0" borderId="0" applyNumberFormat="0" applyFill="0" applyBorder="0" applyAlignment="0" applyProtection="0">
      <alignment vertical="top"/>
      <protection locked="0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  <xf numFmtId="0" fontId="95" fillId="0" borderId="0"/>
    <xf numFmtId="43" fontId="95" fillId="0" borderId="0" applyFont="0" applyFill="0" applyBorder="0" applyAlignment="0" applyProtection="0"/>
  </cellStyleXfs>
  <cellXfs count="305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0" fontId="102" fillId="0" borderId="0" xfId="0" applyFont="1" applyBorder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1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10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2" applyFont="1" applyFill="1" applyBorder="1" applyAlignment="1">
      <alignment horizontal="center" vertical="center"/>
    </xf>
    <xf numFmtId="0" fontId="98" fillId="0" borderId="24" xfId="422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0" fontId="112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168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3" fillId="0" borderId="0" xfId="0" applyFont="1"/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4" fillId="0" borderId="26" xfId="0" applyFont="1" applyBorder="1" applyAlignment="1">
      <alignment vertical="center"/>
    </xf>
    <xf numFmtId="169" fontId="115" fillId="0" borderId="0" xfId="337" applyNumberFormat="1" applyFont="1"/>
    <xf numFmtId="0" fontId="115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0" fontId="96" fillId="0" borderId="0" xfId="421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6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10" fillId="0" borderId="26" xfId="0" applyNumberFormat="1" applyFont="1" applyBorder="1" applyAlignment="1">
      <alignment horizontal="center"/>
    </xf>
    <xf numFmtId="0" fontId="117" fillId="0" borderId="26" xfId="0" applyNumberFormat="1" applyFont="1" applyBorder="1" applyAlignment="1">
      <alignment horizontal="center"/>
    </xf>
    <xf numFmtId="0" fontId="116" fillId="0" borderId="2" xfId="0" applyFont="1" applyBorder="1" applyAlignment="1">
      <alignment horizontal="center" vertical="center" wrapText="1"/>
    </xf>
    <xf numFmtId="169" fontId="118" fillId="0" borderId="0" xfId="337" applyNumberFormat="1" applyFont="1"/>
    <xf numFmtId="169" fontId="116" fillId="0" borderId="0" xfId="337" applyNumberFormat="1" applyFont="1"/>
    <xf numFmtId="0" fontId="116" fillId="0" borderId="0" xfId="0" applyFont="1"/>
    <xf numFmtId="0" fontId="119" fillId="0" borderId="0" xfId="0" applyFont="1" applyFill="1" applyBorder="1" applyAlignment="1">
      <alignment horizontal="center" vertical="center"/>
    </xf>
    <xf numFmtId="0" fontId="120" fillId="0" borderId="2" xfId="0" applyFont="1" applyBorder="1" applyAlignment="1">
      <alignment horizontal="center" vertical="center" wrapText="1"/>
    </xf>
    <xf numFmtId="0" fontId="120" fillId="0" borderId="2" xfId="0" applyFont="1" applyFill="1" applyBorder="1" applyAlignment="1">
      <alignment horizontal="center" vertical="center" wrapText="1"/>
    </xf>
    <xf numFmtId="0" fontId="120" fillId="0" borderId="2" xfId="0" applyFont="1" applyFill="1" applyBorder="1" applyAlignment="1">
      <alignment horizontal="left" vertical="center"/>
    </xf>
    <xf numFmtId="169" fontId="120" fillId="0" borderId="2" xfId="337" applyNumberFormat="1" applyFont="1" applyBorder="1" applyAlignment="1">
      <alignment horizontal="center" vertical="center" wrapText="1"/>
    </xf>
    <xf numFmtId="169" fontId="121" fillId="0" borderId="0" xfId="337" applyNumberFormat="1" applyFont="1"/>
    <xf numFmtId="169" fontId="120" fillId="0" borderId="0" xfId="337" applyNumberFormat="1" applyFont="1"/>
    <xf numFmtId="0" fontId="120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9" fillId="0" borderId="0" xfId="0" applyNumberFormat="1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14" fontId="102" fillId="0" borderId="0" xfId="0" applyNumberFormat="1" applyFont="1"/>
    <xf numFmtId="169" fontId="102" fillId="0" borderId="12" xfId="608" applyNumberFormat="1" applyFont="1" applyBorder="1" applyAlignment="1">
      <alignment vertical="center"/>
    </xf>
    <xf numFmtId="0" fontId="30" fillId="0" borderId="12" xfId="608" applyFont="1" applyBorder="1" applyAlignment="1">
      <alignment vertical="center"/>
    </xf>
    <xf numFmtId="169" fontId="120" fillId="30" borderId="2" xfId="337" applyNumberFormat="1" applyFont="1" applyFill="1" applyBorder="1" applyAlignment="1">
      <alignment horizontal="center" vertical="center" wrapText="1"/>
    </xf>
    <xf numFmtId="0" fontId="123" fillId="28" borderId="2" xfId="608" applyFont="1" applyFill="1" applyBorder="1" applyAlignment="1">
      <alignment vertical="center"/>
    </xf>
    <xf numFmtId="0" fontId="124" fillId="28" borderId="2" xfId="608" applyFont="1" applyFill="1" applyBorder="1" applyAlignment="1">
      <alignment vertical="center"/>
    </xf>
    <xf numFmtId="0" fontId="124" fillId="0" borderId="2" xfId="608" applyFont="1" applyFill="1" applyBorder="1" applyAlignment="1">
      <alignment vertical="center"/>
    </xf>
    <xf numFmtId="0" fontId="125" fillId="0" borderId="2" xfId="0" applyFont="1" applyFill="1" applyBorder="1" applyAlignment="1">
      <alignment horizontal="left" vertical="center"/>
    </xf>
    <xf numFmtId="169" fontId="116" fillId="31" borderId="2" xfId="337" applyNumberFormat="1" applyFont="1" applyFill="1" applyBorder="1" applyAlignment="1">
      <alignment horizontal="center" vertical="center" wrapText="1"/>
    </xf>
    <xf numFmtId="169" fontId="120" fillId="34" borderId="2" xfId="337" applyNumberFormat="1" applyFont="1" applyFill="1" applyBorder="1" applyAlignment="1">
      <alignment horizontal="center" vertical="center" wrapText="1"/>
    </xf>
    <xf numFmtId="0" fontId="123" fillId="0" borderId="2" xfId="608" applyFont="1" applyFill="1" applyBorder="1" applyAlignment="1">
      <alignment vertical="center"/>
    </xf>
    <xf numFmtId="169" fontId="120" fillId="33" borderId="2" xfId="337" applyNumberFormat="1" applyFont="1" applyFill="1" applyBorder="1" applyAlignment="1">
      <alignment horizontal="center" vertical="center" wrapText="1"/>
    </xf>
    <xf numFmtId="0" fontId="123" fillId="0" borderId="30" xfId="608" applyFont="1" applyFill="1" applyBorder="1" applyAlignment="1">
      <alignment vertical="center"/>
    </xf>
    <xf numFmtId="169" fontId="120" fillId="32" borderId="2" xfId="337" applyNumberFormat="1" applyFont="1" applyFill="1" applyBorder="1" applyAlignment="1">
      <alignment horizontal="center" vertical="center" wrapText="1"/>
    </xf>
    <xf numFmtId="0" fontId="102" fillId="29" borderId="12" xfId="608" applyFont="1" applyFill="1" applyBorder="1" applyAlignment="1">
      <alignment horizontal="center" vertical="center" wrapText="1"/>
    </xf>
    <xf numFmtId="0" fontId="102" fillId="29" borderId="12" xfId="608" applyFont="1" applyFill="1" applyBorder="1" applyAlignment="1">
      <alignment horizontal="center" vertical="center"/>
    </xf>
    <xf numFmtId="0" fontId="102" fillId="28" borderId="12" xfId="608" applyFont="1" applyFill="1" applyBorder="1" applyAlignment="1">
      <alignment horizontal="center" vertical="center"/>
    </xf>
    <xf numFmtId="169" fontId="102" fillId="28" borderId="12" xfId="608" applyNumberFormat="1" applyFont="1" applyFill="1" applyBorder="1" applyAlignment="1">
      <alignment horizontal="center" vertical="center" wrapText="1"/>
    </xf>
    <xf numFmtId="169" fontId="30" fillId="0" borderId="0" xfId="609" applyNumberFormat="1" applyFont="1" applyAlignment="1">
      <alignment vertical="center"/>
    </xf>
    <xf numFmtId="0" fontId="30" fillId="0" borderId="0" xfId="608" applyFont="1" applyAlignment="1">
      <alignment vertical="center"/>
    </xf>
    <xf numFmtId="14" fontId="126" fillId="0" borderId="0" xfId="608" applyNumberFormat="1" applyFont="1" applyAlignment="1">
      <alignment vertical="center"/>
    </xf>
    <xf numFmtId="41" fontId="102" fillId="29" borderId="12" xfId="608" applyNumberFormat="1" applyFont="1" applyFill="1" applyBorder="1" applyAlignment="1">
      <alignment horizontal="center" vertical="center" wrapText="1"/>
    </xf>
    <xf numFmtId="0" fontId="102" fillId="28" borderId="12" xfId="608" quotePrefix="1" applyFont="1" applyFill="1" applyBorder="1" applyAlignment="1">
      <alignment horizontal="center" vertical="center"/>
    </xf>
    <xf numFmtId="0" fontId="30" fillId="28" borderId="29" xfId="608" quotePrefix="1" applyFont="1" applyFill="1" applyBorder="1" applyAlignment="1">
      <alignment horizontal="center" vertical="center"/>
    </xf>
    <xf numFmtId="41" fontId="127" fillId="28" borderId="33" xfId="609" applyNumberFormat="1" applyFont="1" applyFill="1" applyBorder="1" applyAlignment="1">
      <alignment vertical="center" wrapText="1"/>
    </xf>
    <xf numFmtId="41" fontId="30" fillId="28" borderId="29" xfId="609" applyNumberFormat="1" applyFont="1" applyFill="1" applyBorder="1" applyAlignment="1">
      <alignment vertical="center" wrapText="1"/>
    </xf>
    <xf numFmtId="0" fontId="30" fillId="0" borderId="29" xfId="608" applyFont="1" applyBorder="1" applyAlignment="1">
      <alignment vertical="center"/>
    </xf>
    <xf numFmtId="0" fontId="30" fillId="28" borderId="2" xfId="608" quotePrefix="1" applyFont="1" applyFill="1" applyBorder="1" applyAlignment="1">
      <alignment horizontal="center" vertical="center"/>
    </xf>
    <xf numFmtId="0" fontId="127" fillId="28" borderId="2" xfId="608" applyFont="1" applyFill="1" applyBorder="1" applyAlignment="1">
      <alignment vertical="center"/>
    </xf>
    <xf numFmtId="169" fontId="127" fillId="28" borderId="2" xfId="609" applyNumberFormat="1" applyFont="1" applyFill="1" applyBorder="1" applyAlignment="1">
      <alignment vertical="center"/>
    </xf>
    <xf numFmtId="41" fontId="30" fillId="28" borderId="2" xfId="609" applyNumberFormat="1" applyFont="1" applyFill="1" applyBorder="1" applyAlignment="1">
      <alignment vertical="center" wrapText="1"/>
    </xf>
    <xf numFmtId="0" fontId="30" fillId="0" borderId="2" xfId="608" applyFont="1" applyBorder="1" applyAlignment="1">
      <alignment vertical="center"/>
    </xf>
    <xf numFmtId="0" fontId="30" fillId="0" borderId="30" xfId="608" applyFont="1" applyBorder="1" applyAlignment="1">
      <alignment vertical="center"/>
    </xf>
    <xf numFmtId="0" fontId="30" fillId="28" borderId="24" xfId="608" quotePrefix="1" applyFont="1" applyFill="1" applyBorder="1" applyAlignment="1">
      <alignment horizontal="center" vertical="center"/>
    </xf>
    <xf numFmtId="169" fontId="127" fillId="28" borderId="24" xfId="609" applyNumberFormat="1" applyFont="1" applyFill="1" applyBorder="1" applyAlignment="1">
      <alignment vertical="center"/>
    </xf>
    <xf numFmtId="41" fontId="30" fillId="28" borderId="24" xfId="609" applyNumberFormat="1" applyFont="1" applyFill="1" applyBorder="1" applyAlignment="1">
      <alignment vertical="center" wrapText="1"/>
    </xf>
    <xf numFmtId="0" fontId="30" fillId="0" borderId="24" xfId="608" applyFont="1" applyBorder="1" applyAlignment="1">
      <alignment vertical="center"/>
    </xf>
    <xf numFmtId="0" fontId="128" fillId="28" borderId="12" xfId="608" applyFont="1" applyFill="1" applyBorder="1" applyAlignment="1">
      <alignment vertical="center"/>
    </xf>
    <xf numFmtId="169" fontId="128" fillId="28" borderId="12" xfId="609" applyNumberFormat="1" applyFont="1" applyFill="1" applyBorder="1" applyAlignment="1">
      <alignment vertical="center"/>
    </xf>
    <xf numFmtId="169" fontId="102" fillId="0" borderId="12" xfId="609" applyNumberFormat="1" applyFont="1" applyBorder="1" applyAlignment="1">
      <alignment vertical="center"/>
    </xf>
    <xf numFmtId="0" fontId="30" fillId="28" borderId="33" xfId="608" quotePrefix="1" applyFont="1" applyFill="1" applyBorder="1" applyAlignment="1">
      <alignment horizontal="center" vertical="center"/>
    </xf>
    <xf numFmtId="41" fontId="30" fillId="28" borderId="33" xfId="609" applyNumberFormat="1" applyFont="1" applyFill="1" applyBorder="1" applyAlignment="1">
      <alignment vertical="center" wrapText="1"/>
    </xf>
    <xf numFmtId="0" fontId="30" fillId="28" borderId="30" xfId="608" quotePrefix="1" applyFont="1" applyFill="1" applyBorder="1" applyAlignment="1">
      <alignment horizontal="center" vertical="center"/>
    </xf>
    <xf numFmtId="41" fontId="30" fillId="28" borderId="23" xfId="609" applyNumberFormat="1" applyFont="1" applyFill="1" applyBorder="1" applyAlignment="1">
      <alignment vertical="center" wrapText="1"/>
    </xf>
    <xf numFmtId="169" fontId="127" fillId="28" borderId="2" xfId="609" applyNumberFormat="1" applyFont="1" applyFill="1" applyBorder="1" applyAlignment="1">
      <alignment vertical="center" wrapText="1"/>
    </xf>
    <xf numFmtId="0" fontId="30" fillId="28" borderId="2" xfId="608" applyFont="1" applyFill="1" applyBorder="1" applyAlignment="1">
      <alignment vertical="center"/>
    </xf>
    <xf numFmtId="0" fontId="30" fillId="28" borderId="0" xfId="608" applyFont="1" applyFill="1" applyAlignment="1">
      <alignment vertical="center"/>
    </xf>
    <xf numFmtId="0" fontId="30" fillId="28" borderId="12" xfId="608" quotePrefix="1" applyFont="1" applyFill="1" applyBorder="1" applyAlignment="1">
      <alignment horizontal="center" vertical="center"/>
    </xf>
    <xf numFmtId="0" fontId="115" fillId="0" borderId="2" xfId="608" applyFont="1" applyBorder="1" applyAlignment="1">
      <alignment vertical="center"/>
    </xf>
    <xf numFmtId="0" fontId="115" fillId="0" borderId="0" xfId="608" applyFont="1" applyAlignment="1">
      <alignment vertical="center"/>
    </xf>
    <xf numFmtId="41" fontId="127" fillId="28" borderId="23" xfId="609" applyNumberFormat="1" applyFont="1" applyFill="1" applyBorder="1" applyAlignment="1">
      <alignment vertical="center" wrapText="1"/>
    </xf>
    <xf numFmtId="41" fontId="30" fillId="28" borderId="30" xfId="609" applyNumberFormat="1" applyFont="1" applyFill="1" applyBorder="1" applyAlignment="1">
      <alignment vertical="center" wrapText="1"/>
    </xf>
    <xf numFmtId="0" fontId="127" fillId="28" borderId="24" xfId="608" applyFont="1" applyFill="1" applyBorder="1" applyAlignment="1">
      <alignment vertical="center"/>
    </xf>
    <xf numFmtId="41" fontId="127" fillId="28" borderId="24" xfId="609" applyNumberFormat="1" applyFont="1" applyFill="1" applyBorder="1" applyAlignment="1">
      <alignment vertical="center" wrapText="1"/>
    </xf>
    <xf numFmtId="0" fontId="115" fillId="0" borderId="24" xfId="608" applyFont="1" applyBorder="1" applyAlignment="1">
      <alignment vertical="center"/>
    </xf>
    <xf numFmtId="41" fontId="30" fillId="0" borderId="0" xfId="608" applyNumberFormat="1" applyFont="1" applyAlignment="1">
      <alignment vertical="center"/>
    </xf>
    <xf numFmtId="0" fontId="30" fillId="0" borderId="0" xfId="608" applyFont="1" applyAlignment="1">
      <alignment horizontal="center" vertical="center"/>
    </xf>
    <xf numFmtId="41" fontId="30" fillId="0" borderId="0" xfId="608" applyNumberFormat="1" applyFont="1" applyAlignment="1">
      <alignment horizontal="center" vertical="center"/>
    </xf>
    <xf numFmtId="0" fontId="30" fillId="0" borderId="33" xfId="0" applyFont="1" applyFill="1" applyBorder="1" applyAlignment="1">
      <alignment horizontal="left" vertical="center"/>
    </xf>
    <xf numFmtId="169" fontId="30" fillId="0" borderId="33" xfId="337" applyNumberFormat="1" applyFont="1" applyFill="1" applyBorder="1" applyAlignment="1">
      <alignment horizontal="left" vertical="center"/>
    </xf>
    <xf numFmtId="0" fontId="30" fillId="0" borderId="33" xfId="608" applyFont="1" applyBorder="1" applyAlignment="1">
      <alignment vertical="center"/>
    </xf>
    <xf numFmtId="169" fontId="122" fillId="35" borderId="2" xfId="609" applyNumberFormat="1" applyFont="1" applyFill="1" applyBorder="1" applyAlignment="1">
      <alignment vertical="center"/>
    </xf>
    <xf numFmtId="0" fontId="103" fillId="26" borderId="12" xfId="0" applyFont="1" applyFill="1" applyBorder="1" applyAlignment="1">
      <alignment horizontal="center" vertical="center"/>
    </xf>
    <xf numFmtId="43" fontId="103" fillId="26" borderId="12" xfId="337" applyFont="1" applyFill="1" applyBorder="1" applyAlignment="1">
      <alignment horizontal="center" vertical="center"/>
    </xf>
    <xf numFmtId="43" fontId="103" fillId="26" borderId="12" xfId="337" applyFont="1" applyFill="1" applyBorder="1" applyAlignment="1">
      <alignment horizontal="center" vertical="center" wrapText="1"/>
    </xf>
    <xf numFmtId="0" fontId="120" fillId="0" borderId="0" xfId="0" applyFont="1" applyFill="1" applyBorder="1" applyAlignment="1">
      <alignment horizontal="left" vertical="center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2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28" xfId="0" applyFont="1" applyFill="1" applyBorder="1" applyAlignment="1">
      <alignment horizontal="center" vertical="center" wrapText="1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2" applyNumberFormat="1" applyFont="1" applyFill="1" applyBorder="1" applyAlignment="1">
      <alignment horizontal="left" vertical="center"/>
    </xf>
    <xf numFmtId="0" fontId="98" fillId="0" borderId="28" xfId="422" applyNumberFormat="1" applyFont="1" applyFill="1" applyBorder="1" applyAlignment="1">
      <alignment horizontal="left" vertical="center"/>
    </xf>
    <xf numFmtId="0" fontId="98" fillId="0" borderId="14" xfId="422" applyNumberFormat="1" applyFont="1" applyFill="1" applyBorder="1" applyAlignment="1">
      <alignment horizontal="center" vertical="center" wrapText="1"/>
    </xf>
    <xf numFmtId="0" fontId="98" fillId="0" borderId="28" xfId="422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26" borderId="12" xfId="0" applyFont="1" applyFill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2" fillId="0" borderId="26" xfId="608" applyFont="1" applyBorder="1" applyAlignment="1">
      <alignment horizontal="center" vertical="center"/>
    </xf>
    <xf numFmtId="0" fontId="102" fillId="28" borderId="12" xfId="608" applyFont="1" applyFill="1" applyBorder="1" applyAlignment="1">
      <alignment horizontal="center" vertical="center"/>
    </xf>
    <xf numFmtId="0" fontId="100" fillId="0" borderId="12" xfId="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43" fontId="100" fillId="26" borderId="28" xfId="337" applyFont="1" applyFill="1" applyBorder="1" applyAlignment="1">
      <alignment horizontal="center" vertical="center" wrapText="1"/>
    </xf>
  </cellXfs>
  <cellStyles count="610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4" xfId="609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Hyperlink_BANG CHAM CONG" xfId="388"/>
    <cellStyle name="i·0" xfId="389"/>
    <cellStyle name="Îáû÷íûé_ÏÄÍÃ" xfId="390"/>
    <cellStyle name="Input" xfId="391" builtinId="20" customBuiltin="1"/>
    <cellStyle name="Input [yellow]" xfId="392"/>
    <cellStyle name="k" xfId="393"/>
    <cellStyle name="khanh" xfId="394"/>
    <cellStyle name="khoa2" xfId="395"/>
    <cellStyle name="kien1" xfId="396"/>
    <cellStyle name="Link Currency (0)" xfId="397"/>
    <cellStyle name="Link Currency (2)" xfId="398"/>
    <cellStyle name="Link Units (0)" xfId="399"/>
    <cellStyle name="Link Units (1)" xfId="400"/>
    <cellStyle name="Link Units (2)" xfId="401"/>
    <cellStyle name="Linked Cell" xfId="402" builtinId="24" customBuiltin="1"/>
    <cellStyle name="luc" xfId="403"/>
    <cellStyle name="luc2" xfId="404"/>
    <cellStyle name="Millares [0]_Well Timing" xfId="405"/>
    <cellStyle name="Millares_Well Timing" xfId="406"/>
    <cellStyle name="Môc" xfId="407"/>
    <cellStyle name="Model" xfId="408"/>
    <cellStyle name="Moneda [0]_Well Timing" xfId="409"/>
    <cellStyle name="Moneda_Well Timing" xfId="410"/>
    <cellStyle name="Monétaire [0]_TARIFFS DB" xfId="411"/>
    <cellStyle name="Monétaire_TARIFFS DB" xfId="412"/>
    <cellStyle name="n" xfId="413"/>
    <cellStyle name="n1" xfId="414"/>
    <cellStyle name="Neutral" xfId="415" builtinId="28" customBuiltin="1"/>
    <cellStyle name="New Times Roman" xfId="416"/>
    <cellStyle name="no dec" xfId="417"/>
    <cellStyle name="Non défini" xfId="418"/>
    <cellStyle name="Normal" xfId="0" builtinId="0"/>
    <cellStyle name="Normal - Style1" xfId="419"/>
    <cellStyle name="Normal 2" xfId="420"/>
    <cellStyle name="Normal 3" xfId="608"/>
    <cellStyle name="Normal_Book1" xfId="421"/>
    <cellStyle name="Normal_Sheet1" xfId="422"/>
    <cellStyle name="Normal1" xfId="423"/>
    <cellStyle name="Note" xfId="424" builtinId="10" customBuiltin="1"/>
    <cellStyle name="omma [0]_Mktg Prog" xfId="425"/>
    <cellStyle name="ormal_Sheet1_1" xfId="426"/>
    <cellStyle name="Output" xfId="427" builtinId="21" customBuiltin="1"/>
    <cellStyle name="Percent [0]" xfId="428"/>
    <cellStyle name="Percent [00]" xfId="429"/>
    <cellStyle name="Percent [2]" xfId="430"/>
    <cellStyle name="PrePop Currency (0)" xfId="431"/>
    <cellStyle name="PrePop Currency (2)" xfId="432"/>
    <cellStyle name="PrePop Units (0)" xfId="433"/>
    <cellStyle name="PrePop Units (1)" xfId="434"/>
    <cellStyle name="PrePop Units (2)" xfId="435"/>
    <cellStyle name="S—_x0008_" xfId="436"/>
    <cellStyle name="s1" xfId="437"/>
    <cellStyle name="Style 1" xfId="438"/>
    <cellStyle name="Style 10" xfId="439"/>
    <cellStyle name="Style 11" xfId="440"/>
    <cellStyle name="Style 12" xfId="441"/>
    <cellStyle name="Style 13" xfId="442"/>
    <cellStyle name="Style 14" xfId="443"/>
    <cellStyle name="Style 15" xfId="444"/>
    <cellStyle name="Style 16" xfId="445"/>
    <cellStyle name="Style 17" xfId="446"/>
    <cellStyle name="Style 18" xfId="447"/>
    <cellStyle name="Style 19" xfId="448"/>
    <cellStyle name="Style 2" xfId="449"/>
    <cellStyle name="Style 20" xfId="450"/>
    <cellStyle name="Style 21" xfId="451"/>
    <cellStyle name="Style 22" xfId="452"/>
    <cellStyle name="Style 23" xfId="453"/>
    <cellStyle name="Style 24" xfId="454"/>
    <cellStyle name="Style 25" xfId="455"/>
    <cellStyle name="Style 26" xfId="456"/>
    <cellStyle name="Style 27" xfId="457"/>
    <cellStyle name="Style 28" xfId="458"/>
    <cellStyle name="Style 29" xfId="459"/>
    <cellStyle name="Style 3" xfId="460"/>
    <cellStyle name="Style 30" xfId="461"/>
    <cellStyle name="Style 31" xfId="462"/>
    <cellStyle name="Style 32" xfId="463"/>
    <cellStyle name="Style 33" xfId="464"/>
    <cellStyle name="Style 34" xfId="465"/>
    <cellStyle name="Style 35" xfId="466"/>
    <cellStyle name="Style 36" xfId="467"/>
    <cellStyle name="Style 37" xfId="468"/>
    <cellStyle name="Style 38" xfId="469"/>
    <cellStyle name="Style 39" xfId="470"/>
    <cellStyle name="Style 4" xfId="471"/>
    <cellStyle name="Style 40" xfId="472"/>
    <cellStyle name="Style 41" xfId="473"/>
    <cellStyle name="Style 42" xfId="474"/>
    <cellStyle name="Style 43" xfId="475"/>
    <cellStyle name="Style 5" xfId="476"/>
    <cellStyle name="Style 6" xfId="477"/>
    <cellStyle name="Style 7" xfId="478"/>
    <cellStyle name="Style 8" xfId="479"/>
    <cellStyle name="Style 9" xfId="480"/>
    <cellStyle name="subhead" xfId="481"/>
    <cellStyle name="T" xfId="482"/>
    <cellStyle name="T_01 DUNGTIEN BIEU SX KINH DOANH" xfId="483"/>
    <cellStyle name="T_01 modul tvql 06 08 09" xfId="484"/>
    <cellStyle name="T_01 modul tvql 06 08 09_J&amp;J BCC+BL 082011 v2" xfId="485"/>
    <cellStyle name="T_01 modul tvql 06 08 09_thaotuan luong 102011 v2" xfId="486"/>
    <cellStyle name="T_Book1" xfId="487"/>
    <cellStyle name="T_Book1_01 DUNGTIEN BIEU SX KINH DOANH" xfId="488"/>
    <cellStyle name="T_Book1_01 modul tvql 06 08 09" xfId="489"/>
    <cellStyle name="T_Book1_01 modul tvql 06 08 09_DA - BL 062011 (new)" xfId="490"/>
    <cellStyle name="T_Book1_01 modul tvql 06 08 09_thaotuan luong 102011" xfId="491"/>
    <cellStyle name="T_Book1_01 modul tvql 06 08 09_thaotuan luong 102011 v2" xfId="492"/>
    <cellStyle name="T_Book1_DA - BL 062011 (new)" xfId="493"/>
    <cellStyle name="T_Book1_DAINAM" xfId="494"/>
    <cellStyle name="T_Book1_DAINAM_DA - BL 062011 (new)" xfId="495"/>
    <cellStyle name="T_Book1_DAINAM_thaotuan luong 102011" xfId="496"/>
    <cellStyle name="T_Book1_DAINAM_thaotuan luong 102011 v2" xfId="497"/>
    <cellStyle name="T_Book1_DSKH" xfId="498"/>
    <cellStyle name="T_Book1_DSKH_J&amp;J BCC+BL 082011 v2" xfId="499"/>
    <cellStyle name="T_Book1_DSKH_thaotuan luong 102011 v2" xfId="500"/>
    <cellStyle name="T_Book1_DUNG TIEN" xfId="501"/>
    <cellStyle name="T_Book1_DUNG TIEN MAUKETOAN" xfId="502"/>
    <cellStyle name="T_Book1_DUNG TIEN MAUKETOAN_J&amp;J BCC+BL 082011 v2" xfId="503"/>
    <cellStyle name="T_Book1_DUNG TIEN MAUKETOAN_thaotuan luong 102011 v2" xfId="504"/>
    <cellStyle name="T_Book1_DUNG TIEN_DA - BL 062011 (new)" xfId="505"/>
    <cellStyle name="T_Book1_DUNG TIEN_thaotuan luong 102011" xfId="506"/>
    <cellStyle name="T_Book1_DUNG TIEN_thaotuan luong 102011 v2" xfId="507"/>
    <cellStyle name="T_Book1_hiep thanh bao gia thang 2008" xfId="508"/>
    <cellStyle name="T_Book1_hiep thanh bao gia thang 2008_DA - BL 062011 (new)" xfId="509"/>
    <cellStyle name="T_Book1_hiep thanh bao gia thang 2008_thaotuan luong 102011" xfId="510"/>
    <cellStyle name="T_Book1_hiep thanh bao gia thang 2008_thaotuan luong 102011 v2" xfId="511"/>
    <cellStyle name="T_Book1_NS DANH MUC  CONGVIEC" xfId="512"/>
    <cellStyle name="T_Book1_NS DANH MUC  CONGVIEC_DA - BL 062011 (new)" xfId="513"/>
    <cellStyle name="T_Book1_NS DANH MUC  CONGVIEC_thaotuan luong 102011" xfId="514"/>
    <cellStyle name="T_Book1_NS DANH MUC  CONGVIEC_thaotuan luong 102011 v2" xfId="515"/>
    <cellStyle name="T_Book1_thaotuan luong 102011" xfId="516"/>
    <cellStyle name="T_Book1_thaotuan luong 102011 v2" xfId="517"/>
    <cellStyle name="T_Book1_VIVA SO QUY 2009" xfId="518"/>
    <cellStyle name="T_Book1_VIVA SO QUY 2009_J&amp;J BCC+BL 082011 v2" xfId="519"/>
    <cellStyle name="T_Book1_VIVA SO QUY 2009_thaotuan luong 102011 v2" xfId="520"/>
    <cellStyle name="T_Copy of VT - BHXH-Q.Phu Nhuan" xfId="521"/>
    <cellStyle name="T_Copy of VT - BHXH-Q.Phu Nhuan_DA - BL 062011 (new)" xfId="522"/>
    <cellStyle name="T_Copy of VT - BHXH-Q.Phu Nhuan_thaotuan luong 102011" xfId="523"/>
    <cellStyle name="T_Copy of VT - BHXH-Q.Phu Nhuan_thaotuan luong 102011 v2" xfId="524"/>
    <cellStyle name="T_DAINAM" xfId="525"/>
    <cellStyle name="T_DAINAM_J&amp;J BCC+BL 082011 v2" xfId="526"/>
    <cellStyle name="T_DAINAM_thaotuan luong 102011 v2" xfId="527"/>
    <cellStyle name="T_DSKH" xfId="528"/>
    <cellStyle name="T_DSKH_DA - BL 062011 (new)" xfId="529"/>
    <cellStyle name="T_DSKH_thaotuan luong 102011" xfId="530"/>
    <cellStyle name="T_DSKH_thaotuan luong 102011 v2" xfId="531"/>
    <cellStyle name="T_DUNG TIEN" xfId="532"/>
    <cellStyle name="T_DUNG TIEN MAUKETOAN" xfId="533"/>
    <cellStyle name="T_DUNG TIEN MAUKETOAN_DA - BL 062011 (new)" xfId="534"/>
    <cellStyle name="T_DUNG TIEN MAUKETOAN_thaotuan luong 102011" xfId="535"/>
    <cellStyle name="T_DUNG TIEN MAUKETOAN_thaotuan luong 102011 v2" xfId="536"/>
    <cellStyle name="T_DUNG TIEN_J&amp;J BCC+BL 082011 v2" xfId="537"/>
    <cellStyle name="T_DUNG TIEN_thaotuan luong 102011 v2" xfId="538"/>
    <cellStyle name="T_hiep thanh bao gia thang 2008" xfId="539"/>
    <cellStyle name="T_hiep thanh bao gia thang 2008_J&amp;J BCC+BL 082011 v2" xfId="540"/>
    <cellStyle name="T_hiep thanh bao gia thang 2008_thaotuan luong 102011 v2" xfId="541"/>
    <cellStyle name="T_HNC- BHXH quy 4-07" xfId="542"/>
    <cellStyle name="T_HNC- BHXH quy 4-07_DA - BL 062011 (new)" xfId="543"/>
    <cellStyle name="T_HNC- BHXH quy 4-07_thaotuan luong 102011" xfId="544"/>
    <cellStyle name="T_HNC- BHXH quy 4-07_thaotuan luong 102011 v2" xfId="545"/>
    <cellStyle name="T_J&amp;J BCC+BL 082011 v2" xfId="546"/>
    <cellStyle name="T_NS DANH MUC  CONGVIEC" xfId="547"/>
    <cellStyle name="T_NS DANH MUC  CONGVIEC_J&amp;J BCC+BL 082011 v2" xfId="548"/>
    <cellStyle name="T_NS DANH MUC  CONGVIEC_thaotuan luong 102011 v2" xfId="549"/>
    <cellStyle name="T_thaotuan luong 102011 v2" xfId="550"/>
    <cellStyle name="T_VIVA SO QUY 2009" xfId="551"/>
    <cellStyle name="T_VIVA SO QUY 2009_DA - BL 062011 (new)" xfId="552"/>
    <cellStyle name="T_VIVA SO QUY 2009_thaotuan luong 102011" xfId="553"/>
    <cellStyle name="T_VIVA SO QUY 2009_thaotuan luong 102011 v2" xfId="554"/>
    <cellStyle name="tde" xfId="555"/>
    <cellStyle name="Text Indent A" xfId="556"/>
    <cellStyle name="Text Indent B" xfId="557"/>
    <cellStyle name="Text Indent C" xfId="558"/>
    <cellStyle name="th" xfId="559"/>
    <cellStyle name="þ_x001d_ð¤_x000c_¯þ_x0014__x000d_¨þU_x0001_À_x0004_ _x0015__x000f__x0001__x0001_" xfId="560"/>
    <cellStyle name="Tiªu ®Ì" xfId="561"/>
    <cellStyle name="Times New Roman" xfId="562"/>
    <cellStyle name="TiÓu môc" xfId="563"/>
    <cellStyle name="Title" xfId="564" builtinId="15" customBuiltin="1"/>
    <cellStyle name="Total" xfId="565" builtinId="25" customBuiltin="1"/>
    <cellStyle name="Tusental (0)_pldt" xfId="566"/>
    <cellStyle name="Tusental_pldt" xfId="567"/>
    <cellStyle name="Valuta (0)_pldt" xfId="568"/>
    <cellStyle name="Valuta_pldt" xfId="569"/>
    <cellStyle name="viet" xfId="570"/>
    <cellStyle name="viet2" xfId="571"/>
    <cellStyle name="vntxt2" xfId="572"/>
    <cellStyle name="Währung [0]_UXO VII" xfId="573"/>
    <cellStyle name="Währung_UXO VII" xfId="574"/>
    <cellStyle name="Warning Text" xfId="575" builtinId="11" customBuiltin="1"/>
    <cellStyle name="xuan" xfId="576"/>
    <cellStyle name="Обычный_Elec-12 Fin" xfId="577"/>
    <cellStyle name="เครื่องหมายสกุลเงิน [0]_FTC_OFFER" xfId="578"/>
    <cellStyle name="เครื่องหมายสกุลเงิน_FTC_OFFER" xfId="579"/>
    <cellStyle name="ปกติ_FTC_OFFER" xfId="580"/>
    <cellStyle name=" [0.00]_ Att. 1- Cover" xfId="605"/>
    <cellStyle name="_ Att. 1- Cover" xfId="606"/>
    <cellStyle name="?_ Att. 1- Cover" xfId="607"/>
    <cellStyle name="똿뗦먛귟 [0.00]_PRODUCT DETAIL Q1" xfId="581"/>
    <cellStyle name="똿뗦먛귟_PRODUCT DETAIL Q1" xfId="582"/>
    <cellStyle name="믅됞 [0.00]_PRODUCT DETAIL Q1" xfId="583"/>
    <cellStyle name="믅됞_PRODUCT DETAIL Q1" xfId="584"/>
    <cellStyle name="백분율_95" xfId="585"/>
    <cellStyle name="뷭?_BOOKSHIP" xfId="586"/>
    <cellStyle name="쉼표 [0]_PCS-3~1" xfId="587"/>
    <cellStyle name="쉼표_EQ_ROOM cost" xfId="588"/>
    <cellStyle name="콤마 [0]_ 비목별 월별기술 " xfId="592"/>
    <cellStyle name="콤마_ 비목별 월별기술 " xfId="593"/>
    <cellStyle name="통화 [0]_1202" xfId="594"/>
    <cellStyle name="통화_1202" xfId="595"/>
    <cellStyle name="표준_(정보부문)월별인원계획" xfId="596"/>
    <cellStyle name="一般_00Q3902REV.1" xfId="589"/>
    <cellStyle name="千分位[0]_00Q3902REV.1" xfId="590"/>
    <cellStyle name="千分位_00Q3902REV.1" xfId="591"/>
    <cellStyle name="桁区切り [0.00]_List-dwg瑩畳䵜楡" xfId="597"/>
    <cellStyle name="桁区切り_List-dwgist-" xfId="598"/>
    <cellStyle name="標準_List-dwgis" xfId="599"/>
    <cellStyle name="貨幣 [0]_00Q3902REV.1" xfId="600"/>
    <cellStyle name="貨幣[0]_BRE" xfId="601"/>
    <cellStyle name="貨幣_00Q3902REV.1" xfId="602"/>
    <cellStyle name="通貨 [0.00]_List-dwgwg" xfId="603"/>
    <cellStyle name="通貨_List-dwgis" xfId="604"/>
  </cellStyles>
  <dxfs count="27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33"/>
  </sheetPr>
  <dimension ref="A1:M129"/>
  <sheetViews>
    <sheetView topLeftCell="A8" workbookViewId="0">
      <pane ySplit="3" topLeftCell="A17" activePane="bottomLeft" state="frozen"/>
      <selection activeCell="A8" sqref="A8"/>
      <selection pane="bottomLeft" activeCell="J18" sqref="J18:J19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43" customWidth="1"/>
    <col min="6" max="6" width="10.85546875" style="27" customWidth="1"/>
    <col min="7" max="10" width="9.7109375" style="27" customWidth="1"/>
    <col min="11" max="11" width="13.28515625" style="43" customWidth="1"/>
    <col min="12" max="13" width="11.85546875" style="43" customWidth="1"/>
    <col min="14" max="16384" width="9.140625" style="2"/>
  </cols>
  <sheetData>
    <row r="1" spans="1:13" ht="15">
      <c r="A1" s="1" t="s">
        <v>77</v>
      </c>
    </row>
    <row r="2" spans="1:13" ht="15">
      <c r="A2" s="1" t="s">
        <v>78</v>
      </c>
    </row>
    <row r="3" spans="1:13" ht="15">
      <c r="A3" s="1"/>
    </row>
    <row r="4" spans="1:13">
      <c r="A4" s="100"/>
      <c r="B4" s="100"/>
    </row>
    <row r="5" spans="1:13" ht="23.25" customHeight="1">
      <c r="A5" s="258" t="s">
        <v>27</v>
      </c>
      <c r="B5" s="258"/>
      <c r="C5" s="258"/>
      <c r="D5" s="258"/>
      <c r="E5" s="258"/>
      <c r="F5" s="258"/>
      <c r="G5" s="258"/>
      <c r="H5" s="258"/>
      <c r="I5" s="258"/>
      <c r="J5" s="258"/>
      <c r="K5" s="258"/>
    </row>
    <row r="6" spans="1:13" ht="23.25" customHeight="1">
      <c r="A6" s="259" t="str">
        <f>"Tháng "&amp;'CC -5'!C4&amp;" năm 2011"</f>
        <v>Tháng  năm 2011</v>
      </c>
      <c r="B6" s="259"/>
      <c r="C6" s="259"/>
      <c r="D6" s="259"/>
      <c r="E6" s="259"/>
      <c r="F6" s="259"/>
      <c r="G6" s="259"/>
      <c r="H6" s="259"/>
      <c r="I6" s="259"/>
      <c r="J6" s="259"/>
      <c r="K6" s="259"/>
    </row>
    <row r="7" spans="1:13" s="116" customFormat="1" ht="19.5" customHeight="1">
      <c r="A7" s="114"/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5"/>
      <c r="M7" s="115"/>
    </row>
    <row r="8" spans="1:13" s="1" customFormat="1" ht="20.25" customHeight="1">
      <c r="A8" s="260" t="s">
        <v>16</v>
      </c>
      <c r="B8" s="260" t="s">
        <v>3</v>
      </c>
      <c r="C8" s="260" t="s">
        <v>1</v>
      </c>
      <c r="D8" s="260" t="s">
        <v>2</v>
      </c>
      <c r="E8" s="263" t="s">
        <v>31</v>
      </c>
      <c r="F8" s="263"/>
      <c r="G8" s="263" t="s">
        <v>28</v>
      </c>
      <c r="H8" s="263"/>
      <c r="I8" s="263"/>
      <c r="J8" s="263"/>
      <c r="K8" s="261" t="s">
        <v>10</v>
      </c>
      <c r="L8" s="98"/>
      <c r="M8" s="98"/>
    </row>
    <row r="9" spans="1:13" s="1" customFormat="1" ht="36.75" customHeight="1">
      <c r="A9" s="260"/>
      <c r="B9" s="260"/>
      <c r="C9" s="260"/>
      <c r="D9" s="260"/>
      <c r="E9" s="156" t="s">
        <v>82</v>
      </c>
      <c r="F9" s="156">
        <v>2015</v>
      </c>
      <c r="G9" s="155" t="s">
        <v>152</v>
      </c>
      <c r="H9" s="182" t="s">
        <v>153</v>
      </c>
      <c r="I9" s="182" t="s">
        <v>160</v>
      </c>
      <c r="J9" s="155" t="s">
        <v>163</v>
      </c>
      <c r="K9" s="262"/>
      <c r="L9" s="98"/>
      <c r="M9" s="98"/>
    </row>
    <row r="10" spans="1:13" ht="14.25" customHeight="1">
      <c r="A10" s="118">
        <v>1</v>
      </c>
      <c r="B10" s="118">
        <v>1</v>
      </c>
      <c r="C10" s="118">
        <v>2</v>
      </c>
      <c r="D10" s="118">
        <v>3</v>
      </c>
      <c r="E10" s="118">
        <v>4</v>
      </c>
      <c r="F10" s="118">
        <v>5</v>
      </c>
      <c r="G10" s="118">
        <v>6</v>
      </c>
      <c r="H10" s="118">
        <v>7</v>
      </c>
      <c r="I10" s="118">
        <v>8</v>
      </c>
      <c r="J10" s="118">
        <v>9</v>
      </c>
      <c r="K10" s="118">
        <v>10</v>
      </c>
    </row>
    <row r="11" spans="1:13" s="145" customFormat="1" ht="21.75" customHeight="1">
      <c r="A11" s="142">
        <f>IF(B11&lt;&gt;"",ROW()-10,"")</f>
        <v>1</v>
      </c>
      <c r="B11" s="147" t="s">
        <v>83</v>
      </c>
      <c r="C11" s="190" t="s">
        <v>119</v>
      </c>
      <c r="D11" s="147" t="s">
        <v>85</v>
      </c>
      <c r="E11" s="189">
        <v>5000000</v>
      </c>
      <c r="F11" s="137"/>
      <c r="G11" s="137"/>
      <c r="H11" s="137"/>
      <c r="I11" s="137"/>
      <c r="J11" s="137"/>
      <c r="K11" s="137"/>
      <c r="L11" s="143"/>
      <c r="M11" s="144"/>
    </row>
    <row r="12" spans="1:13" s="145" customFormat="1" ht="21.75" customHeight="1">
      <c r="A12" s="142">
        <f t="shared" ref="A12:A40" si="0">IF(B12&lt;&gt;"",ROW()-10,"")</f>
        <v>2</v>
      </c>
      <c r="B12" s="147" t="s">
        <v>84</v>
      </c>
      <c r="C12" s="190" t="s">
        <v>120</v>
      </c>
      <c r="D12" s="147" t="s">
        <v>85</v>
      </c>
      <c r="E12" s="189">
        <v>10000000</v>
      </c>
      <c r="F12" s="137"/>
      <c r="G12" s="137"/>
      <c r="H12" s="137"/>
      <c r="I12" s="137"/>
      <c r="J12" s="137"/>
      <c r="K12" s="137"/>
      <c r="L12" s="143"/>
      <c r="M12" s="144"/>
    </row>
    <row r="13" spans="1:13" s="145" customFormat="1" ht="21.75" customHeight="1">
      <c r="A13" s="142">
        <f t="shared" si="0"/>
        <v>3</v>
      </c>
      <c r="B13" s="142" t="s">
        <v>121</v>
      </c>
      <c r="C13" s="191" t="s">
        <v>94</v>
      </c>
      <c r="D13" s="142" t="s">
        <v>86</v>
      </c>
      <c r="E13" s="194">
        <v>3200000</v>
      </c>
      <c r="F13" s="137"/>
      <c r="G13" s="137"/>
      <c r="H13" s="137"/>
      <c r="I13" s="247"/>
      <c r="J13" s="137"/>
      <c r="K13" s="137"/>
      <c r="L13" s="143"/>
      <c r="M13" s="144"/>
    </row>
    <row r="14" spans="1:13" s="153" customFormat="1" ht="21.75" customHeight="1">
      <c r="A14" s="142">
        <f t="shared" si="0"/>
        <v>4</v>
      </c>
      <c r="B14" s="142" t="s">
        <v>122</v>
      </c>
      <c r="C14" s="191" t="s">
        <v>95</v>
      </c>
      <c r="D14" s="142" t="s">
        <v>86</v>
      </c>
      <c r="E14" s="194">
        <v>3800000</v>
      </c>
      <c r="F14" s="150"/>
      <c r="G14" s="150"/>
      <c r="H14" s="150"/>
      <c r="I14" s="247"/>
      <c r="J14" s="137"/>
      <c r="K14" s="150"/>
      <c r="L14" s="151"/>
      <c r="M14" s="152"/>
    </row>
    <row r="15" spans="1:13" s="153" customFormat="1" ht="21.75" customHeight="1">
      <c r="A15" s="142">
        <f t="shared" si="0"/>
        <v>5</v>
      </c>
      <c r="B15" s="142" t="s">
        <v>123</v>
      </c>
      <c r="C15" s="191" t="s">
        <v>142</v>
      </c>
      <c r="D15" s="142" t="s">
        <v>86</v>
      </c>
      <c r="E15" s="194">
        <v>5000000</v>
      </c>
      <c r="F15" s="150"/>
      <c r="G15" s="150"/>
      <c r="H15" s="150"/>
      <c r="I15" s="247">
        <v>400000</v>
      </c>
      <c r="J15" s="137"/>
      <c r="K15" s="150"/>
      <c r="L15" s="151"/>
      <c r="M15" s="152"/>
    </row>
    <row r="16" spans="1:13" s="153" customFormat="1" ht="21.75" customHeight="1">
      <c r="A16" s="142">
        <f t="shared" si="0"/>
        <v>6</v>
      </c>
      <c r="B16" s="142" t="s">
        <v>124</v>
      </c>
      <c r="C16" s="191" t="s">
        <v>96</v>
      </c>
      <c r="D16" s="142" t="s">
        <v>86</v>
      </c>
      <c r="E16" s="194">
        <v>3000000</v>
      </c>
      <c r="F16" s="150"/>
      <c r="G16" s="150"/>
      <c r="H16" s="150"/>
      <c r="I16" s="247">
        <v>400000</v>
      </c>
      <c r="J16" s="137"/>
      <c r="K16" s="150"/>
      <c r="L16" s="151"/>
      <c r="M16" s="152"/>
    </row>
    <row r="17" spans="1:13" s="153" customFormat="1" ht="21.75" customHeight="1">
      <c r="A17" s="142">
        <f t="shared" si="0"/>
        <v>7</v>
      </c>
      <c r="B17" s="142" t="s">
        <v>125</v>
      </c>
      <c r="C17" s="192" t="s">
        <v>97</v>
      </c>
      <c r="D17" s="142" t="s">
        <v>86</v>
      </c>
      <c r="E17" s="194">
        <v>3000000</v>
      </c>
      <c r="F17" s="150"/>
      <c r="G17" s="150"/>
      <c r="H17" s="247">
        <v>400000</v>
      </c>
      <c r="I17" s="247">
        <v>400000</v>
      </c>
      <c r="J17" s="137"/>
      <c r="K17" s="150"/>
      <c r="L17" s="151"/>
      <c r="M17" s="152"/>
    </row>
    <row r="18" spans="1:13" s="153" customFormat="1" ht="21.75" customHeight="1">
      <c r="A18" s="142">
        <f t="shared" si="0"/>
        <v>8</v>
      </c>
      <c r="B18" s="148" t="s">
        <v>126</v>
      </c>
      <c r="C18" s="196" t="s">
        <v>99</v>
      </c>
      <c r="D18" s="147" t="s">
        <v>150</v>
      </c>
      <c r="E18" s="199">
        <v>4000000</v>
      </c>
      <c r="F18" s="150"/>
      <c r="G18" s="150"/>
      <c r="H18" s="150"/>
      <c r="I18" s="247">
        <v>400000</v>
      </c>
      <c r="J18" s="137">
        <v>200000</v>
      </c>
      <c r="K18" s="150"/>
      <c r="L18" s="151"/>
      <c r="M18" s="152"/>
    </row>
    <row r="19" spans="1:13" s="153" customFormat="1" ht="21.75" customHeight="1">
      <c r="A19" s="142">
        <f t="shared" si="0"/>
        <v>9</v>
      </c>
      <c r="B19" s="148" t="s">
        <v>127</v>
      </c>
      <c r="C19" s="198" t="s">
        <v>100</v>
      </c>
      <c r="D19" s="147" t="s">
        <v>150</v>
      </c>
      <c r="E19" s="199">
        <v>6500000</v>
      </c>
      <c r="F19" s="150"/>
      <c r="G19" s="150"/>
      <c r="H19" s="150"/>
      <c r="I19" s="247">
        <v>400000</v>
      </c>
      <c r="J19" s="137">
        <v>200000</v>
      </c>
      <c r="K19" s="150"/>
      <c r="L19" s="151"/>
      <c r="M19" s="152"/>
    </row>
    <row r="20" spans="1:13" s="153" customFormat="1" ht="21.75" customHeight="1">
      <c r="A20" s="142">
        <f t="shared" si="0"/>
        <v>10</v>
      </c>
      <c r="B20" s="148" t="s">
        <v>128</v>
      </c>
      <c r="C20" s="198" t="s">
        <v>103</v>
      </c>
      <c r="D20" s="147" t="s">
        <v>150</v>
      </c>
      <c r="E20" s="197">
        <v>7000000</v>
      </c>
      <c r="F20" s="150"/>
      <c r="G20" s="150">
        <v>200000</v>
      </c>
      <c r="H20" s="150">
        <v>500000</v>
      </c>
      <c r="I20" s="247">
        <v>400000</v>
      </c>
      <c r="J20" s="137"/>
      <c r="K20" s="150"/>
      <c r="L20" s="151"/>
      <c r="M20" s="152"/>
    </row>
    <row r="21" spans="1:13" s="153" customFormat="1" ht="21.75" customHeight="1">
      <c r="A21" s="142">
        <f t="shared" si="0"/>
        <v>11</v>
      </c>
      <c r="B21" s="148" t="s">
        <v>129</v>
      </c>
      <c r="C21" s="198" t="s">
        <v>104</v>
      </c>
      <c r="D21" s="147" t="s">
        <v>150</v>
      </c>
      <c r="E21" s="197">
        <v>5550000</v>
      </c>
      <c r="F21" s="150"/>
      <c r="G21" s="150"/>
      <c r="H21" s="150">
        <v>100000</v>
      </c>
      <c r="I21" s="247">
        <v>400000</v>
      </c>
      <c r="J21" s="137">
        <v>300000</v>
      </c>
      <c r="K21" s="150"/>
      <c r="L21" s="151"/>
      <c r="M21" s="152"/>
    </row>
    <row r="22" spans="1:13" s="153" customFormat="1" ht="21.75" customHeight="1">
      <c r="A22" s="142">
        <f t="shared" si="0"/>
        <v>12</v>
      </c>
      <c r="B22" s="148" t="s">
        <v>130</v>
      </c>
      <c r="C22" s="198" t="s">
        <v>105</v>
      </c>
      <c r="D22" s="147" t="s">
        <v>150</v>
      </c>
      <c r="E22" s="197">
        <v>3450000</v>
      </c>
      <c r="F22" s="150"/>
      <c r="G22" s="150"/>
      <c r="H22" s="150"/>
      <c r="I22" s="247">
        <v>200000</v>
      </c>
      <c r="J22" s="137">
        <v>200000</v>
      </c>
      <c r="K22" s="150"/>
      <c r="L22" s="151"/>
      <c r="M22" s="152"/>
    </row>
    <row r="23" spans="1:13" s="153" customFormat="1" ht="21.75" customHeight="1">
      <c r="A23" s="142">
        <f t="shared" si="0"/>
        <v>13</v>
      </c>
      <c r="B23" s="148" t="s">
        <v>131</v>
      </c>
      <c r="C23" s="198" t="s">
        <v>106</v>
      </c>
      <c r="D23" s="147" t="s">
        <v>150</v>
      </c>
      <c r="E23" s="197">
        <v>3800000</v>
      </c>
      <c r="F23" s="150"/>
      <c r="G23" s="150"/>
      <c r="H23" s="150"/>
      <c r="I23" s="247">
        <v>400000</v>
      </c>
      <c r="J23" s="137">
        <v>300000</v>
      </c>
      <c r="K23" s="150"/>
      <c r="L23" s="151"/>
      <c r="M23" s="152"/>
    </row>
    <row r="24" spans="1:13" s="153" customFormat="1" ht="21.75" customHeight="1">
      <c r="A24" s="142">
        <f t="shared" si="0"/>
        <v>14</v>
      </c>
      <c r="B24" s="148" t="s">
        <v>132</v>
      </c>
      <c r="C24" s="198" t="s">
        <v>107</v>
      </c>
      <c r="D24" s="147" t="s">
        <v>150</v>
      </c>
      <c r="E24" s="197">
        <v>5550000</v>
      </c>
      <c r="F24" s="150"/>
      <c r="G24" s="150"/>
      <c r="H24" s="150">
        <v>100000</v>
      </c>
      <c r="I24" s="247">
        <v>400000</v>
      </c>
      <c r="J24" s="137">
        <v>300000</v>
      </c>
      <c r="K24" s="150"/>
      <c r="L24" s="151"/>
      <c r="M24" s="152"/>
    </row>
    <row r="25" spans="1:13" s="153" customFormat="1" ht="21.75" customHeight="1">
      <c r="A25" s="142">
        <f t="shared" si="0"/>
        <v>15</v>
      </c>
      <c r="B25" s="148" t="s">
        <v>133</v>
      </c>
      <c r="C25" s="149" t="s">
        <v>108</v>
      </c>
      <c r="D25" s="147" t="s">
        <v>150</v>
      </c>
      <c r="E25" s="197">
        <v>5550000</v>
      </c>
      <c r="F25" s="150"/>
      <c r="G25" s="150"/>
      <c r="H25" s="150">
        <v>100000</v>
      </c>
      <c r="I25" s="247">
        <v>400000</v>
      </c>
      <c r="J25" s="137">
        <v>300000</v>
      </c>
      <c r="K25" s="150"/>
      <c r="L25" s="151"/>
      <c r="M25" s="152"/>
    </row>
    <row r="26" spans="1:13" s="153" customFormat="1" ht="21.75" customHeight="1">
      <c r="A26" s="142">
        <f t="shared" si="0"/>
        <v>16</v>
      </c>
      <c r="B26" s="148" t="s">
        <v>134</v>
      </c>
      <c r="C26" s="149" t="s">
        <v>109</v>
      </c>
      <c r="D26" s="147" t="s">
        <v>150</v>
      </c>
      <c r="E26" s="197">
        <v>5000000</v>
      </c>
      <c r="F26" s="150"/>
      <c r="G26" s="150"/>
      <c r="H26" s="150">
        <v>100000</v>
      </c>
      <c r="I26" s="247">
        <v>100000</v>
      </c>
      <c r="J26" s="137">
        <v>300000</v>
      </c>
      <c r="K26" s="150"/>
      <c r="L26" s="151"/>
      <c r="M26" s="152"/>
    </row>
    <row r="27" spans="1:13" s="153" customFormat="1" ht="21.75" customHeight="1">
      <c r="A27" s="142">
        <f t="shared" si="0"/>
        <v>17</v>
      </c>
      <c r="B27" s="148" t="s">
        <v>135</v>
      </c>
      <c r="C27" s="149" t="s">
        <v>110</v>
      </c>
      <c r="D27" s="147" t="s">
        <v>150</v>
      </c>
      <c r="E27" s="197">
        <v>3000000</v>
      </c>
      <c r="F27" s="150"/>
      <c r="G27" s="150"/>
      <c r="H27" s="150"/>
      <c r="I27" s="247">
        <v>400000</v>
      </c>
      <c r="J27" s="137">
        <v>200000</v>
      </c>
      <c r="K27" s="150"/>
      <c r="L27" s="151"/>
      <c r="M27" s="152"/>
    </row>
    <row r="28" spans="1:13" s="153" customFormat="1" ht="21.75" customHeight="1">
      <c r="A28" s="142">
        <f t="shared" si="0"/>
        <v>18</v>
      </c>
      <c r="B28" s="148" t="s">
        <v>136</v>
      </c>
      <c r="C28" s="149" t="s">
        <v>111</v>
      </c>
      <c r="D28" s="147" t="s">
        <v>150</v>
      </c>
      <c r="E28" s="197">
        <v>3200000</v>
      </c>
      <c r="F28" s="150"/>
      <c r="G28" s="150"/>
      <c r="H28" s="150"/>
      <c r="I28" s="247">
        <v>400000</v>
      </c>
      <c r="J28" s="137">
        <v>200000</v>
      </c>
      <c r="K28" s="150"/>
      <c r="L28" s="151"/>
      <c r="M28" s="152"/>
    </row>
    <row r="29" spans="1:13" s="153" customFormat="1" ht="21.75" customHeight="1">
      <c r="A29" s="142">
        <f t="shared" si="0"/>
        <v>19</v>
      </c>
      <c r="B29" s="127" t="s">
        <v>137</v>
      </c>
      <c r="C29" s="82" t="s">
        <v>113</v>
      </c>
      <c r="D29" s="147" t="s">
        <v>151</v>
      </c>
      <c r="E29" s="195">
        <v>8100000</v>
      </c>
      <c r="F29" s="150"/>
      <c r="G29" s="150">
        <v>200000</v>
      </c>
      <c r="H29" s="150">
        <v>500000</v>
      </c>
      <c r="I29" s="247">
        <v>400000</v>
      </c>
      <c r="J29" s="137"/>
      <c r="K29" s="150"/>
      <c r="L29" s="151"/>
      <c r="M29" s="152"/>
    </row>
    <row r="30" spans="1:13" s="153" customFormat="1" ht="21.75" customHeight="1">
      <c r="A30" s="142">
        <f t="shared" si="0"/>
        <v>20</v>
      </c>
      <c r="B30" s="127" t="s">
        <v>138</v>
      </c>
      <c r="C30" s="82" t="s">
        <v>114</v>
      </c>
      <c r="D30" s="147" t="s">
        <v>151</v>
      </c>
      <c r="E30" s="195">
        <v>5650000</v>
      </c>
      <c r="F30" s="150"/>
      <c r="G30" s="150"/>
      <c r="H30" s="150"/>
      <c r="I30" s="247">
        <v>400000</v>
      </c>
      <c r="J30" s="137">
        <v>300000</v>
      </c>
      <c r="K30" s="150"/>
      <c r="L30" s="151"/>
      <c r="M30" s="152"/>
    </row>
    <row r="31" spans="1:13" s="153" customFormat="1" ht="21.75" customHeight="1">
      <c r="A31" s="142">
        <f t="shared" si="0"/>
        <v>21</v>
      </c>
      <c r="B31" s="127" t="s">
        <v>139</v>
      </c>
      <c r="C31" s="82" t="s">
        <v>115</v>
      </c>
      <c r="D31" s="147" t="s">
        <v>151</v>
      </c>
      <c r="E31" s="195">
        <v>3500000</v>
      </c>
      <c r="F31" s="150"/>
      <c r="G31" s="150"/>
      <c r="H31" s="150">
        <v>100000</v>
      </c>
      <c r="I31" s="247">
        <v>400000</v>
      </c>
      <c r="J31" s="137"/>
      <c r="K31" s="150"/>
      <c r="L31" s="151"/>
      <c r="M31" s="152"/>
    </row>
    <row r="32" spans="1:13" s="153" customFormat="1" ht="21.75" customHeight="1">
      <c r="A32" s="142">
        <f t="shared" si="0"/>
        <v>22</v>
      </c>
      <c r="B32" s="127" t="s">
        <v>140</v>
      </c>
      <c r="C32" s="82" t="s">
        <v>116</v>
      </c>
      <c r="D32" s="147" t="s">
        <v>151</v>
      </c>
      <c r="E32" s="195">
        <v>4000000</v>
      </c>
      <c r="F32" s="150"/>
      <c r="G32" s="150"/>
      <c r="H32" s="150"/>
      <c r="I32" s="247">
        <v>400000</v>
      </c>
      <c r="J32" s="137">
        <v>200000</v>
      </c>
      <c r="K32" s="150"/>
      <c r="L32" s="151"/>
      <c r="M32" s="152"/>
    </row>
    <row r="33" spans="1:13" s="153" customFormat="1" ht="21.75" customHeight="1">
      <c r="A33" s="142">
        <f t="shared" si="0"/>
        <v>23</v>
      </c>
      <c r="B33" s="127" t="s">
        <v>141</v>
      </c>
      <c r="C33" s="82" t="s">
        <v>117</v>
      </c>
      <c r="D33" s="147" t="s">
        <v>151</v>
      </c>
      <c r="E33" s="195">
        <v>3500000</v>
      </c>
      <c r="F33" s="150"/>
      <c r="G33" s="150"/>
      <c r="H33" s="150"/>
      <c r="I33" s="247">
        <v>400000</v>
      </c>
      <c r="J33" s="137">
        <v>200000</v>
      </c>
      <c r="K33" s="150"/>
      <c r="L33" s="151"/>
      <c r="M33" s="152"/>
    </row>
    <row r="34" spans="1:13" s="153" customFormat="1" ht="21.75" customHeight="1">
      <c r="A34" s="142"/>
      <c r="B34" s="148"/>
      <c r="C34" s="193"/>
      <c r="D34" s="147"/>
      <c r="E34" s="150"/>
      <c r="F34" s="150"/>
      <c r="G34" s="150"/>
      <c r="H34" s="150"/>
      <c r="I34" s="150"/>
      <c r="J34" s="137"/>
      <c r="K34" s="150"/>
      <c r="L34" s="151"/>
      <c r="M34" s="152"/>
    </row>
    <row r="35" spans="1:13" s="153" customFormat="1" ht="21.75" customHeight="1">
      <c r="A35" s="142"/>
      <c r="B35" s="148"/>
      <c r="C35" s="193"/>
      <c r="D35" s="147"/>
      <c r="E35" s="150"/>
      <c r="F35" s="150"/>
      <c r="G35" s="150"/>
      <c r="H35" s="150"/>
      <c r="I35" s="137"/>
      <c r="J35" s="150"/>
      <c r="K35" s="150"/>
      <c r="L35" s="151"/>
      <c r="M35" s="152"/>
    </row>
    <row r="36" spans="1:13" s="153" customFormat="1" ht="21.75" customHeight="1">
      <c r="A36" s="142"/>
      <c r="B36" s="148"/>
      <c r="C36" s="193"/>
      <c r="D36" s="147"/>
      <c r="E36" s="150"/>
      <c r="F36" s="150"/>
      <c r="G36" s="150"/>
      <c r="H36" s="150"/>
      <c r="I36" s="137"/>
      <c r="J36" s="150"/>
      <c r="K36" s="150"/>
      <c r="L36" s="151"/>
      <c r="M36" s="152"/>
    </row>
    <row r="37" spans="1:13" s="153" customFormat="1" ht="21.75" customHeight="1">
      <c r="A37" s="142"/>
      <c r="B37" s="148"/>
      <c r="C37" s="193"/>
      <c r="D37" s="147"/>
      <c r="E37" s="150"/>
      <c r="F37" s="150"/>
      <c r="G37" s="150"/>
      <c r="H37" s="150"/>
      <c r="I37" s="150"/>
      <c r="J37" s="150"/>
      <c r="K37" s="150"/>
      <c r="L37" s="151"/>
      <c r="M37" s="152"/>
    </row>
    <row r="38" spans="1:13" s="153" customFormat="1" ht="21.75" customHeight="1">
      <c r="A38" s="142"/>
      <c r="B38" s="148"/>
      <c r="C38" s="193"/>
      <c r="D38" s="147"/>
      <c r="E38" s="150"/>
      <c r="F38" s="150"/>
      <c r="G38" s="150"/>
      <c r="H38" s="150"/>
      <c r="I38" s="150"/>
      <c r="J38" s="150"/>
      <c r="K38" s="150"/>
      <c r="L38" s="151"/>
      <c r="M38" s="152"/>
    </row>
    <row r="39" spans="1:13" s="153" customFormat="1" ht="21.75" customHeight="1">
      <c r="A39" s="142"/>
      <c r="B39" s="148"/>
      <c r="C39" s="193"/>
      <c r="D39" s="147"/>
      <c r="E39" s="150"/>
      <c r="F39" s="150"/>
      <c r="G39" s="150"/>
      <c r="H39" s="150"/>
      <c r="I39" s="150"/>
      <c r="J39" s="150"/>
      <c r="K39" s="150"/>
      <c r="L39" s="151"/>
      <c r="M39" s="152"/>
    </row>
    <row r="40" spans="1:13" ht="21.75" customHeight="1">
      <c r="A40" s="142" t="str">
        <f t="shared" si="0"/>
        <v/>
      </c>
      <c r="B40" s="128"/>
      <c r="C40" s="134"/>
      <c r="D40" s="133"/>
      <c r="E40" s="135"/>
      <c r="F40" s="135"/>
      <c r="G40" s="135"/>
      <c r="H40" s="135"/>
      <c r="I40" s="135"/>
      <c r="J40" s="135"/>
      <c r="K40" s="135"/>
      <c r="L40" s="98"/>
    </row>
    <row r="41" spans="1:13" ht="21.75" customHeight="1">
      <c r="A41" s="252" t="s">
        <v>20</v>
      </c>
      <c r="B41" s="253"/>
      <c r="C41" s="253"/>
      <c r="D41" s="139" t="s">
        <v>59</v>
      </c>
      <c r="E41" s="136">
        <f>SUM(E11:E40)</f>
        <v>110350000</v>
      </c>
      <c r="F41" s="136">
        <f>SUM(F11:F40)</f>
        <v>0</v>
      </c>
      <c r="G41" s="136">
        <f>SUM(G11:G40)</f>
        <v>400000</v>
      </c>
      <c r="H41" s="136"/>
      <c r="I41" s="136"/>
      <c r="J41" s="136">
        <f>SUM(J11:J40)</f>
        <v>3200000</v>
      </c>
      <c r="K41" s="136"/>
      <c r="L41" s="98"/>
    </row>
    <row r="42" spans="1:13" ht="21.75" customHeight="1">
      <c r="A42" s="254"/>
      <c r="B42" s="255"/>
      <c r="C42" s="255"/>
      <c r="D42" s="139" t="s">
        <v>60</v>
      </c>
      <c r="E42" s="136"/>
      <c r="F42" s="136"/>
      <c r="G42" s="136"/>
      <c r="H42" s="136"/>
      <c r="I42" s="136"/>
      <c r="J42" s="136"/>
      <c r="K42" s="136"/>
      <c r="L42" s="98"/>
    </row>
    <row r="43" spans="1:13" ht="21.75" customHeight="1">
      <c r="A43" s="256"/>
      <c r="B43" s="257"/>
      <c r="C43" s="257"/>
      <c r="D43" s="139" t="s">
        <v>61</v>
      </c>
      <c r="E43" s="136"/>
      <c r="F43" s="136"/>
      <c r="G43" s="136"/>
      <c r="H43" s="136"/>
      <c r="I43" s="136"/>
      <c r="J43" s="136"/>
      <c r="K43" s="136"/>
      <c r="L43" s="98"/>
    </row>
    <row r="44" spans="1:13" ht="11.25" customHeight="1">
      <c r="A44" s="17"/>
      <c r="B44" s="17"/>
      <c r="C44" s="72"/>
      <c r="D44" s="72"/>
      <c r="E44" s="72"/>
      <c r="F44" s="72"/>
      <c r="G44" s="72"/>
      <c r="H44" s="72"/>
      <c r="I44" s="72"/>
      <c r="J44" s="72"/>
      <c r="K44" s="72"/>
    </row>
    <row r="45" spans="1:13" ht="11.25" customHeight="1">
      <c r="A45" s="17"/>
      <c r="B45" s="17"/>
      <c r="C45" s="72"/>
      <c r="D45" s="72"/>
      <c r="E45" s="72"/>
      <c r="F45" s="72"/>
      <c r="G45" s="72"/>
      <c r="H45" s="72"/>
      <c r="I45" s="72"/>
      <c r="J45" s="72"/>
      <c r="K45" s="72"/>
    </row>
    <row r="46" spans="1:13" ht="16.5" customHeight="1">
      <c r="A46" s="17"/>
      <c r="B46" s="17"/>
      <c r="C46" s="18" t="s">
        <v>11</v>
      </c>
      <c r="D46" s="19"/>
      <c r="E46" s="20"/>
      <c r="F46" s="26"/>
      <c r="G46" s="26"/>
      <c r="H46" s="26"/>
      <c r="I46" s="26"/>
      <c r="J46" s="26"/>
      <c r="K46" s="44"/>
    </row>
    <row r="47" spans="1:13" ht="11.25" customHeight="1">
      <c r="A47" s="17"/>
      <c r="B47" s="17"/>
      <c r="C47" s="18"/>
      <c r="D47" s="19"/>
      <c r="E47" s="20">
        <f>3317000*0.105</f>
        <v>348285</v>
      </c>
      <c r="F47" s="26"/>
      <c r="G47" s="26"/>
      <c r="H47" s="26"/>
      <c r="I47" s="26"/>
      <c r="J47" s="26"/>
      <c r="K47" s="44"/>
    </row>
    <row r="48" spans="1:13" ht="11.25" customHeight="1">
      <c r="A48" s="17"/>
      <c r="B48" s="17"/>
      <c r="C48" s="18"/>
      <c r="D48" s="19"/>
      <c r="E48" s="20"/>
      <c r="F48" s="26"/>
      <c r="G48" s="26"/>
      <c r="H48" s="26"/>
      <c r="I48" s="26"/>
      <c r="J48" s="26"/>
      <c r="K48" s="44"/>
    </row>
    <row r="49" spans="1:11" ht="11.25" customHeight="1">
      <c r="A49" s="17"/>
      <c r="B49" s="17"/>
      <c r="C49" s="18"/>
      <c r="D49" s="19"/>
      <c r="E49" s="20"/>
      <c r="F49" s="26"/>
      <c r="G49" s="26"/>
      <c r="H49" s="26"/>
      <c r="I49" s="26"/>
      <c r="J49" s="26"/>
      <c r="K49" s="44"/>
    </row>
    <row r="50" spans="1:11" ht="11.25" customHeight="1">
      <c r="A50" s="17"/>
      <c r="B50" s="17"/>
      <c r="C50" s="18"/>
      <c r="D50" s="19"/>
      <c r="E50" s="20"/>
      <c r="F50" s="26"/>
      <c r="G50" s="26"/>
      <c r="H50" s="26"/>
      <c r="I50" s="26"/>
      <c r="J50" s="26"/>
      <c r="K50" s="44"/>
    </row>
    <row r="51" spans="1:11" ht="11.25" customHeight="1">
      <c r="A51" s="17"/>
      <c r="B51" s="17"/>
      <c r="C51" s="18"/>
      <c r="D51" s="19"/>
      <c r="E51" s="20"/>
      <c r="F51" s="26"/>
      <c r="G51" s="26"/>
      <c r="H51" s="26"/>
      <c r="I51" s="26"/>
      <c r="J51" s="26"/>
      <c r="K51" s="44"/>
    </row>
    <row r="52" spans="1:11">
      <c r="A52" s="21"/>
      <c r="B52" s="21"/>
      <c r="C52" s="25" t="s">
        <v>18</v>
      </c>
      <c r="D52" s="19"/>
      <c r="E52" s="20"/>
      <c r="F52" s="26"/>
      <c r="G52" s="26"/>
      <c r="H52" s="26"/>
      <c r="I52" s="26"/>
      <c r="J52" s="26"/>
      <c r="K52" s="45"/>
    </row>
    <row r="53" spans="1:11" ht="9" customHeight="1">
      <c r="C53" s="41"/>
      <c r="D53" s="41"/>
      <c r="E53" s="20"/>
      <c r="F53" s="46"/>
      <c r="G53" s="46"/>
      <c r="H53" s="46"/>
      <c r="I53" s="46"/>
      <c r="J53" s="46"/>
      <c r="K53" s="47"/>
    </row>
    <row r="54" spans="1:11">
      <c r="E54" s="20"/>
    </row>
    <row r="55" spans="1:11">
      <c r="E55" s="20"/>
    </row>
    <row r="68" spans="3:9">
      <c r="C68" s="138"/>
      <c r="G68" s="149" t="s">
        <v>41</v>
      </c>
      <c r="H68" s="251"/>
      <c r="I68" s="251"/>
    </row>
    <row r="69" spans="3:9">
      <c r="C69" s="138"/>
      <c r="G69" s="149" t="s">
        <v>42</v>
      </c>
      <c r="H69" s="251"/>
      <c r="I69" s="251"/>
    </row>
    <row r="70" spans="3:9">
      <c r="C70" s="138"/>
      <c r="G70" s="149" t="s">
        <v>43</v>
      </c>
      <c r="H70" s="251"/>
      <c r="I70" s="251"/>
    </row>
    <row r="71" spans="3:9">
      <c r="C71" s="138"/>
      <c r="G71" s="149" t="s">
        <v>44</v>
      </c>
      <c r="H71" s="251"/>
      <c r="I71" s="251"/>
    </row>
    <row r="72" spans="3:9">
      <c r="C72" s="138"/>
      <c r="G72" s="149" t="s">
        <v>45</v>
      </c>
      <c r="H72" s="251"/>
      <c r="I72" s="251"/>
    </row>
    <row r="73" spans="3:9">
      <c r="C73" s="138"/>
      <c r="G73" s="149" t="s">
        <v>46</v>
      </c>
      <c r="H73" s="251"/>
      <c r="I73" s="251"/>
    </row>
    <row r="74" spans="3:9">
      <c r="C74" s="138"/>
      <c r="G74" s="149" t="s">
        <v>47</v>
      </c>
      <c r="H74" s="251"/>
      <c r="I74" s="251"/>
    </row>
    <row r="75" spans="3:9">
      <c r="C75" s="138"/>
      <c r="G75" s="149" t="s">
        <v>48</v>
      </c>
      <c r="H75" s="251"/>
      <c r="I75" s="251"/>
    </row>
    <row r="76" spans="3:9">
      <c r="C76" s="138"/>
      <c r="G76" s="149" t="s">
        <v>49</v>
      </c>
      <c r="H76" s="251"/>
      <c r="I76" s="251"/>
    </row>
    <row r="77" spans="3:9">
      <c r="C77" s="138"/>
      <c r="G77" s="149" t="s">
        <v>50</v>
      </c>
      <c r="H77" s="251"/>
      <c r="I77" s="251"/>
    </row>
    <row r="78" spans="3:9">
      <c r="C78" s="138"/>
      <c r="G78" s="149" t="s">
        <v>51</v>
      </c>
      <c r="H78" s="251"/>
      <c r="I78" s="251"/>
    </row>
    <row r="79" spans="3:9">
      <c r="C79" s="138"/>
      <c r="G79" s="149" t="s">
        <v>52</v>
      </c>
      <c r="H79" s="251"/>
      <c r="I79" s="251"/>
    </row>
    <row r="80" spans="3:9">
      <c r="C80" s="138"/>
      <c r="G80" s="149" t="s">
        <v>53</v>
      </c>
      <c r="H80" s="251"/>
      <c r="I80" s="251"/>
    </row>
    <row r="81" spans="3:9">
      <c r="C81" s="138"/>
      <c r="G81" s="149" t="s">
        <v>54</v>
      </c>
      <c r="H81" s="251"/>
      <c r="I81" s="251"/>
    </row>
    <row r="82" spans="3:9">
      <c r="C82" s="138"/>
      <c r="G82" s="149" t="s">
        <v>55</v>
      </c>
      <c r="H82" s="251"/>
      <c r="I82" s="251"/>
    </row>
    <row r="83" spans="3:9">
      <c r="C83" s="138"/>
      <c r="G83" s="149" t="s">
        <v>56</v>
      </c>
      <c r="H83" s="251"/>
      <c r="I83" s="251"/>
    </row>
    <row r="84" spans="3:9">
      <c r="C84" s="138"/>
      <c r="G84" s="149" t="s">
        <v>57</v>
      </c>
      <c r="H84" s="251"/>
      <c r="I84" s="251"/>
    </row>
    <row r="85" spans="3:9">
      <c r="C85" s="138"/>
      <c r="G85" s="149" t="s">
        <v>58</v>
      </c>
      <c r="H85" s="251"/>
      <c r="I85" s="251"/>
    </row>
    <row r="86" spans="3:9">
      <c r="C86" s="138"/>
      <c r="G86" s="149" t="s">
        <v>62</v>
      </c>
      <c r="H86" s="251"/>
      <c r="I86" s="251"/>
    </row>
    <row r="87" spans="3:9">
      <c r="C87" s="138"/>
      <c r="G87" s="149" t="s">
        <v>64</v>
      </c>
      <c r="H87" s="251"/>
      <c r="I87" s="251"/>
    </row>
    <row r="88" spans="3:9">
      <c r="C88" s="138"/>
      <c r="G88" s="149" t="s">
        <v>65</v>
      </c>
      <c r="H88" s="251"/>
      <c r="I88" s="251"/>
    </row>
    <row r="89" spans="3:9">
      <c r="C89" s="138"/>
      <c r="G89" s="149" t="s">
        <v>66</v>
      </c>
      <c r="H89" s="251"/>
      <c r="I89" s="251"/>
    </row>
    <row r="90" spans="3:9">
      <c r="C90" s="138"/>
      <c r="G90" s="149" t="s">
        <v>76</v>
      </c>
      <c r="H90" s="251"/>
      <c r="I90" s="251"/>
    </row>
    <row r="91" spans="3:9">
      <c r="C91" s="138"/>
      <c r="G91" s="2" t="s">
        <v>67</v>
      </c>
      <c r="H91" s="2"/>
      <c r="I91" s="2"/>
    </row>
    <row r="92" spans="3:9">
      <c r="C92" s="138"/>
      <c r="G92" s="2" t="s">
        <v>68</v>
      </c>
      <c r="H92" s="2"/>
      <c r="I92" s="2"/>
    </row>
    <row r="93" spans="3:9">
      <c r="C93" s="138"/>
      <c r="G93" s="2" t="s">
        <v>69</v>
      </c>
      <c r="H93" s="2"/>
      <c r="I93" s="2"/>
    </row>
    <row r="94" spans="3:9">
      <c r="C94" s="138"/>
      <c r="G94" s="2" t="s">
        <v>74</v>
      </c>
      <c r="H94" s="2"/>
      <c r="I94" s="2"/>
    </row>
    <row r="95" spans="3:9">
      <c r="C95" s="138"/>
      <c r="G95" s="2" t="s">
        <v>36</v>
      </c>
      <c r="H95" s="2"/>
      <c r="I95" s="2"/>
    </row>
    <row r="96" spans="3:9">
      <c r="C96" s="138"/>
      <c r="G96" s="2" t="s">
        <v>37</v>
      </c>
      <c r="H96" s="2"/>
      <c r="I96" s="2"/>
    </row>
    <row r="97" spans="3:9">
      <c r="C97" s="138"/>
      <c r="G97" s="2" t="s">
        <v>38</v>
      </c>
      <c r="H97" s="2"/>
      <c r="I97" s="2"/>
    </row>
    <row r="98" spans="3:9">
      <c r="C98" s="138"/>
      <c r="G98" s="2" t="s">
        <v>75</v>
      </c>
      <c r="H98" s="2"/>
      <c r="I98" s="2"/>
    </row>
    <row r="99" spans="3:9">
      <c r="C99" s="138"/>
      <c r="G99" s="2" t="s">
        <v>39</v>
      </c>
      <c r="H99" s="2"/>
      <c r="I99" s="2"/>
    </row>
    <row r="100" spans="3:9">
      <c r="C100" s="138"/>
      <c r="G100" s="27" t="s">
        <v>40</v>
      </c>
    </row>
    <row r="101" spans="3:9">
      <c r="C101" s="138"/>
      <c r="G101" s="27" t="s">
        <v>63</v>
      </c>
    </row>
    <row r="102" spans="3:9">
      <c r="C102" s="138"/>
      <c r="G102" s="27" t="s">
        <v>70</v>
      </c>
    </row>
    <row r="103" spans="3:9">
      <c r="C103" s="138"/>
      <c r="G103" s="27" t="s">
        <v>71</v>
      </c>
    </row>
    <row r="104" spans="3:9">
      <c r="C104" s="138"/>
      <c r="G104" s="27" t="s">
        <v>72</v>
      </c>
    </row>
    <row r="105" spans="3:9">
      <c r="C105" s="138"/>
      <c r="G105" s="27" t="s">
        <v>73</v>
      </c>
    </row>
    <row r="106" spans="3:9">
      <c r="C106" s="138"/>
    </row>
    <row r="107" spans="3:9">
      <c r="C107" s="138"/>
    </row>
    <row r="108" spans="3:9">
      <c r="C108" s="138"/>
    </row>
    <row r="109" spans="3:9">
      <c r="C109" s="138"/>
    </row>
    <row r="110" spans="3:9">
      <c r="C110" s="138"/>
    </row>
    <row r="111" spans="3:9">
      <c r="C111" s="138"/>
    </row>
    <row r="112" spans="3:9">
      <c r="C112" s="138"/>
    </row>
    <row r="113" spans="3:3">
      <c r="C113" s="138"/>
    </row>
    <row r="114" spans="3:3">
      <c r="C114" s="138"/>
    </row>
    <row r="115" spans="3:3">
      <c r="C115" s="138"/>
    </row>
    <row r="116" spans="3:3">
      <c r="C116" s="138"/>
    </row>
    <row r="117" spans="3:3">
      <c r="C117" s="138"/>
    </row>
    <row r="118" spans="3:3">
      <c r="C118" s="138"/>
    </row>
    <row r="119" spans="3:3">
      <c r="C119" s="138"/>
    </row>
    <row r="120" spans="3:3">
      <c r="C120" s="138"/>
    </row>
    <row r="121" spans="3:3">
      <c r="C121" s="138"/>
    </row>
    <row r="122" spans="3:3">
      <c r="C122" s="138"/>
    </row>
    <row r="123" spans="3:3">
      <c r="C123" s="138"/>
    </row>
    <row r="124" spans="3:3">
      <c r="C124" s="138"/>
    </row>
    <row r="125" spans="3:3">
      <c r="C125" s="138"/>
    </row>
    <row r="126" spans="3:3">
      <c r="C126" s="138"/>
    </row>
    <row r="127" spans="3:3">
      <c r="C127" s="138"/>
    </row>
    <row r="128" spans="3:3">
      <c r="C128" s="138"/>
    </row>
    <row r="129" spans="3:3">
      <c r="C129" s="138"/>
    </row>
  </sheetData>
  <protectedRanges>
    <protectedRange password="CC78" sqref="E56:E65357 B8:D9 F53:J67 B44:B65357 C53:D65357 J68 L8:IT12 F68 A8:A65357 K53:IT65357 F69:J89 J90 F90 F8:J8 C40:J43 K11:K12 K13:IT43 F91:J65357 B10:H10 E35:J39 E11:H34 I10:I34 J10:K10 J11:J34" name="Range1"/>
    <protectedRange password="CC78" sqref="C46:C51 E53:E55 K46:IT51 D46:J52" name="Range1_1_1"/>
    <protectedRange password="CC78" sqref="C52 K52:IT52" name="Range1_3_1"/>
    <protectedRange password="CC78" sqref="A5:IT7" name="Range1_2"/>
    <protectedRange password="CC78" sqref="B40:B43" name="Range1_1"/>
    <protectedRange password="CC78" sqref="E8:E9 F9" name="Range1_4"/>
    <protectedRange password="CC78" sqref="B18:B39" name="Range1_6"/>
    <protectedRange password="CC78" sqref="D18:D39" name="Range1_7"/>
  </protectedRanges>
  <autoFilter ref="A10:M28"/>
  <mergeCells count="10">
    <mergeCell ref="A41:C43"/>
    <mergeCell ref="A5:K5"/>
    <mergeCell ref="A6:K6"/>
    <mergeCell ref="B8:B9"/>
    <mergeCell ref="A8:A9"/>
    <mergeCell ref="C8:C9"/>
    <mergeCell ref="K8:K9"/>
    <mergeCell ref="D8:D9"/>
    <mergeCell ref="G8:J8"/>
    <mergeCell ref="E8:F8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C00000"/>
  </sheetPr>
  <dimension ref="A1:CL69"/>
  <sheetViews>
    <sheetView tabSelected="1" zoomScaleNormal="115" workbookViewId="0">
      <pane xSplit="3" ySplit="6" topLeftCell="D7" activePane="bottomRight" state="frozen"/>
      <selection activeCell="E5" sqref="E5:E7"/>
      <selection pane="topRight" activeCell="E5" sqref="E5:E7"/>
      <selection pane="bottomLeft" activeCell="E5" sqref="E5:E7"/>
      <selection pane="bottomRight" activeCell="Z10" sqref="Z10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04" customWidth="1"/>
    <col min="5" max="5" width="7.140625" style="2" customWidth="1"/>
    <col min="6" max="33" width="3.42578125" style="112" customWidth="1"/>
    <col min="34" max="36" width="3.42578125" style="113" customWidth="1"/>
    <col min="37" max="38" width="4.42578125" style="2" customWidth="1"/>
    <col min="39" max="41" width="5.5703125" style="91" customWidth="1"/>
    <col min="42" max="43" width="5" style="2" customWidth="1"/>
    <col min="44" max="44" width="11.7109375" style="2" customWidth="1"/>
    <col min="45" max="45" width="9.85546875" style="2" customWidth="1"/>
    <col min="46" max="46" width="3.7109375" style="2" customWidth="1"/>
    <col min="47" max="47" width="8.5703125" style="2" customWidth="1"/>
    <col min="48" max="16384" width="3.7109375" style="2"/>
  </cols>
  <sheetData>
    <row r="1" spans="1:90" ht="37.5" customHeight="1">
      <c r="A1" s="125"/>
      <c r="B1" s="48"/>
      <c r="C1" s="48"/>
      <c r="D1" s="52"/>
      <c r="E1" s="48"/>
      <c r="F1" s="52"/>
      <c r="G1" s="52"/>
      <c r="H1" s="52"/>
      <c r="I1" s="52"/>
      <c r="J1" s="52"/>
      <c r="K1" s="108"/>
      <c r="L1" s="108"/>
      <c r="M1" s="108"/>
      <c r="N1" s="108"/>
      <c r="O1" s="108"/>
      <c r="P1" s="108"/>
      <c r="Q1" s="108"/>
      <c r="R1" s="108"/>
      <c r="S1" s="50" t="str">
        <f>CONCATENATE("BẢNG CHẤM CÔNG THÁNG ",TEXT($AU$1,"mm")," NĂM ",TEXT($AU$1,"yyyy"))</f>
        <v>BẢNG CHẤM CÔNG THÁNG 05 NĂM 2016</v>
      </c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49"/>
      <c r="AL1" s="49"/>
      <c r="AM1" s="286" t="s">
        <v>87</v>
      </c>
      <c r="AN1" s="287"/>
      <c r="AO1" s="287"/>
      <c r="AP1" s="287"/>
      <c r="AQ1" s="287"/>
      <c r="AR1" s="288"/>
      <c r="AS1" s="51"/>
      <c r="AU1" s="186">
        <v>42491</v>
      </c>
    </row>
    <row r="2" spans="1:90" ht="20.25">
      <c r="A2" s="125" t="str">
        <f>TH!$A$1</f>
        <v>Công ty TNHH Hải sản An Lạc</v>
      </c>
      <c r="B2" s="52"/>
      <c r="C2" s="52"/>
      <c r="D2" s="52"/>
      <c r="E2" s="52"/>
      <c r="F2" s="52"/>
      <c r="G2" s="52"/>
      <c r="H2" s="52"/>
      <c r="I2" s="52"/>
      <c r="J2" s="52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49"/>
      <c r="AL2" s="49"/>
      <c r="AM2" s="87"/>
      <c r="AN2" s="87"/>
      <c r="AO2" s="87"/>
      <c r="AP2" s="53"/>
      <c r="AQ2" s="53"/>
      <c r="AR2" s="86"/>
      <c r="AS2" s="86"/>
    </row>
    <row r="3" spans="1:90" ht="21" customHeight="1">
      <c r="A3" s="125" t="str">
        <f>TH!$A$2</f>
        <v>Địa chỉ: Lô A14, đường 4A, KCN Hải Sơn, Đức Hòa, Long An</v>
      </c>
      <c r="B3" s="54"/>
      <c r="C3" s="54"/>
      <c r="D3" s="55"/>
      <c r="E3" s="55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49"/>
      <c r="AL3" s="49"/>
      <c r="AM3" s="87"/>
      <c r="AN3" s="87"/>
      <c r="AO3" s="87"/>
      <c r="AP3" s="51"/>
      <c r="AQ3" s="51"/>
      <c r="AR3" s="56"/>
      <c r="AS3" s="56"/>
    </row>
    <row r="4" spans="1:90" ht="14.25" customHeight="1">
      <c r="A4" s="57"/>
      <c r="B4" s="57"/>
      <c r="C4" s="141"/>
      <c r="D4" s="140"/>
      <c r="E4" s="58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60"/>
      <c r="AI4" s="60"/>
      <c r="AJ4" s="60"/>
      <c r="AK4" s="57"/>
      <c r="AL4" s="57"/>
      <c r="AM4" s="88"/>
      <c r="AN4" s="88"/>
      <c r="AO4" s="88"/>
      <c r="AP4" s="57"/>
      <c r="AQ4" s="57"/>
      <c r="AR4" s="57"/>
      <c r="AS4" s="92"/>
    </row>
    <row r="5" spans="1:90" s="61" customFormat="1" ht="18.75" customHeight="1">
      <c r="A5" s="282" t="s">
        <v>22</v>
      </c>
      <c r="B5" s="282" t="s">
        <v>3</v>
      </c>
      <c r="C5" s="282" t="s">
        <v>1</v>
      </c>
      <c r="D5" s="266" t="s">
        <v>23</v>
      </c>
      <c r="E5" s="282" t="s">
        <v>24</v>
      </c>
      <c r="F5" s="107">
        <f>+AU1</f>
        <v>42491</v>
      </c>
      <c r="G5" s="107">
        <f>F5+1</f>
        <v>42492</v>
      </c>
      <c r="H5" s="107">
        <f t="shared" ref="H5:AJ5" si="0">G5+1</f>
        <v>42493</v>
      </c>
      <c r="I5" s="107">
        <f t="shared" si="0"/>
        <v>42494</v>
      </c>
      <c r="J5" s="107">
        <f t="shared" si="0"/>
        <v>42495</v>
      </c>
      <c r="K5" s="107">
        <f t="shared" si="0"/>
        <v>42496</v>
      </c>
      <c r="L5" s="107">
        <f t="shared" si="0"/>
        <v>42497</v>
      </c>
      <c r="M5" s="107">
        <f t="shared" si="0"/>
        <v>42498</v>
      </c>
      <c r="N5" s="107">
        <f t="shared" si="0"/>
        <v>42499</v>
      </c>
      <c r="O5" s="107">
        <f t="shared" si="0"/>
        <v>42500</v>
      </c>
      <c r="P5" s="107">
        <f t="shared" si="0"/>
        <v>42501</v>
      </c>
      <c r="Q5" s="107">
        <f t="shared" si="0"/>
        <v>42502</v>
      </c>
      <c r="R5" s="107">
        <f t="shared" si="0"/>
        <v>42503</v>
      </c>
      <c r="S5" s="107">
        <f t="shared" si="0"/>
        <v>42504</v>
      </c>
      <c r="T5" s="107">
        <f t="shared" si="0"/>
        <v>42505</v>
      </c>
      <c r="U5" s="107">
        <f t="shared" si="0"/>
        <v>42506</v>
      </c>
      <c r="V5" s="107">
        <f t="shared" si="0"/>
        <v>42507</v>
      </c>
      <c r="W5" s="107">
        <f t="shared" si="0"/>
        <v>42508</v>
      </c>
      <c r="X5" s="107">
        <f t="shared" si="0"/>
        <v>42509</v>
      </c>
      <c r="Y5" s="107">
        <f t="shared" si="0"/>
        <v>42510</v>
      </c>
      <c r="Z5" s="107">
        <f t="shared" si="0"/>
        <v>42511</v>
      </c>
      <c r="AA5" s="107">
        <f t="shared" si="0"/>
        <v>42512</v>
      </c>
      <c r="AB5" s="107">
        <f t="shared" si="0"/>
        <v>42513</v>
      </c>
      <c r="AC5" s="107">
        <f t="shared" si="0"/>
        <v>42514</v>
      </c>
      <c r="AD5" s="107">
        <f t="shared" si="0"/>
        <v>42515</v>
      </c>
      <c r="AE5" s="107">
        <f t="shared" si="0"/>
        <v>42516</v>
      </c>
      <c r="AF5" s="107">
        <f t="shared" si="0"/>
        <v>42517</v>
      </c>
      <c r="AG5" s="107">
        <f t="shared" si="0"/>
        <v>42518</v>
      </c>
      <c r="AH5" s="107">
        <f>AG5+1</f>
        <v>42519</v>
      </c>
      <c r="AI5" s="107">
        <f t="shared" si="0"/>
        <v>42520</v>
      </c>
      <c r="AJ5" s="107">
        <f t="shared" si="0"/>
        <v>42521</v>
      </c>
      <c r="AK5" s="285" t="s">
        <v>12</v>
      </c>
      <c r="AL5" s="285"/>
      <c r="AM5" s="285"/>
      <c r="AN5" s="285"/>
      <c r="AO5" s="266" t="s">
        <v>158</v>
      </c>
      <c r="AP5" s="283" t="s">
        <v>164</v>
      </c>
      <c r="AQ5" s="283" t="s">
        <v>166</v>
      </c>
      <c r="AR5" s="266" t="s">
        <v>0</v>
      </c>
      <c r="AS5" s="280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s="61" customFormat="1" ht="39.75" customHeight="1">
      <c r="A6" s="281"/>
      <c r="B6" s="281"/>
      <c r="C6" s="281"/>
      <c r="D6" s="281"/>
      <c r="E6" s="281"/>
      <c r="F6" s="158" t="str">
        <f>CHOOSE(WEEKDAY(F5),"C.Nhật","T.Hai","T.Ba","T.Tư","T.Năm","T.Sáu","T.Bảy")</f>
        <v>C.Nhật</v>
      </c>
      <c r="G6" s="158" t="str">
        <f t="shared" ref="G6:AJ6" si="1">CHOOSE(WEEKDAY(G5),"C.Nhật","T.Hai","T.Ba","T.Tư","T.Năm","T.Sáu","T.Bảy")</f>
        <v>T.Hai</v>
      </c>
      <c r="H6" s="158" t="str">
        <f t="shared" si="1"/>
        <v>T.Ba</v>
      </c>
      <c r="I6" s="158" t="str">
        <f t="shared" si="1"/>
        <v>T.Tư</v>
      </c>
      <c r="J6" s="158" t="str">
        <f t="shared" si="1"/>
        <v>T.Năm</v>
      </c>
      <c r="K6" s="158" t="str">
        <f t="shared" si="1"/>
        <v>T.Sáu</v>
      </c>
      <c r="L6" s="158" t="str">
        <f t="shared" si="1"/>
        <v>T.Bảy</v>
      </c>
      <c r="M6" s="158" t="str">
        <f t="shared" si="1"/>
        <v>C.Nhật</v>
      </c>
      <c r="N6" s="158" t="str">
        <f t="shared" si="1"/>
        <v>T.Hai</v>
      </c>
      <c r="O6" s="158" t="str">
        <f t="shared" si="1"/>
        <v>T.Ba</v>
      </c>
      <c r="P6" s="158" t="str">
        <f t="shared" si="1"/>
        <v>T.Tư</v>
      </c>
      <c r="Q6" s="158" t="str">
        <f t="shared" si="1"/>
        <v>T.Năm</v>
      </c>
      <c r="R6" s="158" t="str">
        <f t="shared" si="1"/>
        <v>T.Sáu</v>
      </c>
      <c r="S6" s="158" t="str">
        <f t="shared" si="1"/>
        <v>T.Bảy</v>
      </c>
      <c r="T6" s="158" t="str">
        <f t="shared" si="1"/>
        <v>C.Nhật</v>
      </c>
      <c r="U6" s="158" t="str">
        <f t="shared" si="1"/>
        <v>T.Hai</v>
      </c>
      <c r="V6" s="158" t="str">
        <f t="shared" si="1"/>
        <v>T.Ba</v>
      </c>
      <c r="W6" s="158" t="str">
        <f t="shared" si="1"/>
        <v>T.Tư</v>
      </c>
      <c r="X6" s="158" t="str">
        <f t="shared" si="1"/>
        <v>T.Năm</v>
      </c>
      <c r="Y6" s="158" t="str">
        <f t="shared" si="1"/>
        <v>T.Sáu</v>
      </c>
      <c r="Z6" s="158" t="str">
        <f t="shared" si="1"/>
        <v>T.Bảy</v>
      </c>
      <c r="AA6" s="158" t="str">
        <f t="shared" si="1"/>
        <v>C.Nhật</v>
      </c>
      <c r="AB6" s="158" t="str">
        <f t="shared" si="1"/>
        <v>T.Hai</v>
      </c>
      <c r="AC6" s="158" t="str">
        <f t="shared" si="1"/>
        <v>T.Ba</v>
      </c>
      <c r="AD6" s="158" t="str">
        <f t="shared" si="1"/>
        <v>T.Tư</v>
      </c>
      <c r="AE6" s="158" t="str">
        <f t="shared" si="1"/>
        <v>T.Năm</v>
      </c>
      <c r="AF6" s="158" t="str">
        <f t="shared" si="1"/>
        <v>T.Sáu</v>
      </c>
      <c r="AG6" s="158" t="str">
        <f t="shared" si="1"/>
        <v>T.Bảy</v>
      </c>
      <c r="AH6" s="158" t="str">
        <f t="shared" si="1"/>
        <v>C.Nhật</v>
      </c>
      <c r="AI6" s="158" t="str">
        <f t="shared" si="1"/>
        <v>T.Hai</v>
      </c>
      <c r="AJ6" s="158" t="str">
        <f t="shared" si="1"/>
        <v>T.Ba</v>
      </c>
      <c r="AK6" s="248" t="s">
        <v>13</v>
      </c>
      <c r="AL6" s="248" t="s">
        <v>25</v>
      </c>
      <c r="AM6" s="249" t="s">
        <v>14</v>
      </c>
      <c r="AN6" s="250" t="s">
        <v>155</v>
      </c>
      <c r="AO6" s="267"/>
      <c r="AP6" s="284"/>
      <c r="AQ6" s="304"/>
      <c r="AR6" s="281"/>
      <c r="AS6" s="280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s="61" customFormat="1" ht="12.75" customHeight="1">
      <c r="A7" s="159">
        <v>1</v>
      </c>
      <c r="B7" s="159">
        <v>1</v>
      </c>
      <c r="C7" s="159">
        <v>2</v>
      </c>
      <c r="D7" s="159">
        <v>3</v>
      </c>
      <c r="E7" s="159">
        <v>4</v>
      </c>
      <c r="F7" s="159">
        <v>5</v>
      </c>
      <c r="G7" s="159">
        <v>6</v>
      </c>
      <c r="H7" s="159">
        <v>7</v>
      </c>
      <c r="I7" s="159">
        <v>8</v>
      </c>
      <c r="J7" s="159">
        <v>9</v>
      </c>
      <c r="K7" s="159">
        <v>10</v>
      </c>
      <c r="L7" s="159">
        <v>11</v>
      </c>
      <c r="M7" s="159">
        <v>12</v>
      </c>
      <c r="N7" s="159">
        <v>13</v>
      </c>
      <c r="O7" s="159">
        <v>14</v>
      </c>
      <c r="P7" s="159">
        <v>15</v>
      </c>
      <c r="Q7" s="159">
        <v>16</v>
      </c>
      <c r="R7" s="159">
        <v>17</v>
      </c>
      <c r="S7" s="159">
        <v>18</v>
      </c>
      <c r="T7" s="159">
        <v>19</v>
      </c>
      <c r="U7" s="159">
        <v>20</v>
      </c>
      <c r="V7" s="159">
        <v>21</v>
      </c>
      <c r="W7" s="159">
        <v>22</v>
      </c>
      <c r="X7" s="159">
        <v>23</v>
      </c>
      <c r="Y7" s="159">
        <v>24</v>
      </c>
      <c r="Z7" s="159">
        <v>25</v>
      </c>
      <c r="AA7" s="159">
        <v>26</v>
      </c>
      <c r="AB7" s="159">
        <v>27</v>
      </c>
      <c r="AC7" s="159">
        <v>28</v>
      </c>
      <c r="AD7" s="159">
        <v>29</v>
      </c>
      <c r="AE7" s="159">
        <v>30</v>
      </c>
      <c r="AF7" s="159">
        <v>31</v>
      </c>
      <c r="AG7" s="159">
        <v>32</v>
      </c>
      <c r="AH7" s="159">
        <v>33</v>
      </c>
      <c r="AI7" s="159">
        <v>34</v>
      </c>
      <c r="AJ7" s="159">
        <v>35</v>
      </c>
      <c r="AK7" s="159">
        <v>36</v>
      </c>
      <c r="AL7" s="159">
        <v>37</v>
      </c>
      <c r="AM7" s="159">
        <v>38</v>
      </c>
      <c r="AN7" s="159">
        <v>39</v>
      </c>
      <c r="AO7" s="159">
        <v>40</v>
      </c>
      <c r="AP7" s="159">
        <v>41</v>
      </c>
      <c r="AQ7" s="159">
        <v>42</v>
      </c>
      <c r="AR7" s="159">
        <v>43</v>
      </c>
      <c r="AS7" s="101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s="162" customFormat="1" ht="21" customHeight="1">
      <c r="A8" s="160" t="s">
        <v>79</v>
      </c>
      <c r="B8" s="168" t="s">
        <v>144</v>
      </c>
      <c r="C8" s="163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3"/>
      <c r="AL8" s="163"/>
      <c r="AM8" s="163"/>
      <c r="AN8" s="163"/>
      <c r="AO8" s="163"/>
      <c r="AP8" s="163"/>
      <c r="AQ8" s="163"/>
      <c r="AR8" s="164"/>
      <c r="AS8" s="161"/>
    </row>
    <row r="9" spans="1:90" s="61" customFormat="1" ht="18" customHeight="1">
      <c r="A9" s="270">
        <v>1</v>
      </c>
      <c r="B9" s="270" t="s">
        <v>83</v>
      </c>
      <c r="C9" s="272" t="str">
        <f>IF(ISNA(VLOOKUP(B9,DS,2,0)),"",VLOOKUP(B9,DS,2,0))</f>
        <v>Đinh Công Đoan</v>
      </c>
      <c r="D9" s="274" t="str">
        <f>VLOOKUP(B9,DS,3,0)</f>
        <v>Giám Đốc</v>
      </c>
      <c r="E9" s="62" t="s">
        <v>26</v>
      </c>
      <c r="F9" s="129"/>
      <c r="G9" s="129">
        <v>8</v>
      </c>
      <c r="H9" s="129">
        <v>8</v>
      </c>
      <c r="I9" s="129">
        <v>8</v>
      </c>
      <c r="J9" s="129">
        <v>8</v>
      </c>
      <c r="K9" s="129">
        <v>8</v>
      </c>
      <c r="L9" s="129">
        <v>8</v>
      </c>
      <c r="M9" s="129"/>
      <c r="N9" s="129">
        <v>8</v>
      </c>
      <c r="O9" s="129">
        <v>8</v>
      </c>
      <c r="P9" s="129">
        <v>8</v>
      </c>
      <c r="Q9" s="129">
        <v>8</v>
      </c>
      <c r="R9" s="129">
        <v>8</v>
      </c>
      <c r="S9" s="129">
        <v>8</v>
      </c>
      <c r="T9" s="129"/>
      <c r="U9" s="129">
        <v>8</v>
      </c>
      <c r="V9" s="129">
        <v>8</v>
      </c>
      <c r="W9" s="129">
        <v>8</v>
      </c>
      <c r="X9" s="129">
        <v>8</v>
      </c>
      <c r="Y9" s="129">
        <v>8</v>
      </c>
      <c r="Z9" s="129" t="s">
        <v>168</v>
      </c>
      <c r="AA9" s="129"/>
      <c r="AB9" s="129">
        <v>8</v>
      </c>
      <c r="AC9" s="129">
        <v>8</v>
      </c>
      <c r="AD9" s="129">
        <v>8</v>
      </c>
      <c r="AE9" s="129">
        <v>8</v>
      </c>
      <c r="AF9" s="129">
        <v>8</v>
      </c>
      <c r="AG9" s="129">
        <v>8</v>
      </c>
      <c r="AH9" s="129"/>
      <c r="AI9" s="129">
        <v>8</v>
      </c>
      <c r="AJ9" s="129">
        <v>8</v>
      </c>
      <c r="AK9" s="276">
        <f>((SUM(F9:AJ9))/8)-(SUMIF($F$6:$AJ$6,"C.Nhật",F9:AJ9)/8)</f>
        <v>25</v>
      </c>
      <c r="AL9" s="276">
        <f>SUM(F10:AJ10)/8*1.5</f>
        <v>0</v>
      </c>
      <c r="AM9" s="264">
        <f>SUMIF($F$6:$AJ$6,"C.Nhật",$F9:$AJ10)/8*2</f>
        <v>0</v>
      </c>
      <c r="AN9" s="264">
        <f t="array" ref="AN9">SUM((F9:AJ9="L")*1)</f>
        <v>0</v>
      </c>
      <c r="AO9" s="264" t="s">
        <v>159</v>
      </c>
      <c r="AP9" s="278">
        <f t="array" ref="AP9">SUM((F10:AJ10&gt;=3)*1)</f>
        <v>0</v>
      </c>
      <c r="AQ9" s="278">
        <f t="array" ref="AQ9">SUM((F9:AJ9="K")*1)</f>
        <v>1</v>
      </c>
      <c r="AR9" s="268"/>
      <c r="AS9" s="101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s="61" customFormat="1" ht="18" customHeight="1">
      <c r="A10" s="271"/>
      <c r="B10" s="271"/>
      <c r="C10" s="273"/>
      <c r="D10" s="275"/>
      <c r="E10" s="63" t="s">
        <v>25</v>
      </c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277"/>
      <c r="AL10" s="277"/>
      <c r="AM10" s="265"/>
      <c r="AN10" s="265"/>
      <c r="AO10" s="265"/>
      <c r="AP10" s="279"/>
      <c r="AQ10" s="279"/>
      <c r="AR10" s="269"/>
      <c r="AS10" s="101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s="61" customFormat="1" ht="18" customHeight="1">
      <c r="A11" s="270">
        <f>IF(C11&lt;&gt;"",A9+1,"")</f>
        <v>2</v>
      </c>
      <c r="B11" s="270" t="s">
        <v>84</v>
      </c>
      <c r="C11" s="272" t="str">
        <f>IF(ISNA(VLOOKUP(B11,DS,2,0)),"",VLOOKUP(B11,DS,2,0))</f>
        <v>Lê Kim Ngọc Thảo</v>
      </c>
      <c r="D11" s="274" t="str">
        <f>VLOOKUP(B11,DS,3,0)</f>
        <v>Giám Đốc</v>
      </c>
      <c r="E11" s="62" t="s">
        <v>26</v>
      </c>
      <c r="F11" s="129"/>
      <c r="G11" s="129">
        <v>8</v>
      </c>
      <c r="H11" s="129">
        <v>8</v>
      </c>
      <c r="I11" s="129">
        <v>8</v>
      </c>
      <c r="J11" s="129">
        <v>8</v>
      </c>
      <c r="K11" s="129">
        <v>8</v>
      </c>
      <c r="L11" s="129">
        <v>8</v>
      </c>
      <c r="M11" s="129"/>
      <c r="N11" s="129">
        <v>8</v>
      </c>
      <c r="O11" s="129">
        <v>8</v>
      </c>
      <c r="P11" s="129">
        <v>8</v>
      </c>
      <c r="Q11" s="129">
        <v>8</v>
      </c>
      <c r="R11" s="129">
        <v>8</v>
      </c>
      <c r="S11" s="129">
        <v>8</v>
      </c>
      <c r="T11" s="129"/>
      <c r="U11" s="129">
        <v>8</v>
      </c>
      <c r="V11" s="129">
        <v>8</v>
      </c>
      <c r="W11" s="129">
        <v>8</v>
      </c>
      <c r="X11" s="129">
        <v>8</v>
      </c>
      <c r="Y11" s="129">
        <v>8</v>
      </c>
      <c r="Z11" s="129">
        <v>8</v>
      </c>
      <c r="AA11" s="129"/>
      <c r="AB11" s="129">
        <v>8</v>
      </c>
      <c r="AC11" s="129">
        <v>8</v>
      </c>
      <c r="AD11" s="129">
        <v>8</v>
      </c>
      <c r="AE11" s="129">
        <v>8</v>
      </c>
      <c r="AF11" s="129">
        <v>8</v>
      </c>
      <c r="AG11" s="129">
        <v>8</v>
      </c>
      <c r="AH11" s="129"/>
      <c r="AI11" s="129">
        <v>8</v>
      </c>
      <c r="AJ11" s="129">
        <v>8</v>
      </c>
      <c r="AK11" s="276">
        <f t="shared" ref="AK11" si="2">((SUM(F11:AJ11))/8)-(SUMIF($F$6:$AJ$6,"C.Nhật",F11:AJ11)/8)</f>
        <v>26</v>
      </c>
      <c r="AL11" s="276">
        <f t="shared" ref="AL11" si="3">SUM(F12:AJ12)/8*1.5</f>
        <v>0</v>
      </c>
      <c r="AM11" s="264">
        <f t="shared" ref="AM11" si="4">SUMIF($F$6:$AJ$6,"C.Nhật",$F11:$AJ12)/8*2</f>
        <v>0</v>
      </c>
      <c r="AN11" s="264">
        <f t="array" ref="AN11">SUM((F11:AJ11="L")*1)</f>
        <v>0</v>
      </c>
      <c r="AO11" s="264" t="s">
        <v>159</v>
      </c>
      <c r="AP11" s="278">
        <f t="array" ref="AP11">SUM((F12:AJ12&gt;=3)*1)</f>
        <v>0</v>
      </c>
      <c r="AQ11" s="278">
        <f t="array" ref="AQ11">SUM((F11:AJ11="K")*1)</f>
        <v>0</v>
      </c>
      <c r="AR11" s="268"/>
      <c r="AS11" s="171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s="61" customFormat="1" ht="18" customHeight="1">
      <c r="A12" s="271"/>
      <c r="B12" s="271"/>
      <c r="C12" s="273"/>
      <c r="D12" s="275"/>
      <c r="E12" s="63" t="s">
        <v>25</v>
      </c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277"/>
      <c r="AL12" s="277"/>
      <c r="AM12" s="265"/>
      <c r="AN12" s="265"/>
      <c r="AO12" s="265"/>
      <c r="AP12" s="279"/>
      <c r="AQ12" s="279"/>
      <c r="AR12" s="269"/>
      <c r="AS12" s="171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s="162" customFormat="1" ht="21" customHeight="1">
      <c r="A13" s="160" t="s">
        <v>80</v>
      </c>
      <c r="B13" s="168" t="s">
        <v>143</v>
      </c>
      <c r="C13" s="163"/>
      <c r="D13" s="163"/>
      <c r="E13" s="163"/>
      <c r="F13" s="163"/>
      <c r="G13" s="163"/>
      <c r="H13" s="163"/>
      <c r="I13" s="163"/>
      <c r="J13" s="163"/>
      <c r="K13" s="163"/>
      <c r="L13" s="163"/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3"/>
      <c r="X13" s="163"/>
      <c r="Y13" s="163"/>
      <c r="Z13" s="163"/>
      <c r="AA13" s="163"/>
      <c r="AB13" s="163"/>
      <c r="AC13" s="163"/>
      <c r="AD13" s="163"/>
      <c r="AE13" s="163"/>
      <c r="AF13" s="163"/>
      <c r="AG13" s="163"/>
      <c r="AH13" s="163"/>
      <c r="AI13" s="163"/>
      <c r="AJ13" s="163"/>
      <c r="AK13" s="163"/>
      <c r="AL13" s="163"/>
      <c r="AM13" s="163"/>
      <c r="AN13" s="163"/>
      <c r="AO13" s="163"/>
      <c r="AP13" s="163"/>
      <c r="AQ13" s="163"/>
      <c r="AR13" s="164"/>
      <c r="AS13" s="161"/>
    </row>
    <row r="14" spans="1:90" s="61" customFormat="1" ht="18" customHeight="1">
      <c r="A14" s="270">
        <v>1</v>
      </c>
      <c r="B14" s="270" t="s">
        <v>121</v>
      </c>
      <c r="C14" s="272" t="str">
        <f>IF(ISNA(VLOOKUP(B14,DS,2,0)),"",VLOOKUP(B14,DS,2,0))</f>
        <v>Trần Thị Ngọc</v>
      </c>
      <c r="D14" s="274" t="str">
        <f>VLOOKUP(B14,DS,3,0)</f>
        <v>Kinh Doanh</v>
      </c>
      <c r="E14" s="62" t="s">
        <v>26</v>
      </c>
      <c r="F14" s="129"/>
      <c r="G14" s="129">
        <v>8</v>
      </c>
      <c r="H14" s="129">
        <v>8</v>
      </c>
      <c r="I14" s="129">
        <v>8</v>
      </c>
      <c r="J14" s="129">
        <v>8</v>
      </c>
      <c r="K14" s="129">
        <v>8</v>
      </c>
      <c r="L14" s="129">
        <v>8</v>
      </c>
      <c r="M14" s="129"/>
      <c r="N14" s="129">
        <v>8</v>
      </c>
      <c r="O14" s="129">
        <v>8</v>
      </c>
      <c r="P14" s="129">
        <v>8</v>
      </c>
      <c r="Q14" s="129">
        <v>8</v>
      </c>
      <c r="R14" s="129">
        <v>8</v>
      </c>
      <c r="S14" s="129">
        <v>8</v>
      </c>
      <c r="T14" s="129"/>
      <c r="U14" s="129">
        <v>8</v>
      </c>
      <c r="V14" s="129">
        <v>8</v>
      </c>
      <c r="W14" s="129">
        <v>8</v>
      </c>
      <c r="X14" s="129">
        <v>8</v>
      </c>
      <c r="Y14" s="129">
        <v>8</v>
      </c>
      <c r="Z14" s="129">
        <v>8</v>
      </c>
      <c r="AA14" s="129"/>
      <c r="AB14" s="129">
        <v>8</v>
      </c>
      <c r="AC14" s="129">
        <v>8</v>
      </c>
      <c r="AD14" s="129">
        <v>8</v>
      </c>
      <c r="AE14" s="129">
        <v>8</v>
      </c>
      <c r="AF14" s="129">
        <v>8</v>
      </c>
      <c r="AG14" s="129">
        <v>8</v>
      </c>
      <c r="AH14" s="129"/>
      <c r="AI14" s="129">
        <v>8</v>
      </c>
      <c r="AJ14" s="129">
        <v>8</v>
      </c>
      <c r="AK14" s="276">
        <f>((SUM(F14:AJ14))/8)-(SUMIF($F$6:$AJ$6,"C.Nhật",F14:AJ14)/8)</f>
        <v>26</v>
      </c>
      <c r="AL14" s="276">
        <f>SUM(F15:AJ15)/8*1.5</f>
        <v>0</v>
      </c>
      <c r="AM14" s="264">
        <f>SUMIF($F$6:$AJ$6,"C.Nhật",$F14:$AJ15)/8*2</f>
        <v>0</v>
      </c>
      <c r="AN14" s="264">
        <f t="array" ref="AN14">SUM((F14:AJ14="L")*1)</f>
        <v>0</v>
      </c>
      <c r="AO14" s="264" t="s">
        <v>159</v>
      </c>
      <c r="AP14" s="278">
        <f t="array" ref="AP14">SUM((F15:AJ15&gt;=3)*1)</f>
        <v>0</v>
      </c>
      <c r="AQ14" s="278">
        <f t="array" ref="AQ14">SUM((F14:AJ14="K")*1)</f>
        <v>0</v>
      </c>
      <c r="AR14" s="268"/>
      <c r="AS14" s="18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s="61" customFormat="1" ht="18" customHeight="1">
      <c r="A15" s="271"/>
      <c r="B15" s="271"/>
      <c r="C15" s="273"/>
      <c r="D15" s="275"/>
      <c r="E15" s="63" t="s">
        <v>25</v>
      </c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277"/>
      <c r="AL15" s="277"/>
      <c r="AM15" s="265"/>
      <c r="AN15" s="265"/>
      <c r="AO15" s="265"/>
      <c r="AP15" s="279"/>
      <c r="AQ15" s="279"/>
      <c r="AR15" s="269"/>
      <c r="AS15" s="18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s="61" customFormat="1" ht="18" customHeight="1">
      <c r="A16" s="270">
        <f>IF(C16&lt;&gt;"",A14+1,"")</f>
        <v>2</v>
      </c>
      <c r="B16" s="270" t="s">
        <v>122</v>
      </c>
      <c r="C16" s="272" t="str">
        <f>IF(ISNA(VLOOKUP(B16,DS,2,0)),"",VLOOKUP(B16,DS,2,0))</f>
        <v>Lê Thị Ngân</v>
      </c>
      <c r="D16" s="274" t="str">
        <f>VLOOKUP(B16,DS,3,0)</f>
        <v>Kinh Doanh</v>
      </c>
      <c r="E16" s="62" t="s">
        <v>26</v>
      </c>
      <c r="F16" s="129"/>
      <c r="G16" s="129">
        <v>8</v>
      </c>
      <c r="H16" s="129">
        <v>8</v>
      </c>
      <c r="I16" s="129">
        <v>8</v>
      </c>
      <c r="J16" s="129">
        <v>8</v>
      </c>
      <c r="K16" s="129">
        <v>8</v>
      </c>
      <c r="L16" s="129">
        <v>8</v>
      </c>
      <c r="M16" s="129"/>
      <c r="N16" s="129">
        <v>8</v>
      </c>
      <c r="O16" s="129">
        <v>8</v>
      </c>
      <c r="P16" s="129">
        <v>8</v>
      </c>
      <c r="Q16" s="129">
        <v>8</v>
      </c>
      <c r="R16" s="129">
        <v>8</v>
      </c>
      <c r="S16" s="129">
        <v>8</v>
      </c>
      <c r="T16" s="129"/>
      <c r="U16" s="129">
        <v>8</v>
      </c>
      <c r="V16" s="129">
        <v>8</v>
      </c>
      <c r="W16" s="129">
        <v>8</v>
      </c>
      <c r="X16" s="129">
        <v>8</v>
      </c>
      <c r="Y16" s="129">
        <v>8</v>
      </c>
      <c r="Z16" s="129">
        <v>8</v>
      </c>
      <c r="AA16" s="129"/>
      <c r="AB16" s="129">
        <v>8</v>
      </c>
      <c r="AC16" s="129">
        <v>8</v>
      </c>
      <c r="AD16" s="129">
        <v>8</v>
      </c>
      <c r="AE16" s="129">
        <v>8</v>
      </c>
      <c r="AF16" s="129">
        <v>8</v>
      </c>
      <c r="AG16" s="129">
        <v>8</v>
      </c>
      <c r="AH16" s="129"/>
      <c r="AI16" s="129">
        <v>8</v>
      </c>
      <c r="AJ16" s="129">
        <v>8</v>
      </c>
      <c r="AK16" s="276">
        <f t="shared" ref="AK16" si="5">((SUM(F16:AJ16))/8)-(SUMIF($F$6:$AJ$6,"C.Nhật",F16:AJ16)/8)</f>
        <v>26</v>
      </c>
      <c r="AL16" s="276">
        <f t="shared" ref="AL16" si="6">SUM(F17:AJ17)/8*1.5</f>
        <v>0</v>
      </c>
      <c r="AM16" s="264">
        <f t="shared" ref="AM16:AM22" si="7">SUMIF($F$6:$AJ$6,"C.Nhật",$F16:$AJ17)/8*2</f>
        <v>0</v>
      </c>
      <c r="AN16" s="264">
        <f t="array" ref="AN16">SUM((F16:AJ16="L")*1)</f>
        <v>0</v>
      </c>
      <c r="AO16" s="264" t="s">
        <v>159</v>
      </c>
      <c r="AP16" s="278">
        <f t="array" ref="AP16">SUM((F17:AJ17&gt;=3)*1)</f>
        <v>0</v>
      </c>
      <c r="AQ16" s="278">
        <f t="array" ref="AQ16">SUM((F16:AJ16="K")*1)</f>
        <v>0</v>
      </c>
      <c r="AR16" s="268"/>
      <c r="AS16" s="18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1" customFormat="1" ht="18" customHeight="1">
      <c r="A17" s="271"/>
      <c r="B17" s="271"/>
      <c r="C17" s="273"/>
      <c r="D17" s="275"/>
      <c r="E17" s="63" t="s">
        <v>25</v>
      </c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277"/>
      <c r="AL17" s="277"/>
      <c r="AM17" s="265"/>
      <c r="AN17" s="265"/>
      <c r="AO17" s="265"/>
      <c r="AP17" s="279"/>
      <c r="AQ17" s="279"/>
      <c r="AR17" s="269"/>
      <c r="AS17" s="18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1" customFormat="1" ht="18" customHeight="1">
      <c r="A18" s="270">
        <f t="shared" ref="A18" si="8">IF(C18&lt;&gt;"",A16+1,"")</f>
        <v>3</v>
      </c>
      <c r="B18" s="270" t="s">
        <v>123</v>
      </c>
      <c r="C18" s="272" t="str">
        <f>IF(ISNA(VLOOKUP(B18,DS,2,0)),"",VLOOKUP(B18,DS,2,0))</f>
        <v>Trần Anh Nhựt</v>
      </c>
      <c r="D18" s="274" t="str">
        <f>VLOOKUP(B18,DS,3,0)</f>
        <v>Kinh Doanh</v>
      </c>
      <c r="E18" s="62" t="s">
        <v>26</v>
      </c>
      <c r="F18" s="129"/>
      <c r="G18" s="129">
        <v>8</v>
      </c>
      <c r="H18" s="129">
        <v>8</v>
      </c>
      <c r="I18" s="129">
        <v>8</v>
      </c>
      <c r="J18" s="129">
        <v>8</v>
      </c>
      <c r="K18" s="129">
        <v>8</v>
      </c>
      <c r="L18" s="129">
        <v>8</v>
      </c>
      <c r="M18" s="129"/>
      <c r="N18" s="129">
        <v>8</v>
      </c>
      <c r="O18" s="129">
        <v>8</v>
      </c>
      <c r="P18" s="129">
        <v>8</v>
      </c>
      <c r="Q18" s="129">
        <v>8</v>
      </c>
      <c r="R18" s="129">
        <v>8</v>
      </c>
      <c r="S18" s="129">
        <v>8</v>
      </c>
      <c r="T18" s="129"/>
      <c r="U18" s="129">
        <v>8</v>
      </c>
      <c r="V18" s="129">
        <v>8</v>
      </c>
      <c r="W18" s="129">
        <v>8</v>
      </c>
      <c r="X18" s="129">
        <v>8</v>
      </c>
      <c r="Y18" s="129">
        <v>8</v>
      </c>
      <c r="Z18" s="129">
        <v>8</v>
      </c>
      <c r="AA18" s="129"/>
      <c r="AB18" s="129">
        <v>8</v>
      </c>
      <c r="AC18" s="129">
        <v>8</v>
      </c>
      <c r="AD18" s="129">
        <v>8</v>
      </c>
      <c r="AE18" s="129">
        <v>8</v>
      </c>
      <c r="AF18" s="129">
        <v>8</v>
      </c>
      <c r="AG18" s="129">
        <v>8</v>
      </c>
      <c r="AH18" s="129"/>
      <c r="AI18" s="129">
        <v>8</v>
      </c>
      <c r="AJ18" s="129">
        <v>8</v>
      </c>
      <c r="AK18" s="276">
        <f t="shared" ref="AK18" si="9">((SUM(F18:AJ18))/8)-(SUMIF($F$6:$AJ$6,"C.Nhật",F18:AJ18)/8)</f>
        <v>26</v>
      </c>
      <c r="AL18" s="276">
        <f t="shared" ref="AL18" si="10">SUM(F19:AJ19)/8*1.5</f>
        <v>0</v>
      </c>
      <c r="AM18" s="264">
        <f t="shared" si="7"/>
        <v>0</v>
      </c>
      <c r="AN18" s="264">
        <f t="array" ref="AN18">SUM((F18:AJ18="L")*1)</f>
        <v>0</v>
      </c>
      <c r="AO18" s="264" t="s">
        <v>159</v>
      </c>
      <c r="AP18" s="278">
        <f t="array" ref="AP18">SUM((F19:AJ19&gt;=3)*1)</f>
        <v>0</v>
      </c>
      <c r="AQ18" s="278">
        <f t="array" ref="AQ18">SUM((F18:AJ18="K")*1)</f>
        <v>0</v>
      </c>
      <c r="AR18" s="268"/>
      <c r="AS18" s="18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1" customFormat="1" ht="18" customHeight="1">
      <c r="A19" s="271"/>
      <c r="B19" s="271"/>
      <c r="C19" s="273"/>
      <c r="D19" s="275"/>
      <c r="E19" s="63" t="s">
        <v>25</v>
      </c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277"/>
      <c r="AL19" s="277"/>
      <c r="AM19" s="265"/>
      <c r="AN19" s="265"/>
      <c r="AO19" s="265"/>
      <c r="AP19" s="279"/>
      <c r="AQ19" s="279"/>
      <c r="AR19" s="269"/>
      <c r="AS19" s="18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1" customFormat="1" ht="18" customHeight="1">
      <c r="A20" s="270">
        <f t="shared" ref="A20" si="11">IF(C20&lt;&gt;"",A18+1,"")</f>
        <v>4</v>
      </c>
      <c r="B20" s="270" t="s">
        <v>124</v>
      </c>
      <c r="C20" s="272" t="str">
        <f>IF(ISNA(VLOOKUP(B20,DS,2,0)),"",VLOOKUP(B20,DS,2,0))</f>
        <v>Hoàng Hải Bằng</v>
      </c>
      <c r="D20" s="274" t="str">
        <f>VLOOKUP(B20,DS,3,0)</f>
        <v>Kinh Doanh</v>
      </c>
      <c r="E20" s="62" t="s">
        <v>26</v>
      </c>
      <c r="F20" s="129"/>
      <c r="G20" s="129">
        <v>8</v>
      </c>
      <c r="H20" s="129">
        <v>8</v>
      </c>
      <c r="I20" s="129">
        <v>8</v>
      </c>
      <c r="J20" s="129">
        <v>8</v>
      </c>
      <c r="K20" s="129">
        <v>8</v>
      </c>
      <c r="L20" s="129">
        <v>8</v>
      </c>
      <c r="M20" s="129"/>
      <c r="N20" s="129">
        <v>8</v>
      </c>
      <c r="O20" s="129">
        <v>8</v>
      </c>
      <c r="P20" s="129">
        <v>8</v>
      </c>
      <c r="Q20" s="129">
        <v>8</v>
      </c>
      <c r="R20" s="129">
        <v>8</v>
      </c>
      <c r="S20" s="129">
        <v>8</v>
      </c>
      <c r="T20" s="129"/>
      <c r="U20" s="129">
        <v>8</v>
      </c>
      <c r="V20" s="129">
        <v>8</v>
      </c>
      <c r="W20" s="129">
        <v>8</v>
      </c>
      <c r="X20" s="129">
        <v>8</v>
      </c>
      <c r="Y20" s="129">
        <v>8</v>
      </c>
      <c r="Z20" s="129">
        <v>8</v>
      </c>
      <c r="AA20" s="129"/>
      <c r="AB20" s="129">
        <v>8</v>
      </c>
      <c r="AC20" s="129">
        <v>8</v>
      </c>
      <c r="AD20" s="129">
        <v>8</v>
      </c>
      <c r="AE20" s="129">
        <v>8</v>
      </c>
      <c r="AF20" s="129">
        <v>8</v>
      </c>
      <c r="AG20" s="129">
        <v>8</v>
      </c>
      <c r="AH20" s="129"/>
      <c r="AI20" s="129">
        <v>8</v>
      </c>
      <c r="AJ20" s="129">
        <v>8</v>
      </c>
      <c r="AK20" s="276">
        <f t="shared" ref="AK20" si="12">((SUM(F20:AJ20))/8)-(SUMIF($F$6:$AJ$6,"C.Nhật",F20:AJ20)/8)</f>
        <v>26</v>
      </c>
      <c r="AL20" s="276">
        <f t="shared" ref="AL20" si="13">SUM(F21:AJ21)/8*1.5</f>
        <v>0</v>
      </c>
      <c r="AM20" s="264">
        <f t="shared" si="7"/>
        <v>0</v>
      </c>
      <c r="AN20" s="264">
        <f t="array" ref="AN20">SUM((F20:AJ20="L")*1)</f>
        <v>0</v>
      </c>
      <c r="AO20" s="264" t="s">
        <v>159</v>
      </c>
      <c r="AP20" s="278">
        <f t="array" ref="AP20">SUM((F21:AJ21&gt;=3)*1)</f>
        <v>0</v>
      </c>
      <c r="AQ20" s="278">
        <f t="array" ref="AQ20">SUM((F20:AJ20="K")*1)</f>
        <v>0</v>
      </c>
      <c r="AR20" s="268"/>
      <c r="AS20" s="18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1" customFormat="1" ht="18" customHeight="1">
      <c r="A21" s="271"/>
      <c r="B21" s="271"/>
      <c r="C21" s="273"/>
      <c r="D21" s="275"/>
      <c r="E21" s="63" t="s">
        <v>25</v>
      </c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277"/>
      <c r="AL21" s="277"/>
      <c r="AM21" s="265"/>
      <c r="AN21" s="265"/>
      <c r="AO21" s="265"/>
      <c r="AP21" s="279"/>
      <c r="AQ21" s="279"/>
      <c r="AR21" s="269"/>
      <c r="AS21" s="18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1" customFormat="1" ht="18" customHeight="1">
      <c r="A22" s="270">
        <f t="shared" ref="A22" si="14">IF(C22&lt;&gt;"",A20+1,"")</f>
        <v>5</v>
      </c>
      <c r="B22" s="270" t="s">
        <v>125</v>
      </c>
      <c r="C22" s="272" t="str">
        <f>IF(ISNA(VLOOKUP(B22,DS,2,0)),"",VLOOKUP(B22,DS,2,0))</f>
        <v>Huỳnh Minh Toàn</v>
      </c>
      <c r="D22" s="274" t="str">
        <f>VLOOKUP(B22,DS,3,0)</f>
        <v>Kinh Doanh</v>
      </c>
      <c r="E22" s="62" t="s">
        <v>26</v>
      </c>
      <c r="F22" s="129"/>
      <c r="G22" s="129">
        <v>8</v>
      </c>
      <c r="H22" s="129">
        <v>8</v>
      </c>
      <c r="I22" s="129">
        <v>8</v>
      </c>
      <c r="J22" s="129">
        <v>8</v>
      </c>
      <c r="K22" s="129">
        <v>8</v>
      </c>
      <c r="L22" s="129">
        <v>8</v>
      </c>
      <c r="M22" s="129"/>
      <c r="N22" s="129">
        <v>8</v>
      </c>
      <c r="O22" s="129">
        <v>8</v>
      </c>
      <c r="P22" s="129">
        <v>8</v>
      </c>
      <c r="Q22" s="129">
        <v>8</v>
      </c>
      <c r="R22" s="129">
        <v>8</v>
      </c>
      <c r="S22" s="129">
        <v>8</v>
      </c>
      <c r="T22" s="129"/>
      <c r="U22" s="129">
        <v>8</v>
      </c>
      <c r="V22" s="129">
        <v>8</v>
      </c>
      <c r="W22" s="129">
        <v>8</v>
      </c>
      <c r="X22" s="129">
        <v>8</v>
      </c>
      <c r="Y22" s="129">
        <v>8</v>
      </c>
      <c r="Z22" s="129">
        <v>8</v>
      </c>
      <c r="AA22" s="129"/>
      <c r="AB22" s="129">
        <v>8</v>
      </c>
      <c r="AC22" s="129">
        <v>8</v>
      </c>
      <c r="AD22" s="129">
        <v>8</v>
      </c>
      <c r="AE22" s="129">
        <v>8</v>
      </c>
      <c r="AF22" s="129">
        <v>8</v>
      </c>
      <c r="AG22" s="129">
        <v>8</v>
      </c>
      <c r="AH22" s="129"/>
      <c r="AI22" s="129">
        <v>8</v>
      </c>
      <c r="AJ22" s="129">
        <v>8</v>
      </c>
      <c r="AK22" s="276">
        <f t="shared" ref="AK22" si="15">((SUM(F22:AJ22))/8)-(SUMIF($F$6:$AJ$6,"C.Nhật",F22:AJ22)/8)</f>
        <v>26</v>
      </c>
      <c r="AL22" s="276">
        <f t="shared" ref="AL22" si="16">SUM(F23:AJ23)/8*1.5</f>
        <v>0</v>
      </c>
      <c r="AM22" s="264">
        <f t="shared" si="7"/>
        <v>0</v>
      </c>
      <c r="AN22" s="264">
        <f t="array" ref="AN22">SUM((F22:AJ22="L")*1)</f>
        <v>0</v>
      </c>
      <c r="AO22" s="264" t="s">
        <v>159</v>
      </c>
      <c r="AP22" s="278">
        <f t="array" ref="AP22">SUM((F23:AJ23&gt;=3)*1)</f>
        <v>0</v>
      </c>
      <c r="AQ22" s="278">
        <f t="array" ref="AQ22">SUM((F22:AJ22="K")*1)</f>
        <v>0</v>
      </c>
      <c r="AR22" s="268"/>
      <c r="AS22" s="183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1" customFormat="1" ht="18" customHeight="1">
      <c r="A23" s="271"/>
      <c r="B23" s="271"/>
      <c r="C23" s="273"/>
      <c r="D23" s="275"/>
      <c r="E23" s="63" t="s">
        <v>25</v>
      </c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277"/>
      <c r="AL23" s="277"/>
      <c r="AM23" s="265"/>
      <c r="AN23" s="265"/>
      <c r="AO23" s="265"/>
      <c r="AP23" s="279"/>
      <c r="AQ23" s="279"/>
      <c r="AR23" s="269"/>
      <c r="AS23" s="183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162" customFormat="1" ht="21" customHeight="1">
      <c r="A24" s="160" t="s">
        <v>101</v>
      </c>
      <c r="B24" s="168" t="s">
        <v>145</v>
      </c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163"/>
      <c r="AR24" s="164"/>
      <c r="AS24" s="161"/>
    </row>
    <row r="25" spans="1:90" s="61" customFormat="1" ht="18" customHeight="1">
      <c r="A25" s="270">
        <v>1</v>
      </c>
      <c r="B25" s="270" t="s">
        <v>126</v>
      </c>
      <c r="C25" s="272" t="str">
        <f>IF(ISNA(VLOOKUP(B25,DS,2,0)),"",VLOOKUP(B25,DS,2,0))</f>
        <v>Nguyễn Hồng Tâm</v>
      </c>
      <c r="D25" s="274" t="str">
        <f>VLOOKUP(B25,DS,3,0)</f>
        <v>Công Đoạn 1</v>
      </c>
      <c r="E25" s="62" t="s">
        <v>26</v>
      </c>
      <c r="F25" s="129"/>
      <c r="G25" s="129">
        <v>8</v>
      </c>
      <c r="H25" s="129"/>
      <c r="I25" s="129">
        <v>8</v>
      </c>
      <c r="J25" s="129">
        <v>8</v>
      </c>
      <c r="K25" s="129">
        <v>8</v>
      </c>
      <c r="L25" s="129">
        <v>8</v>
      </c>
      <c r="M25" s="129">
        <v>8</v>
      </c>
      <c r="N25" s="129">
        <v>8</v>
      </c>
      <c r="O25" s="129"/>
      <c r="P25" s="129">
        <v>8</v>
      </c>
      <c r="Q25" s="129">
        <v>8</v>
      </c>
      <c r="R25" s="129">
        <v>8</v>
      </c>
      <c r="S25" s="129">
        <v>8</v>
      </c>
      <c r="T25" s="129">
        <v>8</v>
      </c>
      <c r="U25" s="129">
        <v>8</v>
      </c>
      <c r="V25" s="129"/>
      <c r="W25" s="129">
        <v>8</v>
      </c>
      <c r="X25" s="129">
        <v>8</v>
      </c>
      <c r="Y25" s="129">
        <v>8</v>
      </c>
      <c r="Z25" s="129">
        <v>8</v>
      </c>
      <c r="AA25" s="129">
        <v>8</v>
      </c>
      <c r="AB25" s="129">
        <v>8</v>
      </c>
      <c r="AC25" s="129"/>
      <c r="AD25" s="129">
        <v>8</v>
      </c>
      <c r="AE25" s="129">
        <v>8</v>
      </c>
      <c r="AF25" s="129">
        <v>8</v>
      </c>
      <c r="AG25" s="129">
        <v>8</v>
      </c>
      <c r="AH25" s="129">
        <v>8</v>
      </c>
      <c r="AI25" s="129">
        <v>8</v>
      </c>
      <c r="AJ25" s="129"/>
      <c r="AK25" s="276">
        <f>((SUM(F25:AJ25))/8)-(SUMIF($F$6:$AJ$6,"C.Nhật",F25:AJ25)/8)</f>
        <v>21</v>
      </c>
      <c r="AL25" s="276">
        <f>SUM(F26:AJ26)/8*1.5</f>
        <v>0</v>
      </c>
      <c r="AM25" s="264">
        <f>SUMIF($F$6:$AJ$6,"C.Nhật",$F25:$AJ26)/8*2</f>
        <v>8</v>
      </c>
      <c r="AN25" s="264">
        <f t="array" ref="AN25">SUM((F25:AJ25="L")*1)</f>
        <v>0</v>
      </c>
      <c r="AO25" s="264" t="s">
        <v>159</v>
      </c>
      <c r="AP25" s="278">
        <f t="array" ref="AP25">SUM((F26:AJ26&gt;=3)*1)</f>
        <v>0</v>
      </c>
      <c r="AQ25" s="278">
        <f t="array" ref="AQ25">SUM((F25:AJ25="K")*1)</f>
        <v>0</v>
      </c>
      <c r="AR25" s="268"/>
      <c r="AS25" s="183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1" customFormat="1" ht="18" customHeight="1">
      <c r="A26" s="271"/>
      <c r="B26" s="271"/>
      <c r="C26" s="273"/>
      <c r="D26" s="275"/>
      <c r="E26" s="63" t="s">
        <v>25</v>
      </c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277"/>
      <c r="AL26" s="277"/>
      <c r="AM26" s="265"/>
      <c r="AN26" s="265"/>
      <c r="AO26" s="265"/>
      <c r="AP26" s="279"/>
      <c r="AQ26" s="279"/>
      <c r="AR26" s="269"/>
      <c r="AS26" s="183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1" customFormat="1" ht="18" customHeight="1">
      <c r="A27" s="270">
        <f>IF(C27&lt;&gt;"",A25+1,"")</f>
        <v>2</v>
      </c>
      <c r="B27" s="270" t="s">
        <v>127</v>
      </c>
      <c r="C27" s="272" t="str">
        <f>IF(ISNA(VLOOKUP(B27,DS,2,0)),"",VLOOKUP(B27,DS,2,0))</f>
        <v>Lê Thành Phước</v>
      </c>
      <c r="D27" s="274" t="str">
        <f>VLOOKUP(B27,DS,3,0)</f>
        <v>Công Đoạn 1</v>
      </c>
      <c r="E27" s="62" t="s">
        <v>26</v>
      </c>
      <c r="F27" s="129"/>
      <c r="G27" s="129">
        <v>8</v>
      </c>
      <c r="H27" s="129"/>
      <c r="I27" s="129">
        <v>8</v>
      </c>
      <c r="J27" s="129">
        <v>8</v>
      </c>
      <c r="K27" s="129">
        <v>8</v>
      </c>
      <c r="L27" s="129">
        <v>8</v>
      </c>
      <c r="M27" s="129">
        <v>8</v>
      </c>
      <c r="N27" s="129">
        <v>8</v>
      </c>
      <c r="O27" s="129"/>
      <c r="P27" s="129">
        <v>8</v>
      </c>
      <c r="Q27" s="129">
        <v>8</v>
      </c>
      <c r="R27" s="129">
        <v>8</v>
      </c>
      <c r="S27" s="129">
        <v>8</v>
      </c>
      <c r="T27" s="129">
        <v>8</v>
      </c>
      <c r="U27" s="129">
        <v>8</v>
      </c>
      <c r="V27" s="129"/>
      <c r="W27" s="129">
        <v>8</v>
      </c>
      <c r="X27" s="129">
        <v>8</v>
      </c>
      <c r="Y27" s="129">
        <v>8</v>
      </c>
      <c r="Z27" s="129">
        <v>8</v>
      </c>
      <c r="AA27" s="129">
        <v>8</v>
      </c>
      <c r="AB27" s="129">
        <v>8</v>
      </c>
      <c r="AC27" s="129"/>
      <c r="AD27" s="129">
        <v>8</v>
      </c>
      <c r="AE27" s="129">
        <v>8</v>
      </c>
      <c r="AF27" s="129">
        <v>8</v>
      </c>
      <c r="AG27" s="129">
        <v>8</v>
      </c>
      <c r="AH27" s="129">
        <v>8</v>
      </c>
      <c r="AI27" s="129">
        <v>8</v>
      </c>
      <c r="AJ27" s="129"/>
      <c r="AK27" s="276">
        <f t="shared" ref="AK27" si="17">((SUM(F27:AJ27))/8)-(SUMIF($F$6:$AJ$6,"C.Nhật",F27:AJ27)/8)</f>
        <v>21</v>
      </c>
      <c r="AL27" s="276">
        <f t="shared" ref="AL27" si="18">SUM(F28:AJ28)/8*1.5</f>
        <v>0</v>
      </c>
      <c r="AM27" s="264">
        <f t="shared" ref="AM27" si="19">SUMIF($F$6:$AJ$6,"C.Nhật",$F27:$AJ28)/8*2</f>
        <v>8</v>
      </c>
      <c r="AN27" s="264">
        <f t="array" ref="AN27">SUM((F27:AJ27="L")*1)</f>
        <v>0</v>
      </c>
      <c r="AO27" s="264" t="s">
        <v>159</v>
      </c>
      <c r="AP27" s="278">
        <f t="array" ref="AP27">SUM((F28:AJ28&gt;=3)*1)</f>
        <v>0</v>
      </c>
      <c r="AQ27" s="278">
        <f t="array" ref="AQ27">SUM((F27:AJ27="K")*1)</f>
        <v>0</v>
      </c>
      <c r="AR27" s="268"/>
      <c r="AS27" s="183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1" customFormat="1" ht="18" customHeight="1">
      <c r="A28" s="271"/>
      <c r="B28" s="271"/>
      <c r="C28" s="273"/>
      <c r="D28" s="275"/>
      <c r="E28" s="63" t="s">
        <v>25</v>
      </c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277"/>
      <c r="AL28" s="277"/>
      <c r="AM28" s="265"/>
      <c r="AN28" s="265"/>
      <c r="AO28" s="265"/>
      <c r="AP28" s="279"/>
      <c r="AQ28" s="279"/>
      <c r="AR28" s="269"/>
      <c r="AS28" s="183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162" customFormat="1" ht="21" customHeight="1">
      <c r="A29" s="160" t="s">
        <v>148</v>
      </c>
      <c r="B29" s="168" t="s">
        <v>146</v>
      </c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  <c r="AJ29" s="163"/>
      <c r="AK29" s="163"/>
      <c r="AL29" s="163"/>
      <c r="AM29" s="163"/>
      <c r="AN29" s="163"/>
      <c r="AO29" s="163"/>
      <c r="AP29" s="163"/>
      <c r="AQ29" s="163"/>
      <c r="AR29" s="164"/>
      <c r="AS29" s="161"/>
    </row>
    <row r="30" spans="1:90" s="61" customFormat="1" ht="18" customHeight="1">
      <c r="A30" s="270">
        <v>1</v>
      </c>
      <c r="B30" s="270" t="s">
        <v>128</v>
      </c>
      <c r="C30" s="272" t="str">
        <f>IF(ISNA(VLOOKUP(B30,DS,2,0)),"",VLOOKUP(B30,DS,2,0))</f>
        <v>Lê Văn Hữu</v>
      </c>
      <c r="D30" s="274" t="str">
        <f>VLOOKUP(B30,DS,3,0)</f>
        <v>Công Đoạn 1</v>
      </c>
      <c r="E30" s="62" t="s">
        <v>26</v>
      </c>
      <c r="F30" s="129"/>
      <c r="G30" s="129">
        <v>8</v>
      </c>
      <c r="H30" s="129"/>
      <c r="I30" s="129">
        <v>8</v>
      </c>
      <c r="J30" s="129">
        <v>8</v>
      </c>
      <c r="K30" s="129">
        <v>8</v>
      </c>
      <c r="L30" s="129">
        <v>8</v>
      </c>
      <c r="M30" s="129">
        <v>8</v>
      </c>
      <c r="N30" s="129">
        <v>8</v>
      </c>
      <c r="O30" s="129"/>
      <c r="P30" s="129">
        <v>8</v>
      </c>
      <c r="Q30" s="129">
        <v>8</v>
      </c>
      <c r="R30" s="129">
        <v>8</v>
      </c>
      <c r="S30" s="129">
        <v>8</v>
      </c>
      <c r="T30" s="129">
        <v>8</v>
      </c>
      <c r="U30" s="129">
        <v>8</v>
      </c>
      <c r="V30" s="129"/>
      <c r="W30" s="129">
        <v>8</v>
      </c>
      <c r="X30" s="129">
        <v>8</v>
      </c>
      <c r="Y30" s="129">
        <v>8</v>
      </c>
      <c r="Z30" s="129">
        <v>8</v>
      </c>
      <c r="AA30" s="129">
        <v>8</v>
      </c>
      <c r="AB30" s="129">
        <v>8</v>
      </c>
      <c r="AC30" s="129"/>
      <c r="AD30" s="129">
        <v>8</v>
      </c>
      <c r="AE30" s="129">
        <v>8</v>
      </c>
      <c r="AF30" s="129">
        <v>8</v>
      </c>
      <c r="AG30" s="129">
        <v>8</v>
      </c>
      <c r="AH30" s="129">
        <v>8</v>
      </c>
      <c r="AI30" s="129">
        <v>8</v>
      </c>
      <c r="AJ30" s="129"/>
      <c r="AK30" s="276">
        <f>((SUM(F30:AJ30))/8)-(SUMIF($F$6:$AJ$6,"C.Nhật",F30:AJ30)/8)</f>
        <v>21</v>
      </c>
      <c r="AL30" s="276">
        <f>SUM(F31:AJ31)/8*1.5</f>
        <v>0</v>
      </c>
      <c r="AM30" s="264">
        <f>SUMIF($F$6:$AJ$6,"C.Nhật",$F30:$AJ31)/8*2</f>
        <v>8</v>
      </c>
      <c r="AN30" s="264">
        <f t="array" ref="AN30">SUM((F30:AJ30="L")*1)</f>
        <v>0</v>
      </c>
      <c r="AO30" s="264" t="s">
        <v>159</v>
      </c>
      <c r="AP30" s="278">
        <f t="array" ref="AP30">SUM((F31:AJ31&gt;=3)*1)</f>
        <v>0</v>
      </c>
      <c r="AQ30" s="278">
        <f t="array" ref="AQ30">SUM((F30:AJ30="K")*1)</f>
        <v>0</v>
      </c>
      <c r="AR30" s="268"/>
      <c r="AS30" s="183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1" customFormat="1" ht="18" customHeight="1">
      <c r="A31" s="271"/>
      <c r="B31" s="271"/>
      <c r="C31" s="273"/>
      <c r="D31" s="275"/>
      <c r="E31" s="63" t="s">
        <v>25</v>
      </c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277"/>
      <c r="AL31" s="277"/>
      <c r="AM31" s="265"/>
      <c r="AN31" s="265"/>
      <c r="AO31" s="265"/>
      <c r="AP31" s="279"/>
      <c r="AQ31" s="279"/>
      <c r="AR31" s="269"/>
      <c r="AS31" s="183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1" customFormat="1" ht="18" customHeight="1">
      <c r="A32" s="270">
        <f>IF(C32&lt;&gt;"",A30+1,"")</f>
        <v>2</v>
      </c>
      <c r="B32" s="270" t="s">
        <v>129</v>
      </c>
      <c r="C32" s="272" t="str">
        <f>IF(ISNA(VLOOKUP(B32,DS,2,0)),"",VLOOKUP(B32,DS,2,0))</f>
        <v>Bùi Trường Giang</v>
      </c>
      <c r="D32" s="274" t="str">
        <f>VLOOKUP(B32,DS,3,0)</f>
        <v>Công Đoạn 1</v>
      </c>
      <c r="E32" s="62" t="s">
        <v>26</v>
      </c>
      <c r="F32" s="129"/>
      <c r="G32" s="129">
        <v>8</v>
      </c>
      <c r="H32" s="129"/>
      <c r="I32" s="129">
        <v>8</v>
      </c>
      <c r="J32" s="129">
        <v>8</v>
      </c>
      <c r="K32" s="129">
        <v>8</v>
      </c>
      <c r="L32" s="129">
        <v>8</v>
      </c>
      <c r="M32" s="129">
        <v>8</v>
      </c>
      <c r="N32" s="129">
        <v>8</v>
      </c>
      <c r="O32" s="129"/>
      <c r="P32" s="129">
        <v>8</v>
      </c>
      <c r="Q32" s="129">
        <v>8</v>
      </c>
      <c r="R32" s="129">
        <v>8</v>
      </c>
      <c r="S32" s="129">
        <v>8</v>
      </c>
      <c r="T32" s="129">
        <v>8</v>
      </c>
      <c r="U32" s="129">
        <v>8</v>
      </c>
      <c r="V32" s="129"/>
      <c r="W32" s="129">
        <v>8</v>
      </c>
      <c r="X32" s="129">
        <v>8</v>
      </c>
      <c r="Y32" s="129">
        <v>8</v>
      </c>
      <c r="Z32" s="129">
        <v>8</v>
      </c>
      <c r="AA32" s="129">
        <v>8</v>
      </c>
      <c r="AB32" s="129">
        <v>8</v>
      </c>
      <c r="AC32" s="129"/>
      <c r="AD32" s="129">
        <v>8</v>
      </c>
      <c r="AE32" s="129">
        <v>8</v>
      </c>
      <c r="AF32" s="129">
        <v>8</v>
      </c>
      <c r="AG32" s="129">
        <v>8</v>
      </c>
      <c r="AH32" s="129">
        <v>8</v>
      </c>
      <c r="AI32" s="129">
        <v>8</v>
      </c>
      <c r="AJ32" s="129"/>
      <c r="AK32" s="276">
        <f t="shared" ref="AK32" si="20">((SUM(F32:AJ32))/8)-(SUMIF($F$6:$AJ$6,"C.Nhật",F32:AJ32)/8)</f>
        <v>21</v>
      </c>
      <c r="AL32" s="276">
        <f t="shared" ref="AL32" si="21">SUM(F33:AJ33)/8*1.5</f>
        <v>0</v>
      </c>
      <c r="AM32" s="264">
        <f t="shared" ref="AM32:AM46" si="22">SUMIF($F$6:$AJ$6,"C.Nhật",$F32:$AJ33)/8*2</f>
        <v>8</v>
      </c>
      <c r="AN32" s="264">
        <f t="array" ref="AN32">SUM((F32:AJ32="L")*1)</f>
        <v>0</v>
      </c>
      <c r="AO32" s="264" t="s">
        <v>159</v>
      </c>
      <c r="AP32" s="278">
        <f t="array" ref="AP32">SUM((F33:AJ33&gt;=3)*1)</f>
        <v>0</v>
      </c>
      <c r="AQ32" s="278">
        <f t="array" ref="AQ32">SUM((F32:AJ32="K")*1)</f>
        <v>0</v>
      </c>
      <c r="AR32" s="268"/>
      <c r="AS32" s="183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1" customFormat="1" ht="18" customHeight="1">
      <c r="A33" s="271"/>
      <c r="B33" s="271"/>
      <c r="C33" s="273"/>
      <c r="D33" s="275"/>
      <c r="E33" s="63" t="s">
        <v>25</v>
      </c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277"/>
      <c r="AL33" s="277"/>
      <c r="AM33" s="265"/>
      <c r="AN33" s="265"/>
      <c r="AO33" s="265"/>
      <c r="AP33" s="279"/>
      <c r="AQ33" s="279"/>
      <c r="AR33" s="269"/>
      <c r="AS33" s="183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1" customFormat="1" ht="18" customHeight="1">
      <c r="A34" s="270">
        <f t="shared" ref="A34" si="23">IF(C34&lt;&gt;"",A32+1,"")</f>
        <v>3</v>
      </c>
      <c r="B34" s="270" t="s">
        <v>130</v>
      </c>
      <c r="C34" s="272" t="str">
        <f>IF(ISNA(VLOOKUP(B34,DS,2,0)),"",VLOOKUP(B34,DS,2,0))</f>
        <v>Nguyễn T Bích Thủy</v>
      </c>
      <c r="D34" s="274" t="str">
        <f>VLOOKUP(B34,DS,3,0)</f>
        <v>Công Đoạn 1</v>
      </c>
      <c r="E34" s="62" t="s">
        <v>26</v>
      </c>
      <c r="F34" s="129"/>
      <c r="G34" s="129">
        <v>8</v>
      </c>
      <c r="H34" s="129"/>
      <c r="I34" s="129">
        <v>8</v>
      </c>
      <c r="J34" s="129">
        <v>8</v>
      </c>
      <c r="K34" s="129">
        <v>8</v>
      </c>
      <c r="L34" s="129">
        <v>8</v>
      </c>
      <c r="M34" s="129">
        <v>8</v>
      </c>
      <c r="N34" s="129">
        <v>8</v>
      </c>
      <c r="O34" s="129"/>
      <c r="P34" s="129">
        <v>8</v>
      </c>
      <c r="Q34" s="129">
        <v>8</v>
      </c>
      <c r="R34" s="129">
        <v>8</v>
      </c>
      <c r="S34" s="129">
        <v>8</v>
      </c>
      <c r="T34" s="129">
        <v>8</v>
      </c>
      <c r="U34" s="129">
        <v>8</v>
      </c>
      <c r="V34" s="129"/>
      <c r="W34" s="129">
        <v>8</v>
      </c>
      <c r="X34" s="129">
        <v>8</v>
      </c>
      <c r="Y34" s="129">
        <v>8</v>
      </c>
      <c r="Z34" s="129">
        <v>8</v>
      </c>
      <c r="AA34" s="129">
        <v>8</v>
      </c>
      <c r="AB34" s="129">
        <v>8</v>
      </c>
      <c r="AC34" s="129"/>
      <c r="AD34" s="129">
        <v>8</v>
      </c>
      <c r="AE34" s="129">
        <v>8</v>
      </c>
      <c r="AF34" s="129">
        <v>8</v>
      </c>
      <c r="AG34" s="129">
        <v>8</v>
      </c>
      <c r="AH34" s="129">
        <v>8</v>
      </c>
      <c r="AI34" s="129">
        <v>8</v>
      </c>
      <c r="AJ34" s="129"/>
      <c r="AK34" s="276">
        <f t="shared" ref="AK34" si="24">((SUM(F34:AJ34))/8)-(SUMIF($F$6:$AJ$6,"C.Nhật",F34:AJ34)/8)</f>
        <v>21</v>
      </c>
      <c r="AL34" s="276">
        <f t="shared" ref="AL34" si="25">SUM(F35:AJ35)/8*1.5</f>
        <v>0</v>
      </c>
      <c r="AM34" s="264">
        <f t="shared" si="22"/>
        <v>8</v>
      </c>
      <c r="AN34" s="264">
        <f t="array" ref="AN34">SUM((F34:AJ34="L")*1)</f>
        <v>0</v>
      </c>
      <c r="AO34" s="264" t="s">
        <v>159</v>
      </c>
      <c r="AP34" s="278">
        <f t="array" ref="AP34">SUM((F35:AJ35&gt;=3)*1)</f>
        <v>0</v>
      </c>
      <c r="AQ34" s="278">
        <f t="array" ref="AQ34">SUM((F34:AJ34="K")*1)</f>
        <v>0</v>
      </c>
      <c r="AR34" s="268"/>
      <c r="AS34" s="183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1" customFormat="1" ht="18" customHeight="1">
      <c r="A35" s="271"/>
      <c r="B35" s="271"/>
      <c r="C35" s="273"/>
      <c r="D35" s="275"/>
      <c r="E35" s="63" t="s">
        <v>25</v>
      </c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277"/>
      <c r="AL35" s="277"/>
      <c r="AM35" s="265"/>
      <c r="AN35" s="265"/>
      <c r="AO35" s="265"/>
      <c r="AP35" s="279"/>
      <c r="AQ35" s="279"/>
      <c r="AR35" s="269"/>
      <c r="AS35" s="183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1" customFormat="1" ht="18" customHeight="1">
      <c r="A36" s="270">
        <f t="shared" ref="A36" si="26">IF(C36&lt;&gt;"",A34+1,"")</f>
        <v>4</v>
      </c>
      <c r="B36" s="270" t="s">
        <v>131</v>
      </c>
      <c r="C36" s="272" t="str">
        <f>IF(ISNA(VLOOKUP(B36,DS,2,0)),"",VLOOKUP(B36,DS,2,0))</f>
        <v>Phan Hùng Trí</v>
      </c>
      <c r="D36" s="274" t="str">
        <f>VLOOKUP(B36,DS,3,0)</f>
        <v>Công Đoạn 1</v>
      </c>
      <c r="E36" s="62" t="s">
        <v>26</v>
      </c>
      <c r="F36" s="129"/>
      <c r="G36" s="129">
        <v>8</v>
      </c>
      <c r="H36" s="129"/>
      <c r="I36" s="129">
        <v>8</v>
      </c>
      <c r="J36" s="129">
        <v>8</v>
      </c>
      <c r="K36" s="129">
        <v>8</v>
      </c>
      <c r="L36" s="129">
        <v>8</v>
      </c>
      <c r="M36" s="129">
        <v>8</v>
      </c>
      <c r="N36" s="129">
        <v>8</v>
      </c>
      <c r="O36" s="129"/>
      <c r="P36" s="129">
        <v>8</v>
      </c>
      <c r="Q36" s="129">
        <v>8</v>
      </c>
      <c r="R36" s="129">
        <v>8</v>
      </c>
      <c r="S36" s="129">
        <v>8</v>
      </c>
      <c r="T36" s="129">
        <v>8</v>
      </c>
      <c r="U36" s="129">
        <v>8</v>
      </c>
      <c r="V36" s="129"/>
      <c r="W36" s="129">
        <v>8</v>
      </c>
      <c r="X36" s="129">
        <v>8</v>
      </c>
      <c r="Y36" s="129">
        <v>8</v>
      </c>
      <c r="Z36" s="129">
        <v>8</v>
      </c>
      <c r="AA36" s="129">
        <v>8</v>
      </c>
      <c r="AB36" s="129">
        <v>8</v>
      </c>
      <c r="AC36" s="129"/>
      <c r="AD36" s="129">
        <v>8</v>
      </c>
      <c r="AE36" s="129">
        <v>8</v>
      </c>
      <c r="AF36" s="129">
        <v>8</v>
      </c>
      <c r="AG36" s="129">
        <v>8</v>
      </c>
      <c r="AH36" s="129">
        <v>8</v>
      </c>
      <c r="AI36" s="129">
        <v>8</v>
      </c>
      <c r="AJ36" s="129"/>
      <c r="AK36" s="276">
        <f t="shared" ref="AK36" si="27">((SUM(F36:AJ36))/8)-(SUMIF($F$6:$AJ$6,"C.Nhật",F36:AJ36)/8)</f>
        <v>21</v>
      </c>
      <c r="AL36" s="276">
        <f t="shared" ref="AL36" si="28">SUM(F37:AJ37)/8*1.5</f>
        <v>0</v>
      </c>
      <c r="AM36" s="264">
        <f t="shared" si="22"/>
        <v>8</v>
      </c>
      <c r="AN36" s="264">
        <f t="array" ref="AN36">SUM((F36:AJ36="L")*1)</f>
        <v>0</v>
      </c>
      <c r="AO36" s="264" t="s">
        <v>159</v>
      </c>
      <c r="AP36" s="278">
        <f t="array" ref="AP36">SUM((F37:AJ37&gt;=3)*1)</f>
        <v>0</v>
      </c>
      <c r="AQ36" s="278">
        <f t="array" ref="AQ36">SUM((F36:AJ36="K")*1)</f>
        <v>0</v>
      </c>
      <c r="AR36" s="268"/>
      <c r="AS36" s="183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1" customFormat="1" ht="18" customHeight="1">
      <c r="A37" s="271"/>
      <c r="B37" s="271"/>
      <c r="C37" s="273"/>
      <c r="D37" s="275"/>
      <c r="E37" s="63" t="s">
        <v>25</v>
      </c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277"/>
      <c r="AL37" s="277"/>
      <c r="AM37" s="265"/>
      <c r="AN37" s="265"/>
      <c r="AO37" s="265"/>
      <c r="AP37" s="279"/>
      <c r="AQ37" s="279"/>
      <c r="AR37" s="269"/>
      <c r="AS37" s="183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1" customFormat="1" ht="18" customHeight="1">
      <c r="A38" s="270">
        <f t="shared" ref="A38" si="29">IF(C38&lt;&gt;"",A36+1,"")</f>
        <v>5</v>
      </c>
      <c r="B38" s="270" t="s">
        <v>132</v>
      </c>
      <c r="C38" s="272" t="str">
        <f>IF(ISNA(VLOOKUP(B38,DS,2,0)),"",VLOOKUP(B38,DS,2,0))</f>
        <v>Lý Thanh Hải</v>
      </c>
      <c r="D38" s="274" t="str">
        <f>VLOOKUP(B38,DS,3,0)</f>
        <v>Công Đoạn 1</v>
      </c>
      <c r="E38" s="62" t="s">
        <v>26</v>
      </c>
      <c r="F38" s="129"/>
      <c r="G38" s="129">
        <v>8</v>
      </c>
      <c r="H38" s="129"/>
      <c r="I38" s="129">
        <v>8</v>
      </c>
      <c r="J38" s="129">
        <v>8</v>
      </c>
      <c r="K38" s="129">
        <v>8</v>
      </c>
      <c r="L38" s="129">
        <v>8</v>
      </c>
      <c r="M38" s="129">
        <v>8</v>
      </c>
      <c r="N38" s="129">
        <v>8</v>
      </c>
      <c r="O38" s="129"/>
      <c r="P38" s="129">
        <v>8</v>
      </c>
      <c r="Q38" s="129">
        <v>8</v>
      </c>
      <c r="R38" s="129">
        <v>8</v>
      </c>
      <c r="S38" s="129">
        <v>8</v>
      </c>
      <c r="T38" s="129">
        <v>8</v>
      </c>
      <c r="U38" s="129">
        <v>8</v>
      </c>
      <c r="V38" s="129"/>
      <c r="W38" s="129">
        <v>8</v>
      </c>
      <c r="X38" s="129">
        <v>8</v>
      </c>
      <c r="Y38" s="129">
        <v>8</v>
      </c>
      <c r="Z38" s="129">
        <v>8</v>
      </c>
      <c r="AA38" s="129">
        <v>8</v>
      </c>
      <c r="AB38" s="129">
        <v>8</v>
      </c>
      <c r="AC38" s="129"/>
      <c r="AD38" s="129">
        <v>8</v>
      </c>
      <c r="AE38" s="129">
        <v>8</v>
      </c>
      <c r="AF38" s="129">
        <v>8</v>
      </c>
      <c r="AG38" s="129">
        <v>8</v>
      </c>
      <c r="AH38" s="129">
        <v>8</v>
      </c>
      <c r="AI38" s="129">
        <v>8</v>
      </c>
      <c r="AJ38" s="129"/>
      <c r="AK38" s="276">
        <f t="shared" ref="AK38" si="30">((SUM(F38:AJ38))/8)-(SUMIF($F$6:$AJ$6,"C.Nhật",F38:AJ38)/8)</f>
        <v>21</v>
      </c>
      <c r="AL38" s="276">
        <f t="shared" ref="AL38" si="31">SUM(F39:AJ39)/8*1.5</f>
        <v>0</v>
      </c>
      <c r="AM38" s="264">
        <f t="shared" si="22"/>
        <v>8</v>
      </c>
      <c r="AN38" s="264">
        <f t="array" ref="AN38">SUM((F38:AJ38="L")*1)</f>
        <v>0</v>
      </c>
      <c r="AO38" s="264" t="s">
        <v>159</v>
      </c>
      <c r="AP38" s="278">
        <f t="array" ref="AP38">SUM((F39:AJ39&gt;=3)*1)</f>
        <v>0</v>
      </c>
      <c r="AQ38" s="278">
        <f t="array" ref="AQ38">SUM((F38:AJ38="K")*1)</f>
        <v>0</v>
      </c>
      <c r="AR38" s="268"/>
      <c r="AS38" s="183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1" customFormat="1" ht="18" customHeight="1">
      <c r="A39" s="271"/>
      <c r="B39" s="271"/>
      <c r="C39" s="273"/>
      <c r="D39" s="275"/>
      <c r="E39" s="63" t="s">
        <v>25</v>
      </c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277"/>
      <c r="AL39" s="277"/>
      <c r="AM39" s="265"/>
      <c r="AN39" s="265"/>
      <c r="AO39" s="265"/>
      <c r="AP39" s="279"/>
      <c r="AQ39" s="279"/>
      <c r="AR39" s="269"/>
      <c r="AS39" s="183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1" customFormat="1" ht="18" customHeight="1">
      <c r="A40" s="270">
        <f t="shared" ref="A40" si="32">IF(C40&lt;&gt;"",A38+1,"")</f>
        <v>6</v>
      </c>
      <c r="B40" s="270" t="s">
        <v>133</v>
      </c>
      <c r="C40" s="272" t="str">
        <f>IF(ISNA(VLOOKUP(B40,DS,2,0)),"",VLOOKUP(B40,DS,2,0))</f>
        <v>Danh Sà Phép</v>
      </c>
      <c r="D40" s="274" t="str">
        <f>VLOOKUP(B40,DS,3,0)</f>
        <v>Công Đoạn 1</v>
      </c>
      <c r="E40" s="62" t="s">
        <v>26</v>
      </c>
      <c r="F40" s="129"/>
      <c r="G40" s="129">
        <v>8</v>
      </c>
      <c r="H40" s="129"/>
      <c r="I40" s="129">
        <v>8</v>
      </c>
      <c r="J40" s="129">
        <v>8</v>
      </c>
      <c r="K40" s="129">
        <v>8</v>
      </c>
      <c r="L40" s="129">
        <v>8</v>
      </c>
      <c r="M40" s="129">
        <v>8</v>
      </c>
      <c r="N40" s="129">
        <v>8</v>
      </c>
      <c r="O40" s="129"/>
      <c r="P40" s="129">
        <v>8</v>
      </c>
      <c r="Q40" s="129">
        <v>8</v>
      </c>
      <c r="R40" s="129">
        <v>8</v>
      </c>
      <c r="S40" s="129">
        <v>8</v>
      </c>
      <c r="T40" s="129">
        <v>8</v>
      </c>
      <c r="U40" s="129">
        <v>8</v>
      </c>
      <c r="V40" s="129"/>
      <c r="W40" s="129">
        <v>8</v>
      </c>
      <c r="X40" s="129">
        <v>8</v>
      </c>
      <c r="Y40" s="129">
        <v>8</v>
      </c>
      <c r="Z40" s="129">
        <v>8</v>
      </c>
      <c r="AA40" s="129">
        <v>8</v>
      </c>
      <c r="AB40" s="129">
        <v>8</v>
      </c>
      <c r="AC40" s="129"/>
      <c r="AD40" s="129">
        <v>8</v>
      </c>
      <c r="AE40" s="129">
        <v>8</v>
      </c>
      <c r="AF40" s="129">
        <v>8</v>
      </c>
      <c r="AG40" s="129">
        <v>8</v>
      </c>
      <c r="AH40" s="129">
        <v>8</v>
      </c>
      <c r="AI40" s="129">
        <v>8</v>
      </c>
      <c r="AJ40" s="129"/>
      <c r="AK40" s="276">
        <f t="shared" ref="AK40" si="33">((SUM(F40:AJ40))/8)-(SUMIF($F$6:$AJ$6,"C.Nhật",F40:AJ40)/8)</f>
        <v>21</v>
      </c>
      <c r="AL40" s="276">
        <f t="shared" ref="AL40" si="34">SUM(F41:AJ41)/8*1.5</f>
        <v>0</v>
      </c>
      <c r="AM40" s="264">
        <f t="shared" si="22"/>
        <v>8</v>
      </c>
      <c r="AN40" s="264">
        <f t="array" ref="AN40">SUM((F40:AJ40="L")*1)</f>
        <v>0</v>
      </c>
      <c r="AO40" s="264" t="s">
        <v>159</v>
      </c>
      <c r="AP40" s="278">
        <f t="array" ref="AP40">SUM((F41:AJ41&gt;=3)*1)</f>
        <v>0</v>
      </c>
      <c r="AQ40" s="278">
        <f t="array" ref="AQ40">SUM((F40:AJ40="K")*1)</f>
        <v>0</v>
      </c>
      <c r="AR40" s="268"/>
      <c r="AS40" s="183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1" customFormat="1" ht="18" customHeight="1">
      <c r="A41" s="271"/>
      <c r="B41" s="271"/>
      <c r="C41" s="273"/>
      <c r="D41" s="275"/>
      <c r="E41" s="63" t="s">
        <v>25</v>
      </c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277"/>
      <c r="AL41" s="277"/>
      <c r="AM41" s="265"/>
      <c r="AN41" s="265"/>
      <c r="AO41" s="265"/>
      <c r="AP41" s="279"/>
      <c r="AQ41" s="279"/>
      <c r="AR41" s="269"/>
      <c r="AS41" s="183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1" customFormat="1" ht="18" customHeight="1">
      <c r="A42" s="270">
        <f t="shared" ref="A42" si="35">IF(C42&lt;&gt;"",A40+1,"")</f>
        <v>7</v>
      </c>
      <c r="B42" s="270" t="s">
        <v>134</v>
      </c>
      <c r="C42" s="272" t="str">
        <f>IF(ISNA(VLOOKUP(B42,DS,2,0)),"",VLOOKUP(B42,DS,2,0))</f>
        <v>Nguyễn Thị Sự</v>
      </c>
      <c r="D42" s="274" t="str">
        <f>VLOOKUP(B42,DS,3,0)</f>
        <v>Công Đoạn 1</v>
      </c>
      <c r="E42" s="62" t="s">
        <v>26</v>
      </c>
      <c r="F42" s="129"/>
      <c r="G42" s="129">
        <v>8</v>
      </c>
      <c r="H42" s="129"/>
      <c r="I42" s="129">
        <v>8</v>
      </c>
      <c r="J42" s="129">
        <v>8</v>
      </c>
      <c r="K42" s="129">
        <v>8</v>
      </c>
      <c r="L42" s="129">
        <v>8</v>
      </c>
      <c r="M42" s="129">
        <v>8</v>
      </c>
      <c r="N42" s="129">
        <v>8</v>
      </c>
      <c r="O42" s="129"/>
      <c r="P42" s="129">
        <v>8</v>
      </c>
      <c r="Q42" s="129">
        <v>8</v>
      </c>
      <c r="R42" s="129">
        <v>8</v>
      </c>
      <c r="S42" s="129">
        <v>8</v>
      </c>
      <c r="T42" s="129">
        <v>8</v>
      </c>
      <c r="U42" s="129">
        <v>8</v>
      </c>
      <c r="V42" s="129"/>
      <c r="W42" s="129">
        <v>8</v>
      </c>
      <c r="X42" s="129">
        <v>8</v>
      </c>
      <c r="Y42" s="129">
        <v>8</v>
      </c>
      <c r="Z42" s="129">
        <v>8</v>
      </c>
      <c r="AA42" s="129">
        <v>8</v>
      </c>
      <c r="AB42" s="129">
        <v>8</v>
      </c>
      <c r="AC42" s="129"/>
      <c r="AD42" s="129">
        <v>8</v>
      </c>
      <c r="AE42" s="129">
        <v>8</v>
      </c>
      <c r="AF42" s="129">
        <v>8</v>
      </c>
      <c r="AG42" s="129">
        <v>8</v>
      </c>
      <c r="AH42" s="129">
        <v>8</v>
      </c>
      <c r="AI42" s="129">
        <v>8</v>
      </c>
      <c r="AJ42" s="129"/>
      <c r="AK42" s="276">
        <f t="shared" ref="AK42" si="36">((SUM(F42:AJ42))/8)-(SUMIF($F$6:$AJ$6,"C.Nhật",F42:AJ42)/8)</f>
        <v>21</v>
      </c>
      <c r="AL42" s="276">
        <f t="shared" ref="AL42" si="37">SUM(F43:AJ43)/8*1.5</f>
        <v>0</v>
      </c>
      <c r="AM42" s="264">
        <f t="shared" si="22"/>
        <v>8</v>
      </c>
      <c r="AN42" s="264">
        <f t="array" ref="AN42">SUM((F42:AJ42="L")*1)</f>
        <v>0</v>
      </c>
      <c r="AO42" s="264" t="s">
        <v>159</v>
      </c>
      <c r="AP42" s="278">
        <f t="array" ref="AP42">SUM((F43:AJ43&gt;=3)*1)</f>
        <v>0</v>
      </c>
      <c r="AQ42" s="278">
        <f t="array" ref="AQ42">SUM((F42:AJ42="K")*1)</f>
        <v>0</v>
      </c>
      <c r="AR42" s="268"/>
      <c r="AS42" s="183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1" customFormat="1" ht="18" customHeight="1">
      <c r="A43" s="271"/>
      <c r="B43" s="271"/>
      <c r="C43" s="273"/>
      <c r="D43" s="275"/>
      <c r="E43" s="63" t="s">
        <v>25</v>
      </c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277"/>
      <c r="AL43" s="277"/>
      <c r="AM43" s="265"/>
      <c r="AN43" s="265"/>
      <c r="AO43" s="265"/>
      <c r="AP43" s="279"/>
      <c r="AQ43" s="279"/>
      <c r="AR43" s="269"/>
      <c r="AS43" s="183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1" customFormat="1" ht="18" customHeight="1">
      <c r="A44" s="270">
        <f t="shared" ref="A44" si="38">IF(C44&lt;&gt;"",A42+1,"")</f>
        <v>8</v>
      </c>
      <c r="B44" s="270" t="s">
        <v>135</v>
      </c>
      <c r="C44" s="272" t="str">
        <f>IF(ISNA(VLOOKUP(B44,DS,2,0)),"",VLOOKUP(B44,DS,2,0))</f>
        <v>Sơn Minh Bảo</v>
      </c>
      <c r="D44" s="274" t="str">
        <f>VLOOKUP(B44,DS,3,0)</f>
        <v>Công Đoạn 1</v>
      </c>
      <c r="E44" s="62" t="s">
        <v>26</v>
      </c>
      <c r="F44" s="129"/>
      <c r="G44" s="129">
        <v>8</v>
      </c>
      <c r="H44" s="129"/>
      <c r="I44" s="129">
        <v>8</v>
      </c>
      <c r="J44" s="129">
        <v>8</v>
      </c>
      <c r="K44" s="129">
        <v>8</v>
      </c>
      <c r="L44" s="129">
        <v>8</v>
      </c>
      <c r="M44" s="129">
        <v>8</v>
      </c>
      <c r="N44" s="129">
        <v>8</v>
      </c>
      <c r="O44" s="129"/>
      <c r="P44" s="129">
        <v>8</v>
      </c>
      <c r="Q44" s="129">
        <v>8</v>
      </c>
      <c r="R44" s="129">
        <v>8</v>
      </c>
      <c r="S44" s="129">
        <v>8</v>
      </c>
      <c r="T44" s="129">
        <v>8</v>
      </c>
      <c r="U44" s="129">
        <v>8</v>
      </c>
      <c r="V44" s="129"/>
      <c r="W44" s="129">
        <v>8</v>
      </c>
      <c r="X44" s="129">
        <v>8</v>
      </c>
      <c r="Y44" s="129">
        <v>8</v>
      </c>
      <c r="Z44" s="129">
        <v>8</v>
      </c>
      <c r="AA44" s="129">
        <v>8</v>
      </c>
      <c r="AB44" s="129">
        <v>8</v>
      </c>
      <c r="AC44" s="129"/>
      <c r="AD44" s="129">
        <v>8</v>
      </c>
      <c r="AE44" s="129">
        <v>8</v>
      </c>
      <c r="AF44" s="129">
        <v>8</v>
      </c>
      <c r="AG44" s="129">
        <v>8</v>
      </c>
      <c r="AH44" s="129">
        <v>8</v>
      </c>
      <c r="AI44" s="129">
        <v>8</v>
      </c>
      <c r="AJ44" s="129"/>
      <c r="AK44" s="276">
        <f t="shared" ref="AK44" si="39">((SUM(F44:AJ44))/8)-(SUMIF($F$6:$AJ$6,"C.Nhật",F44:AJ44)/8)</f>
        <v>21</v>
      </c>
      <c r="AL44" s="276">
        <f t="shared" ref="AL44" si="40">SUM(F45:AJ45)/8*1.5</f>
        <v>0</v>
      </c>
      <c r="AM44" s="264">
        <f t="shared" si="22"/>
        <v>8</v>
      </c>
      <c r="AN44" s="264">
        <f t="array" ref="AN44">SUM((F44:AJ44="L")*1)</f>
        <v>0</v>
      </c>
      <c r="AO44" s="264" t="s">
        <v>159</v>
      </c>
      <c r="AP44" s="278">
        <f t="array" ref="AP44">SUM((F45:AJ45&gt;=3)*1)</f>
        <v>0</v>
      </c>
      <c r="AQ44" s="278">
        <f t="array" ref="AQ44">SUM((F44:AJ44="K")*1)</f>
        <v>0</v>
      </c>
      <c r="AR44" s="268"/>
      <c r="AS44" s="183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1" customFormat="1" ht="18" customHeight="1">
      <c r="A45" s="271"/>
      <c r="B45" s="271"/>
      <c r="C45" s="273"/>
      <c r="D45" s="275"/>
      <c r="E45" s="63" t="s">
        <v>25</v>
      </c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277"/>
      <c r="AL45" s="277"/>
      <c r="AM45" s="265"/>
      <c r="AN45" s="265"/>
      <c r="AO45" s="265"/>
      <c r="AP45" s="279"/>
      <c r="AQ45" s="279"/>
      <c r="AR45" s="269"/>
      <c r="AS45" s="183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1" customFormat="1" ht="18" customHeight="1">
      <c r="A46" s="270">
        <f t="shared" ref="A46" si="41">IF(C46&lt;&gt;"",A44+1,"")</f>
        <v>9</v>
      </c>
      <c r="B46" s="270" t="s">
        <v>136</v>
      </c>
      <c r="C46" s="272" t="str">
        <f>IF(ISNA(VLOOKUP(B46,DS,2,0)),"",VLOOKUP(B46,DS,2,0))</f>
        <v>Nguyễn Trung Nghị</v>
      </c>
      <c r="D46" s="274" t="str">
        <f>VLOOKUP(B46,DS,3,0)</f>
        <v>Công Đoạn 1</v>
      </c>
      <c r="E46" s="62" t="s">
        <v>26</v>
      </c>
      <c r="F46" s="129"/>
      <c r="G46" s="129">
        <v>8</v>
      </c>
      <c r="H46" s="129"/>
      <c r="I46" s="129">
        <v>8</v>
      </c>
      <c r="J46" s="129">
        <v>8</v>
      </c>
      <c r="K46" s="129">
        <v>8</v>
      </c>
      <c r="L46" s="129">
        <v>8</v>
      </c>
      <c r="M46" s="129">
        <v>8</v>
      </c>
      <c r="N46" s="129">
        <v>8</v>
      </c>
      <c r="O46" s="129"/>
      <c r="P46" s="129">
        <v>8</v>
      </c>
      <c r="Q46" s="129">
        <v>8</v>
      </c>
      <c r="R46" s="129">
        <v>8</v>
      </c>
      <c r="S46" s="129">
        <v>8</v>
      </c>
      <c r="T46" s="129">
        <v>8</v>
      </c>
      <c r="U46" s="129">
        <v>8</v>
      </c>
      <c r="V46" s="129"/>
      <c r="W46" s="129">
        <v>8</v>
      </c>
      <c r="X46" s="129">
        <v>8</v>
      </c>
      <c r="Y46" s="129">
        <v>8</v>
      </c>
      <c r="Z46" s="129">
        <v>8</v>
      </c>
      <c r="AA46" s="129">
        <v>8</v>
      </c>
      <c r="AB46" s="129">
        <v>8</v>
      </c>
      <c r="AC46" s="129"/>
      <c r="AD46" s="129">
        <v>8</v>
      </c>
      <c r="AE46" s="129">
        <v>8</v>
      </c>
      <c r="AF46" s="129">
        <v>8</v>
      </c>
      <c r="AG46" s="129">
        <v>8</v>
      </c>
      <c r="AH46" s="129">
        <v>8</v>
      </c>
      <c r="AI46" s="129">
        <v>8</v>
      </c>
      <c r="AJ46" s="129"/>
      <c r="AK46" s="276">
        <f t="shared" ref="AK46" si="42">((SUM(F46:AJ46))/8)-(SUMIF($F$6:$AJ$6,"C.Nhật",F46:AJ46)/8)</f>
        <v>21</v>
      </c>
      <c r="AL46" s="276">
        <f t="shared" ref="AL46" si="43">SUM(F47:AJ47)/8*1.5</f>
        <v>0</v>
      </c>
      <c r="AM46" s="264">
        <f t="shared" si="22"/>
        <v>8</v>
      </c>
      <c r="AN46" s="264">
        <f t="array" ref="AN46">SUM((F46:AJ46="L")*1)</f>
        <v>0</v>
      </c>
      <c r="AO46" s="264" t="s">
        <v>159</v>
      </c>
      <c r="AP46" s="278">
        <f t="array" ref="AP46">SUM((F47:AJ47&gt;=3)*1)</f>
        <v>0</v>
      </c>
      <c r="AQ46" s="278">
        <f t="array" ref="AQ46">SUM((F46:AJ46="K")*1)</f>
        <v>0</v>
      </c>
      <c r="AR46" s="268"/>
      <c r="AS46" s="183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1" customFormat="1" ht="18" customHeight="1">
      <c r="A47" s="271"/>
      <c r="B47" s="271"/>
      <c r="C47" s="273"/>
      <c r="D47" s="275"/>
      <c r="E47" s="63" t="s">
        <v>25</v>
      </c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277"/>
      <c r="AL47" s="277"/>
      <c r="AM47" s="265"/>
      <c r="AN47" s="265"/>
      <c r="AO47" s="265"/>
      <c r="AP47" s="279"/>
      <c r="AQ47" s="279"/>
      <c r="AR47" s="269"/>
      <c r="AS47" s="183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162" customFormat="1" ht="21" customHeight="1">
      <c r="A48" s="160" t="s">
        <v>149</v>
      </c>
      <c r="B48" s="168" t="s">
        <v>147</v>
      </c>
      <c r="C48" s="163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3"/>
      <c r="S48" s="163"/>
      <c r="T48" s="163"/>
      <c r="U48" s="163"/>
      <c r="V48" s="163"/>
      <c r="W48" s="163"/>
      <c r="X48" s="163"/>
      <c r="Y48" s="163"/>
      <c r="Z48" s="163"/>
      <c r="AA48" s="163"/>
      <c r="AB48" s="163"/>
      <c r="AC48" s="163"/>
      <c r="AD48" s="163"/>
      <c r="AE48" s="163"/>
      <c r="AF48" s="163"/>
      <c r="AG48" s="163"/>
      <c r="AH48" s="163"/>
      <c r="AI48" s="163"/>
      <c r="AJ48" s="163"/>
      <c r="AK48" s="163"/>
      <c r="AL48" s="163"/>
      <c r="AM48" s="163"/>
      <c r="AN48" s="163"/>
      <c r="AO48" s="163"/>
      <c r="AP48" s="163"/>
      <c r="AQ48" s="163"/>
      <c r="AR48" s="164"/>
      <c r="AS48" s="161"/>
    </row>
    <row r="49" spans="1:90" s="61" customFormat="1" ht="18" customHeight="1">
      <c r="A49" s="270">
        <v>1</v>
      </c>
      <c r="B49" s="270" t="s">
        <v>137</v>
      </c>
      <c r="C49" s="272" t="str">
        <f>IF(ISNA(VLOOKUP(B49,DS,2,0)),"",VLOOKUP(B49,DS,2,0))</f>
        <v>Võ Văn Kiệt</v>
      </c>
      <c r="D49" s="274" t="str">
        <f>VLOOKUP(B49,DS,3,0)</f>
        <v>Công Đoạn 2</v>
      </c>
      <c r="E49" s="62" t="s">
        <v>26</v>
      </c>
      <c r="F49" s="129"/>
      <c r="G49" s="129">
        <v>8</v>
      </c>
      <c r="H49" s="129"/>
      <c r="I49" s="129">
        <v>8</v>
      </c>
      <c r="J49" s="129">
        <v>8</v>
      </c>
      <c r="K49" s="129">
        <v>8</v>
      </c>
      <c r="L49" s="129">
        <v>8</v>
      </c>
      <c r="M49" s="129">
        <v>8</v>
      </c>
      <c r="N49" s="129">
        <v>8</v>
      </c>
      <c r="O49" s="129"/>
      <c r="P49" s="129">
        <v>8</v>
      </c>
      <c r="Q49" s="129">
        <v>8</v>
      </c>
      <c r="R49" s="129">
        <v>8</v>
      </c>
      <c r="S49" s="129">
        <v>8</v>
      </c>
      <c r="T49" s="129">
        <v>8</v>
      </c>
      <c r="U49" s="129">
        <v>8</v>
      </c>
      <c r="V49" s="129"/>
      <c r="W49" s="129">
        <v>8</v>
      </c>
      <c r="X49" s="129">
        <v>8</v>
      </c>
      <c r="Y49" s="129">
        <v>8</v>
      </c>
      <c r="Z49" s="129">
        <v>8</v>
      </c>
      <c r="AA49" s="129">
        <v>8</v>
      </c>
      <c r="AB49" s="129">
        <v>8</v>
      </c>
      <c r="AC49" s="129"/>
      <c r="AD49" s="129">
        <v>8</v>
      </c>
      <c r="AE49" s="129">
        <v>8</v>
      </c>
      <c r="AF49" s="129">
        <v>8</v>
      </c>
      <c r="AG49" s="129">
        <v>8</v>
      </c>
      <c r="AH49" s="129">
        <v>8</v>
      </c>
      <c r="AI49" s="129">
        <v>8</v>
      </c>
      <c r="AJ49" s="129"/>
      <c r="AK49" s="276">
        <f>((SUM(F49:AJ49))/8)-(SUMIF($F$6:$AJ$6,"C.Nhật",F49:AJ49)/8)</f>
        <v>21</v>
      </c>
      <c r="AL49" s="276">
        <f>SUM(F50:AJ50)/8*1.5</f>
        <v>0</v>
      </c>
      <c r="AM49" s="264">
        <f>SUMIF($F$6:$AJ$6,"C.Nhật",$F49:$AJ50)/8*2</f>
        <v>8</v>
      </c>
      <c r="AN49" s="264">
        <f t="array" ref="AN49">SUM((F49:AJ49="L")*1)</f>
        <v>0</v>
      </c>
      <c r="AO49" s="264" t="s">
        <v>159</v>
      </c>
      <c r="AP49" s="278">
        <f t="array" ref="AP49">SUM((F50:AJ50&gt;=3)*1)</f>
        <v>0</v>
      </c>
      <c r="AQ49" s="278">
        <f t="array" ref="AQ49">SUM((F49:AJ49="K")*1)</f>
        <v>0</v>
      </c>
      <c r="AR49" s="268"/>
      <c r="AS49" s="183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1" customFormat="1" ht="18" customHeight="1">
      <c r="A50" s="271"/>
      <c r="B50" s="271"/>
      <c r="C50" s="273"/>
      <c r="D50" s="275"/>
      <c r="E50" s="63" t="s">
        <v>25</v>
      </c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277"/>
      <c r="AL50" s="277"/>
      <c r="AM50" s="265"/>
      <c r="AN50" s="265"/>
      <c r="AO50" s="265"/>
      <c r="AP50" s="279"/>
      <c r="AQ50" s="279"/>
      <c r="AR50" s="269"/>
      <c r="AS50" s="183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1" customFormat="1" ht="18" customHeight="1">
      <c r="A51" s="270">
        <f>IF(C51&lt;&gt;"",A49+1,"")</f>
        <v>2</v>
      </c>
      <c r="B51" s="270" t="s">
        <v>138</v>
      </c>
      <c r="C51" s="272" t="str">
        <f>IF(ISNA(VLOOKUP(B51,DS,2,0)),"",VLOOKUP(B51,DS,2,0))</f>
        <v>Huỳnh Văn Út</v>
      </c>
      <c r="D51" s="274" t="str">
        <f>VLOOKUP(B51,DS,3,0)</f>
        <v>Công Đoạn 2</v>
      </c>
      <c r="E51" s="62" t="s">
        <v>26</v>
      </c>
      <c r="F51" s="129"/>
      <c r="G51" s="129">
        <v>8</v>
      </c>
      <c r="H51" s="129"/>
      <c r="I51" s="129">
        <v>8</v>
      </c>
      <c r="J51" s="129">
        <v>8</v>
      </c>
      <c r="K51" s="129">
        <v>8</v>
      </c>
      <c r="L51" s="129">
        <v>8</v>
      </c>
      <c r="M51" s="129">
        <v>8</v>
      </c>
      <c r="N51" s="129">
        <v>8</v>
      </c>
      <c r="O51" s="129"/>
      <c r="P51" s="129">
        <v>8</v>
      </c>
      <c r="Q51" s="129">
        <v>8</v>
      </c>
      <c r="R51" s="129">
        <v>8</v>
      </c>
      <c r="S51" s="129">
        <v>8</v>
      </c>
      <c r="T51" s="129">
        <v>8</v>
      </c>
      <c r="U51" s="129">
        <v>8</v>
      </c>
      <c r="V51" s="129"/>
      <c r="W51" s="129">
        <v>8</v>
      </c>
      <c r="X51" s="129">
        <v>8</v>
      </c>
      <c r="Y51" s="129">
        <v>8</v>
      </c>
      <c r="Z51" s="129">
        <v>8</v>
      </c>
      <c r="AA51" s="129">
        <v>8</v>
      </c>
      <c r="AB51" s="129">
        <v>8</v>
      </c>
      <c r="AC51" s="129"/>
      <c r="AD51" s="129">
        <v>8</v>
      </c>
      <c r="AE51" s="129">
        <v>8</v>
      </c>
      <c r="AF51" s="129">
        <v>8</v>
      </c>
      <c r="AG51" s="129">
        <v>8</v>
      </c>
      <c r="AH51" s="129">
        <v>8</v>
      </c>
      <c r="AI51" s="129">
        <v>8</v>
      </c>
      <c r="AJ51" s="129"/>
      <c r="AK51" s="276">
        <f t="shared" ref="AK51" si="44">((SUM(F51:AJ51))/8)-(SUMIF($F$6:$AJ$6,"C.Nhật",F51:AJ51)/8)</f>
        <v>21</v>
      </c>
      <c r="AL51" s="276">
        <f t="shared" ref="AL51" si="45">SUM(F52:AJ52)/8*1.5</f>
        <v>0</v>
      </c>
      <c r="AM51" s="264">
        <f t="shared" ref="AM51:AM57" si="46">SUMIF($F$6:$AJ$6,"C.Nhật",$F51:$AJ52)/8*2</f>
        <v>8</v>
      </c>
      <c r="AN51" s="264">
        <f t="array" ref="AN51">SUM((F51:AJ51="L")*1)</f>
        <v>0</v>
      </c>
      <c r="AO51" s="264" t="s">
        <v>159</v>
      </c>
      <c r="AP51" s="278">
        <f t="array" ref="AP51">SUM((F52:AJ52&gt;=3)*1)</f>
        <v>0</v>
      </c>
      <c r="AQ51" s="278">
        <f t="array" ref="AQ51">SUM((F51:AJ51="K")*1)</f>
        <v>0</v>
      </c>
      <c r="AR51" s="268"/>
      <c r="AS51" s="183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1" customFormat="1" ht="18" customHeight="1">
      <c r="A52" s="271"/>
      <c r="B52" s="271"/>
      <c r="C52" s="273"/>
      <c r="D52" s="275"/>
      <c r="E52" s="63" t="s">
        <v>25</v>
      </c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277"/>
      <c r="AL52" s="277"/>
      <c r="AM52" s="265"/>
      <c r="AN52" s="265"/>
      <c r="AO52" s="265"/>
      <c r="AP52" s="279"/>
      <c r="AQ52" s="279"/>
      <c r="AR52" s="269"/>
      <c r="AS52" s="183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1" customFormat="1" ht="18" customHeight="1">
      <c r="A53" s="270">
        <f t="shared" ref="A53" si="47">IF(C53&lt;&gt;"",A51+1,"")</f>
        <v>3</v>
      </c>
      <c r="B53" s="270" t="s">
        <v>139</v>
      </c>
      <c r="C53" s="272" t="str">
        <f>IF(ISNA(VLOOKUP(B53,DS,2,0)),"",VLOOKUP(B53,DS,2,0))</f>
        <v>Dương Thế Kiệt</v>
      </c>
      <c r="D53" s="274" t="str">
        <f>VLOOKUP(B53,DS,3,0)</f>
        <v>Công Đoạn 2</v>
      </c>
      <c r="E53" s="62" t="s">
        <v>26</v>
      </c>
      <c r="F53" s="129"/>
      <c r="G53" s="129">
        <v>8</v>
      </c>
      <c r="H53" s="129"/>
      <c r="I53" s="129">
        <v>8</v>
      </c>
      <c r="J53" s="129">
        <v>8</v>
      </c>
      <c r="K53" s="129">
        <v>8</v>
      </c>
      <c r="L53" s="129">
        <v>8</v>
      </c>
      <c r="M53" s="129">
        <v>8</v>
      </c>
      <c r="N53" s="129">
        <v>8</v>
      </c>
      <c r="O53" s="129"/>
      <c r="P53" s="129">
        <v>8</v>
      </c>
      <c r="Q53" s="129">
        <v>8</v>
      </c>
      <c r="R53" s="129">
        <v>8</v>
      </c>
      <c r="S53" s="129">
        <v>8</v>
      </c>
      <c r="T53" s="129">
        <v>8</v>
      </c>
      <c r="U53" s="129">
        <v>8</v>
      </c>
      <c r="V53" s="129"/>
      <c r="W53" s="129">
        <v>8</v>
      </c>
      <c r="X53" s="129">
        <v>8</v>
      </c>
      <c r="Y53" s="129">
        <v>8</v>
      </c>
      <c r="Z53" s="129">
        <v>8</v>
      </c>
      <c r="AA53" s="129">
        <v>8</v>
      </c>
      <c r="AB53" s="129">
        <v>8</v>
      </c>
      <c r="AC53" s="129"/>
      <c r="AD53" s="129">
        <v>8</v>
      </c>
      <c r="AE53" s="129">
        <v>8</v>
      </c>
      <c r="AF53" s="129">
        <v>8</v>
      </c>
      <c r="AG53" s="129">
        <v>8</v>
      </c>
      <c r="AH53" s="129">
        <v>8</v>
      </c>
      <c r="AI53" s="129">
        <v>8</v>
      </c>
      <c r="AJ53" s="129"/>
      <c r="AK53" s="276">
        <f t="shared" ref="AK53" si="48">((SUM(F53:AJ53))/8)-(SUMIF($F$6:$AJ$6,"C.Nhật",F53:AJ53)/8)</f>
        <v>21</v>
      </c>
      <c r="AL53" s="276">
        <f t="shared" ref="AL53" si="49">SUM(F54:AJ54)/8*1.5</f>
        <v>0</v>
      </c>
      <c r="AM53" s="264">
        <f t="shared" si="46"/>
        <v>8</v>
      </c>
      <c r="AN53" s="264">
        <f t="array" ref="AN53">SUM((F53:AJ53="L")*1)</f>
        <v>0</v>
      </c>
      <c r="AO53" s="264" t="s">
        <v>159</v>
      </c>
      <c r="AP53" s="278">
        <f t="array" ref="AP53">SUM((F54:AJ54&gt;=3)*1)</f>
        <v>0</v>
      </c>
      <c r="AQ53" s="278">
        <f t="array" ref="AQ53">SUM((F53:AJ53="K")*1)</f>
        <v>0</v>
      </c>
      <c r="AR53" s="268"/>
      <c r="AS53" s="183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61" customFormat="1" ht="18" customHeight="1">
      <c r="A54" s="271"/>
      <c r="B54" s="271"/>
      <c r="C54" s="273"/>
      <c r="D54" s="275"/>
      <c r="E54" s="63" t="s">
        <v>25</v>
      </c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277"/>
      <c r="AL54" s="277"/>
      <c r="AM54" s="265"/>
      <c r="AN54" s="265"/>
      <c r="AO54" s="265"/>
      <c r="AP54" s="279"/>
      <c r="AQ54" s="279"/>
      <c r="AR54" s="269"/>
      <c r="AS54" s="183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s="61" customFormat="1" ht="18" customHeight="1">
      <c r="A55" s="270">
        <f t="shared" ref="A55" si="50">IF(C55&lt;&gt;"",A53+1,"")</f>
        <v>4</v>
      </c>
      <c r="B55" s="270" t="s">
        <v>140</v>
      </c>
      <c r="C55" s="272" t="str">
        <f>IF(ISNA(VLOOKUP(B55,DS,2,0)),"",VLOOKUP(B55,DS,2,0))</f>
        <v>Bùi Chí Long</v>
      </c>
      <c r="D55" s="274" t="str">
        <f>VLOOKUP(B55,DS,3,0)</f>
        <v>Công Đoạn 2</v>
      </c>
      <c r="E55" s="62" t="s">
        <v>26</v>
      </c>
      <c r="F55" s="129"/>
      <c r="G55" s="129">
        <v>8</v>
      </c>
      <c r="H55" s="129"/>
      <c r="I55" s="129">
        <v>8</v>
      </c>
      <c r="J55" s="129">
        <v>8</v>
      </c>
      <c r="K55" s="129">
        <v>8</v>
      </c>
      <c r="L55" s="129">
        <v>8</v>
      </c>
      <c r="M55" s="129">
        <v>8</v>
      </c>
      <c r="N55" s="129">
        <v>8</v>
      </c>
      <c r="O55" s="129"/>
      <c r="P55" s="129">
        <v>8</v>
      </c>
      <c r="Q55" s="129">
        <v>8</v>
      </c>
      <c r="R55" s="129">
        <v>8</v>
      </c>
      <c r="S55" s="129">
        <v>8</v>
      </c>
      <c r="T55" s="129">
        <v>8</v>
      </c>
      <c r="U55" s="129">
        <v>8</v>
      </c>
      <c r="V55" s="129"/>
      <c r="W55" s="129">
        <v>8</v>
      </c>
      <c r="X55" s="129">
        <v>8</v>
      </c>
      <c r="Y55" s="129">
        <v>8</v>
      </c>
      <c r="Z55" s="129">
        <v>8</v>
      </c>
      <c r="AA55" s="129">
        <v>8</v>
      </c>
      <c r="AB55" s="129">
        <v>8</v>
      </c>
      <c r="AC55" s="129"/>
      <c r="AD55" s="129">
        <v>8</v>
      </c>
      <c r="AE55" s="129">
        <v>8</v>
      </c>
      <c r="AF55" s="129">
        <v>8</v>
      </c>
      <c r="AG55" s="129">
        <v>8</v>
      </c>
      <c r="AH55" s="129">
        <v>8</v>
      </c>
      <c r="AI55" s="129">
        <v>8</v>
      </c>
      <c r="AJ55" s="129"/>
      <c r="AK55" s="276">
        <f t="shared" ref="AK55" si="51">((SUM(F55:AJ55))/8)-(SUMIF($F$6:$AJ$6,"C.Nhật",F55:AJ55)/8)</f>
        <v>21</v>
      </c>
      <c r="AL55" s="276">
        <f t="shared" ref="AL55" si="52">SUM(F56:AJ56)/8*1.5</f>
        <v>0</v>
      </c>
      <c r="AM55" s="264">
        <f t="shared" si="46"/>
        <v>8</v>
      </c>
      <c r="AN55" s="264">
        <f t="array" ref="AN55">SUM((F55:AJ55="L")*1)</f>
        <v>0</v>
      </c>
      <c r="AO55" s="264" t="s">
        <v>159</v>
      </c>
      <c r="AP55" s="278">
        <f t="array" ref="AP55">SUM((F56:AJ56&gt;=3)*1)</f>
        <v>0</v>
      </c>
      <c r="AQ55" s="278">
        <f t="array" ref="AQ55">SUM((F55:AJ55="K")*1)</f>
        <v>0</v>
      </c>
      <c r="AR55" s="268"/>
      <c r="AS55" s="183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1" customFormat="1" ht="18" customHeight="1">
      <c r="A56" s="271"/>
      <c r="B56" s="271"/>
      <c r="C56" s="273"/>
      <c r="D56" s="275"/>
      <c r="E56" s="63" t="s">
        <v>25</v>
      </c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277"/>
      <c r="AL56" s="277"/>
      <c r="AM56" s="265"/>
      <c r="AN56" s="265"/>
      <c r="AO56" s="265"/>
      <c r="AP56" s="279"/>
      <c r="AQ56" s="279"/>
      <c r="AR56" s="269"/>
      <c r="AS56" s="183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1" customFormat="1" ht="18" customHeight="1">
      <c r="A57" s="270">
        <f t="shared" ref="A57" si="53">IF(C57&lt;&gt;"",A55+1,"")</f>
        <v>5</v>
      </c>
      <c r="B57" s="270" t="s">
        <v>141</v>
      </c>
      <c r="C57" s="272" t="str">
        <f>IF(ISNA(VLOOKUP(B57,DS,2,0)),"",VLOOKUP(B57,DS,2,0))</f>
        <v>Phạm Hiếu Phụng</v>
      </c>
      <c r="D57" s="274" t="str">
        <f>VLOOKUP(B57,DS,3,0)</f>
        <v>Công Đoạn 2</v>
      </c>
      <c r="E57" s="62" t="s">
        <v>26</v>
      </c>
      <c r="F57" s="129"/>
      <c r="G57" s="129">
        <v>8</v>
      </c>
      <c r="H57" s="129"/>
      <c r="I57" s="129">
        <v>8</v>
      </c>
      <c r="J57" s="129">
        <v>8</v>
      </c>
      <c r="K57" s="129">
        <v>8</v>
      </c>
      <c r="L57" s="129">
        <v>8</v>
      </c>
      <c r="M57" s="129">
        <v>8</v>
      </c>
      <c r="N57" s="129">
        <v>8</v>
      </c>
      <c r="O57" s="129"/>
      <c r="P57" s="129">
        <v>8</v>
      </c>
      <c r="Q57" s="129">
        <v>8</v>
      </c>
      <c r="R57" s="129">
        <v>8</v>
      </c>
      <c r="S57" s="129">
        <v>8</v>
      </c>
      <c r="T57" s="129">
        <v>8</v>
      </c>
      <c r="U57" s="129">
        <v>8</v>
      </c>
      <c r="V57" s="129"/>
      <c r="W57" s="129">
        <v>8</v>
      </c>
      <c r="X57" s="129">
        <v>8</v>
      </c>
      <c r="Y57" s="129">
        <v>8</v>
      </c>
      <c r="Z57" s="129">
        <v>8</v>
      </c>
      <c r="AA57" s="129">
        <v>8</v>
      </c>
      <c r="AB57" s="129">
        <v>8</v>
      </c>
      <c r="AC57" s="129"/>
      <c r="AD57" s="129">
        <v>8</v>
      </c>
      <c r="AE57" s="129">
        <v>8</v>
      </c>
      <c r="AF57" s="129">
        <v>8</v>
      </c>
      <c r="AG57" s="129">
        <v>8</v>
      </c>
      <c r="AH57" s="129">
        <v>8</v>
      </c>
      <c r="AI57" s="129">
        <v>8</v>
      </c>
      <c r="AJ57" s="129"/>
      <c r="AK57" s="276">
        <f t="shared" ref="AK57" si="54">((SUM(F57:AJ57))/8)-(SUMIF($F$6:$AJ$6,"C.Nhật",F57:AJ57)/8)</f>
        <v>21</v>
      </c>
      <c r="AL57" s="276">
        <f t="shared" ref="AL57" si="55">SUM(F58:AJ58)/8*1.5</f>
        <v>0</v>
      </c>
      <c r="AM57" s="264">
        <f t="shared" si="46"/>
        <v>8</v>
      </c>
      <c r="AN57" s="264">
        <f t="array" ref="AN57">SUM((F57:AJ57="L")*1)</f>
        <v>0</v>
      </c>
      <c r="AO57" s="264" t="s">
        <v>159</v>
      </c>
      <c r="AP57" s="278">
        <f t="array" ref="AP57">SUM((F58:AJ58&gt;=3)*1)</f>
        <v>0</v>
      </c>
      <c r="AQ57" s="278">
        <f t="array" ref="AQ57">SUM((F57:AJ57="K")*1)</f>
        <v>0</v>
      </c>
      <c r="AR57" s="268"/>
      <c r="AS57" s="183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1" customFormat="1" ht="18" customHeight="1">
      <c r="A58" s="271"/>
      <c r="B58" s="271"/>
      <c r="C58" s="273"/>
      <c r="D58" s="275"/>
      <c r="E58" s="63" t="s">
        <v>25</v>
      </c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277"/>
      <c r="AL58" s="277"/>
      <c r="AM58" s="265"/>
      <c r="AN58" s="265"/>
      <c r="AO58" s="265"/>
      <c r="AP58" s="279"/>
      <c r="AQ58" s="279"/>
      <c r="AR58" s="269"/>
      <c r="AS58" s="183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4" customFormat="1" ht="12.75">
      <c r="A59" s="14"/>
      <c r="B59" s="65"/>
      <c r="C59" s="4"/>
      <c r="D59" s="102"/>
      <c r="E59" s="4"/>
      <c r="F59" s="69"/>
      <c r="G59" s="69"/>
      <c r="H59" s="66"/>
      <c r="I59" s="66"/>
      <c r="J59" s="109"/>
      <c r="K59" s="69"/>
      <c r="L59" s="66"/>
      <c r="M59" s="69"/>
      <c r="N59" s="69"/>
      <c r="O59" s="69"/>
      <c r="P59" s="69"/>
      <c r="Q59" s="66"/>
      <c r="R59" s="69"/>
      <c r="S59" s="69"/>
      <c r="T59" s="109"/>
      <c r="U59" s="69"/>
      <c r="V59" s="69"/>
      <c r="W59" s="69"/>
      <c r="X59" s="65"/>
      <c r="Y59" s="69"/>
      <c r="Z59" s="69"/>
      <c r="AA59" s="69"/>
      <c r="AB59" s="69"/>
      <c r="AC59" s="69"/>
      <c r="AD59" s="66"/>
      <c r="AE59" s="69"/>
      <c r="AF59" s="69"/>
      <c r="AG59" s="69"/>
      <c r="AH59" s="69"/>
      <c r="AI59" s="69"/>
      <c r="AJ59" s="69"/>
      <c r="AK59" s="4"/>
      <c r="AL59" s="4"/>
      <c r="AM59" s="89"/>
      <c r="AN59" s="89"/>
      <c r="AO59" s="89"/>
      <c r="AP59" s="68"/>
      <c r="AQ59" s="68"/>
      <c r="AR59" s="4"/>
      <c r="AS59" s="95"/>
    </row>
    <row r="60" spans="1:90" s="64" customFormat="1" ht="12.75">
      <c r="A60" s="14"/>
      <c r="B60" s="65"/>
      <c r="C60" s="14" t="s">
        <v>11</v>
      </c>
      <c r="D60" s="102"/>
      <c r="E60" s="4"/>
      <c r="F60" s="69"/>
      <c r="G60" s="69"/>
      <c r="H60" s="66"/>
      <c r="I60" s="66"/>
      <c r="J60" s="109"/>
      <c r="K60" s="69"/>
      <c r="L60" s="66"/>
      <c r="M60" s="69"/>
      <c r="N60" s="69"/>
      <c r="O60" s="69"/>
      <c r="P60" s="69"/>
      <c r="Q60" s="66"/>
      <c r="R60" s="69"/>
      <c r="S60" s="69"/>
      <c r="T60" s="109"/>
      <c r="U60" s="69"/>
      <c r="V60" s="69"/>
      <c r="W60" s="69"/>
      <c r="X60" s="65"/>
      <c r="Y60" s="69"/>
      <c r="Z60" s="69"/>
      <c r="AA60" s="69"/>
      <c r="AB60" s="69"/>
      <c r="AC60" s="69"/>
      <c r="AD60" s="66"/>
      <c r="AE60" s="69"/>
      <c r="AF60" s="69"/>
      <c r="AG60" s="69"/>
      <c r="AH60" s="69"/>
      <c r="AI60" s="69"/>
      <c r="AJ60" s="69"/>
      <c r="AK60" s="4"/>
      <c r="AL60" s="4"/>
      <c r="AM60" s="89"/>
      <c r="AN60" s="89"/>
      <c r="AO60" s="89"/>
      <c r="AP60" s="68"/>
      <c r="AQ60" s="68"/>
      <c r="AR60" s="4"/>
      <c r="AS60" s="95"/>
    </row>
    <row r="61" spans="1:90" s="64" customFormat="1" ht="12.75">
      <c r="A61" s="12"/>
      <c r="B61" s="12"/>
      <c r="C61" s="4"/>
      <c r="D61" s="102"/>
      <c r="E61" s="4"/>
      <c r="F61" s="69"/>
      <c r="G61" s="69"/>
      <c r="H61" s="110"/>
      <c r="I61" s="110"/>
      <c r="J61" s="110"/>
      <c r="K61" s="69"/>
      <c r="L61" s="110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110"/>
      <c r="AE61" s="69"/>
      <c r="AF61" s="69"/>
      <c r="AG61" s="69"/>
      <c r="AH61" s="69"/>
      <c r="AI61" s="69"/>
      <c r="AJ61" s="69"/>
      <c r="AK61" s="4"/>
      <c r="AL61" s="4"/>
      <c r="AM61" s="89"/>
      <c r="AN61" s="89"/>
      <c r="AO61" s="89"/>
      <c r="AP61" s="70"/>
      <c r="AQ61" s="70"/>
      <c r="AR61" s="4"/>
      <c r="AS61" s="95"/>
    </row>
    <row r="62" spans="1:90" s="67" customFormat="1" ht="15" customHeight="1">
      <c r="A62" s="12"/>
      <c r="B62" s="12"/>
      <c r="C62" s="4"/>
      <c r="D62" s="102"/>
      <c r="E62" s="4"/>
      <c r="F62" s="69"/>
      <c r="G62" s="69"/>
      <c r="H62" s="110"/>
      <c r="I62" s="110"/>
      <c r="J62" s="110"/>
      <c r="K62" s="69"/>
      <c r="L62" s="110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110"/>
      <c r="AE62" s="69"/>
      <c r="AF62" s="69"/>
      <c r="AG62" s="69"/>
      <c r="AH62" s="69"/>
      <c r="AI62" s="69"/>
      <c r="AJ62" s="69"/>
      <c r="AK62" s="4"/>
      <c r="AL62" s="4"/>
      <c r="AM62" s="89"/>
      <c r="AN62" s="89"/>
      <c r="AO62" s="89"/>
      <c r="AP62" s="70"/>
      <c r="AQ62" s="70"/>
      <c r="AR62" s="4"/>
      <c r="AS62" s="4"/>
    </row>
    <row r="63" spans="1:90" s="67" customFormat="1" ht="11.25">
      <c r="A63" s="12"/>
      <c r="B63" s="12"/>
      <c r="C63" s="4"/>
      <c r="D63" s="102"/>
      <c r="E63" s="4"/>
      <c r="F63" s="69"/>
      <c r="G63" s="69"/>
      <c r="H63" s="110"/>
      <c r="I63" s="110"/>
      <c r="J63" s="110"/>
      <c r="K63" s="69"/>
      <c r="L63" s="110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110"/>
      <c r="AE63" s="69"/>
      <c r="AF63" s="69"/>
      <c r="AG63" s="69"/>
      <c r="AH63" s="69"/>
      <c r="AI63" s="69"/>
      <c r="AJ63" s="69"/>
      <c r="AK63" s="4"/>
      <c r="AL63" s="4"/>
      <c r="AM63" s="89"/>
      <c r="AN63" s="89"/>
      <c r="AO63" s="89"/>
      <c r="AP63" s="70"/>
      <c r="AQ63" s="70"/>
      <c r="AR63" s="4"/>
      <c r="AS63" s="4"/>
    </row>
    <row r="64" spans="1:90" s="67" customFormat="1" ht="11.25">
      <c r="A64" s="12"/>
      <c r="B64" s="12"/>
      <c r="C64" s="4"/>
      <c r="D64" s="102"/>
      <c r="E64" s="4"/>
      <c r="F64" s="69"/>
      <c r="G64" s="69"/>
      <c r="H64" s="110"/>
      <c r="I64" s="110"/>
      <c r="J64" s="110"/>
      <c r="K64" s="69"/>
      <c r="L64" s="110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110"/>
      <c r="AE64" s="69"/>
      <c r="AF64" s="69"/>
      <c r="AG64" s="69"/>
      <c r="AH64" s="69"/>
      <c r="AI64" s="69"/>
      <c r="AJ64" s="69"/>
      <c r="AK64" s="4"/>
      <c r="AL64" s="4"/>
      <c r="AM64" s="89"/>
      <c r="AN64" s="89"/>
      <c r="AO64" s="89"/>
      <c r="AP64" s="70"/>
      <c r="AQ64" s="70"/>
      <c r="AR64" s="4"/>
      <c r="AS64" s="4"/>
    </row>
    <row r="65" spans="1:45" s="67" customFormat="1" ht="11.25">
      <c r="A65" s="10"/>
      <c r="B65" s="10"/>
      <c r="C65" s="14"/>
      <c r="D65" s="103"/>
      <c r="E65" s="71"/>
      <c r="F65" s="109"/>
      <c r="G65" s="111"/>
      <c r="H65" s="66"/>
      <c r="I65" s="66"/>
      <c r="J65" s="66"/>
      <c r="K65" s="111"/>
      <c r="L65" s="66"/>
      <c r="M65" s="111"/>
      <c r="N65" s="111"/>
      <c r="O65" s="111"/>
      <c r="P65" s="111"/>
      <c r="Q65" s="66"/>
      <c r="R65" s="109"/>
      <c r="S65" s="111"/>
      <c r="T65" s="111"/>
      <c r="U65" s="66"/>
      <c r="V65" s="111"/>
      <c r="W65" s="111"/>
      <c r="X65" s="66"/>
      <c r="Y65" s="111"/>
      <c r="Z65" s="111"/>
      <c r="AA65" s="111"/>
      <c r="AB65" s="111"/>
      <c r="AC65" s="111"/>
      <c r="AD65" s="66"/>
      <c r="AE65" s="111"/>
      <c r="AF65" s="111"/>
      <c r="AG65" s="111"/>
      <c r="AH65" s="111"/>
      <c r="AI65" s="111"/>
      <c r="AJ65" s="111"/>
      <c r="AK65" s="71"/>
      <c r="AM65" s="90"/>
      <c r="AN65" s="90"/>
      <c r="AO65" s="90"/>
      <c r="AP65" s="10"/>
      <c r="AQ65" s="10"/>
      <c r="AR65" s="14"/>
      <c r="AS65" s="4"/>
    </row>
    <row r="66" spans="1:45" s="67" customFormat="1" ht="12.75">
      <c r="A66" s="2"/>
      <c r="B66" s="2" t="s">
        <v>0</v>
      </c>
      <c r="C66" s="2"/>
      <c r="D66" s="104"/>
      <c r="E66" s="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  <c r="AD66" s="112"/>
      <c r="AE66" s="112"/>
      <c r="AF66" s="112"/>
      <c r="AG66" s="112"/>
      <c r="AH66" s="113"/>
      <c r="AI66" s="113"/>
      <c r="AJ66" s="113"/>
      <c r="AK66" s="2"/>
      <c r="AL66" s="2"/>
      <c r="AM66" s="91"/>
      <c r="AN66" s="91"/>
      <c r="AO66" s="91"/>
      <c r="AP66" s="2"/>
      <c r="AQ66" s="2"/>
      <c r="AR66" s="2"/>
      <c r="AS66" s="4"/>
    </row>
    <row r="67" spans="1:45" s="67" customFormat="1" ht="12.75">
      <c r="A67" s="2"/>
      <c r="B67" s="2"/>
      <c r="C67" s="2" t="s">
        <v>30</v>
      </c>
      <c r="D67" s="104"/>
      <c r="E67" s="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  <c r="AE67" s="112"/>
      <c r="AF67" s="112"/>
      <c r="AG67" s="112"/>
      <c r="AH67" s="113"/>
      <c r="AI67" s="113"/>
      <c r="AJ67" s="113"/>
      <c r="AK67" s="2"/>
      <c r="AL67" s="2"/>
      <c r="AM67" s="91"/>
      <c r="AN67" s="91"/>
      <c r="AO67" s="91"/>
      <c r="AP67" s="2"/>
      <c r="AQ67" s="2"/>
      <c r="AR67" s="2"/>
      <c r="AS67" s="14"/>
    </row>
    <row r="68" spans="1:45" ht="15" customHeight="1">
      <c r="C68" s="2" t="s">
        <v>156</v>
      </c>
    </row>
    <row r="69" spans="1:45" ht="15" customHeight="1">
      <c r="C69" s="2" t="s">
        <v>167</v>
      </c>
    </row>
  </sheetData>
  <protectedRanges>
    <protectedRange password="CC78" sqref="A1:A3" name="Range1_2_1"/>
    <protectedRange password="CC78" sqref="A49:A58 A30:A47 A25:A28 A14:A23 A9:A12" name="Range1_1"/>
    <protectedRange password="CC78" sqref="C9:E12 C14:E23 C25:E28 C30:E47 C49:E58 A49:A58 A30:A47 A25:A28 A14:A23 A9:A12" name="Range1_6"/>
    <protectedRange password="CC78" sqref="B14:B23 B9:B12 B25:B28 B30:B47 B49:B58" name="Range1_4"/>
    <protectedRange password="CC78" sqref="J61:J64 Q59:Q60" name="Range1_1_1_1"/>
    <protectedRange password="CC78" sqref="J65" name="Range1_3_1_1"/>
  </protectedRanges>
  <mergeCells count="288">
    <mergeCell ref="A11:A12"/>
    <mergeCell ref="B11:B12"/>
    <mergeCell ref="C11:C12"/>
    <mergeCell ref="D11:D12"/>
    <mergeCell ref="AK11:AK12"/>
    <mergeCell ref="AK5:AN5"/>
    <mergeCell ref="AN9:AN10"/>
    <mergeCell ref="AN11:AN12"/>
    <mergeCell ref="AM1:AR1"/>
    <mergeCell ref="AR11:AR12"/>
    <mergeCell ref="AL11:AL12"/>
    <mergeCell ref="AM11:AM12"/>
    <mergeCell ref="AP11:AP12"/>
    <mergeCell ref="AO9:AO10"/>
    <mergeCell ref="AQ5:AQ6"/>
    <mergeCell ref="AQ9:AQ10"/>
    <mergeCell ref="AQ11:AQ12"/>
    <mergeCell ref="AS5:AS6"/>
    <mergeCell ref="AP9:AP10"/>
    <mergeCell ref="AR9:AR10"/>
    <mergeCell ref="AR5:AR6"/>
    <mergeCell ref="A5:A6"/>
    <mergeCell ref="C5:C6"/>
    <mergeCell ref="D5:D6"/>
    <mergeCell ref="B5:B6"/>
    <mergeCell ref="AM9:AM10"/>
    <mergeCell ref="AP5:AP6"/>
    <mergeCell ref="AL9:AL10"/>
    <mergeCell ref="A9:A10"/>
    <mergeCell ref="B9:B10"/>
    <mergeCell ref="C9:C10"/>
    <mergeCell ref="D9:D10"/>
    <mergeCell ref="E5:E6"/>
    <mergeCell ref="AK9:AK10"/>
    <mergeCell ref="AR14:AR15"/>
    <mergeCell ref="A16:A17"/>
    <mergeCell ref="B16:B17"/>
    <mergeCell ref="C16:C17"/>
    <mergeCell ref="D16:D17"/>
    <mergeCell ref="AK16:AK17"/>
    <mergeCell ref="AL16:AL17"/>
    <mergeCell ref="AM16:AM17"/>
    <mergeCell ref="AP16:AP17"/>
    <mergeCell ref="AR16:AR17"/>
    <mergeCell ref="AL14:AL15"/>
    <mergeCell ref="AM14:AM15"/>
    <mergeCell ref="AP14:AP15"/>
    <mergeCell ref="AN14:AN15"/>
    <mergeCell ref="A14:A15"/>
    <mergeCell ref="B14:B15"/>
    <mergeCell ref="C14:C15"/>
    <mergeCell ref="D14:D15"/>
    <mergeCell ref="AK14:AK15"/>
    <mergeCell ref="AQ14:AQ15"/>
    <mergeCell ref="AQ16:AQ17"/>
    <mergeCell ref="AR22:AR23"/>
    <mergeCell ref="A25:A26"/>
    <mergeCell ref="B25:B26"/>
    <mergeCell ref="C25:C26"/>
    <mergeCell ref="D25:D26"/>
    <mergeCell ref="AK25:AK26"/>
    <mergeCell ref="AL25:AL26"/>
    <mergeCell ref="AM25:AM26"/>
    <mergeCell ref="AP25:AP26"/>
    <mergeCell ref="AR25:AR26"/>
    <mergeCell ref="AL22:AL23"/>
    <mergeCell ref="AM22:AM23"/>
    <mergeCell ref="AP22:AP23"/>
    <mergeCell ref="A22:A23"/>
    <mergeCell ref="B22:B23"/>
    <mergeCell ref="C22:C23"/>
    <mergeCell ref="D22:D23"/>
    <mergeCell ref="AK22:AK23"/>
    <mergeCell ref="AQ22:AQ23"/>
    <mergeCell ref="AQ25:AQ26"/>
    <mergeCell ref="AR27:AR28"/>
    <mergeCell ref="AL27:AL28"/>
    <mergeCell ref="AM27:AM28"/>
    <mergeCell ref="AP27:AP28"/>
    <mergeCell ref="AN27:AN28"/>
    <mergeCell ref="A27:A28"/>
    <mergeCell ref="B27:B28"/>
    <mergeCell ref="C27:C28"/>
    <mergeCell ref="D27:D28"/>
    <mergeCell ref="AK27:AK28"/>
    <mergeCell ref="AQ27:AQ28"/>
    <mergeCell ref="AR30:AR31"/>
    <mergeCell ref="A32:A33"/>
    <mergeCell ref="B32:B33"/>
    <mergeCell ref="C32:C33"/>
    <mergeCell ref="D32:D33"/>
    <mergeCell ref="AK32:AK33"/>
    <mergeCell ref="AL32:AL33"/>
    <mergeCell ref="AM32:AM33"/>
    <mergeCell ref="AP32:AP33"/>
    <mergeCell ref="AR32:AR33"/>
    <mergeCell ref="AL30:AL31"/>
    <mergeCell ref="AM30:AM31"/>
    <mergeCell ref="AP30:AP31"/>
    <mergeCell ref="AN30:AN31"/>
    <mergeCell ref="AO30:AO31"/>
    <mergeCell ref="A30:A31"/>
    <mergeCell ref="B30:B31"/>
    <mergeCell ref="C30:C31"/>
    <mergeCell ref="D30:D31"/>
    <mergeCell ref="AK30:AK31"/>
    <mergeCell ref="AQ30:AQ31"/>
    <mergeCell ref="AQ32:AQ33"/>
    <mergeCell ref="AR46:AR47"/>
    <mergeCell ref="A49:A50"/>
    <mergeCell ref="B49:B50"/>
    <mergeCell ref="C49:C50"/>
    <mergeCell ref="D49:D50"/>
    <mergeCell ref="AK49:AK50"/>
    <mergeCell ref="AL49:AL50"/>
    <mergeCell ref="AM49:AM50"/>
    <mergeCell ref="AP49:AP50"/>
    <mergeCell ref="AR49:AR50"/>
    <mergeCell ref="AL46:AL47"/>
    <mergeCell ref="AM46:AM47"/>
    <mergeCell ref="AP46:AP47"/>
    <mergeCell ref="AN46:AN47"/>
    <mergeCell ref="AO46:AO47"/>
    <mergeCell ref="A46:A47"/>
    <mergeCell ref="B46:B47"/>
    <mergeCell ref="C46:C47"/>
    <mergeCell ref="D46:D47"/>
    <mergeCell ref="AK46:AK47"/>
    <mergeCell ref="AQ46:AQ47"/>
    <mergeCell ref="AQ49:AQ50"/>
    <mergeCell ref="AR51:AR52"/>
    <mergeCell ref="A57:A58"/>
    <mergeCell ref="B57:B58"/>
    <mergeCell ref="C57:C58"/>
    <mergeCell ref="D57:D58"/>
    <mergeCell ref="AK57:AK58"/>
    <mergeCell ref="AL57:AL58"/>
    <mergeCell ref="AM57:AM58"/>
    <mergeCell ref="AP57:AP58"/>
    <mergeCell ref="AR57:AR58"/>
    <mergeCell ref="AL51:AL52"/>
    <mergeCell ref="AM51:AM52"/>
    <mergeCell ref="AP51:AP52"/>
    <mergeCell ref="A51:A52"/>
    <mergeCell ref="B51:B52"/>
    <mergeCell ref="C51:C52"/>
    <mergeCell ref="D51:D52"/>
    <mergeCell ref="AK51:AK52"/>
    <mergeCell ref="AQ51:AQ52"/>
    <mergeCell ref="AQ53:AQ54"/>
    <mergeCell ref="AQ55:AQ56"/>
    <mergeCell ref="AQ57:AQ58"/>
    <mergeCell ref="AR20:AR21"/>
    <mergeCell ref="A18:A19"/>
    <mergeCell ref="B18:B19"/>
    <mergeCell ref="C18:C19"/>
    <mergeCell ref="D18:D19"/>
    <mergeCell ref="AK18:AK19"/>
    <mergeCell ref="AL18:AL19"/>
    <mergeCell ref="AM18:AM19"/>
    <mergeCell ref="AP18:AP19"/>
    <mergeCell ref="AR18:AR19"/>
    <mergeCell ref="AL20:AL21"/>
    <mergeCell ref="AM20:AM21"/>
    <mergeCell ref="AP20:AP21"/>
    <mergeCell ref="A20:A21"/>
    <mergeCell ref="B20:B21"/>
    <mergeCell ref="C20:C21"/>
    <mergeCell ref="D20:D21"/>
    <mergeCell ref="AK20:AK21"/>
    <mergeCell ref="AQ18:AQ19"/>
    <mergeCell ref="AQ20:AQ21"/>
    <mergeCell ref="AR44:AR45"/>
    <mergeCell ref="A40:A41"/>
    <mergeCell ref="B40:B41"/>
    <mergeCell ref="C40:C41"/>
    <mergeCell ref="D40:D41"/>
    <mergeCell ref="AK40:AK41"/>
    <mergeCell ref="AL40:AL41"/>
    <mergeCell ref="AM40:AM41"/>
    <mergeCell ref="AP40:AP41"/>
    <mergeCell ref="AR40:AR41"/>
    <mergeCell ref="AL44:AL45"/>
    <mergeCell ref="AM44:AM45"/>
    <mergeCell ref="AP44:AP45"/>
    <mergeCell ref="AN44:AN45"/>
    <mergeCell ref="AO44:AO45"/>
    <mergeCell ref="A44:A45"/>
    <mergeCell ref="B44:B45"/>
    <mergeCell ref="C44:C45"/>
    <mergeCell ref="D44:D45"/>
    <mergeCell ref="AK44:AK45"/>
    <mergeCell ref="AQ40:AQ41"/>
    <mergeCell ref="AQ42:AQ43"/>
    <mergeCell ref="AQ44:AQ45"/>
    <mergeCell ref="A36:A37"/>
    <mergeCell ref="B36:B37"/>
    <mergeCell ref="C36:C37"/>
    <mergeCell ref="D36:D37"/>
    <mergeCell ref="AK36:AK37"/>
    <mergeCell ref="AL36:AL37"/>
    <mergeCell ref="AM36:AM37"/>
    <mergeCell ref="AP36:AP37"/>
    <mergeCell ref="AR36:AR37"/>
    <mergeCell ref="AQ36:AQ37"/>
    <mergeCell ref="AL38:AL39"/>
    <mergeCell ref="AM38:AM39"/>
    <mergeCell ref="AP38:AP39"/>
    <mergeCell ref="A38:A39"/>
    <mergeCell ref="B38:B39"/>
    <mergeCell ref="C38:C39"/>
    <mergeCell ref="D38:D39"/>
    <mergeCell ref="AK38:AK39"/>
    <mergeCell ref="AR42:AR43"/>
    <mergeCell ref="AL42:AL43"/>
    <mergeCell ref="AM42:AM43"/>
    <mergeCell ref="AP42:AP43"/>
    <mergeCell ref="AN42:AN43"/>
    <mergeCell ref="AO42:AO43"/>
    <mergeCell ref="A42:A43"/>
    <mergeCell ref="B42:B43"/>
    <mergeCell ref="C42:C43"/>
    <mergeCell ref="D42:D43"/>
    <mergeCell ref="AK42:AK43"/>
    <mergeCell ref="AQ38:AQ39"/>
    <mergeCell ref="A34:A35"/>
    <mergeCell ref="B34:B35"/>
    <mergeCell ref="C34:C35"/>
    <mergeCell ref="D34:D35"/>
    <mergeCell ref="AK34:AK35"/>
    <mergeCell ref="AL34:AL35"/>
    <mergeCell ref="AM34:AM35"/>
    <mergeCell ref="AP34:AP35"/>
    <mergeCell ref="AR34:AR35"/>
    <mergeCell ref="AQ34:AQ35"/>
    <mergeCell ref="AN16:AN17"/>
    <mergeCell ref="AN18:AN19"/>
    <mergeCell ref="AN20:AN21"/>
    <mergeCell ref="AN22:AN23"/>
    <mergeCell ref="AN25:AN26"/>
    <mergeCell ref="AR55:AR56"/>
    <mergeCell ref="A53:A54"/>
    <mergeCell ref="B53:B54"/>
    <mergeCell ref="C53:C54"/>
    <mergeCell ref="D53:D54"/>
    <mergeCell ref="AK53:AK54"/>
    <mergeCell ref="AL53:AL54"/>
    <mergeCell ref="AM53:AM54"/>
    <mergeCell ref="AP53:AP54"/>
    <mergeCell ref="AR53:AR54"/>
    <mergeCell ref="AL55:AL56"/>
    <mergeCell ref="AM55:AM56"/>
    <mergeCell ref="AP55:AP56"/>
    <mergeCell ref="A55:A56"/>
    <mergeCell ref="B55:B56"/>
    <mergeCell ref="C55:C56"/>
    <mergeCell ref="D55:D56"/>
    <mergeCell ref="AK55:AK56"/>
    <mergeCell ref="AR38:AR39"/>
    <mergeCell ref="AN49:AN50"/>
    <mergeCell ref="AN51:AN52"/>
    <mergeCell ref="AN53:AN54"/>
    <mergeCell ref="AN55:AN56"/>
    <mergeCell ref="AN57:AN58"/>
    <mergeCell ref="AN32:AN33"/>
    <mergeCell ref="AN34:AN35"/>
    <mergeCell ref="AN36:AN37"/>
    <mergeCell ref="AN38:AN39"/>
    <mergeCell ref="AN40:AN41"/>
    <mergeCell ref="AO18:AO19"/>
    <mergeCell ref="AO20:AO21"/>
    <mergeCell ref="AO22:AO23"/>
    <mergeCell ref="AO25:AO26"/>
    <mergeCell ref="AO27:AO28"/>
    <mergeCell ref="AO5:AO6"/>
    <mergeCell ref="AO11:AO12"/>
    <mergeCell ref="AO14:AO15"/>
    <mergeCell ref="AO16:AO17"/>
    <mergeCell ref="AO49:AO50"/>
    <mergeCell ref="AO51:AO52"/>
    <mergeCell ref="AO53:AO54"/>
    <mergeCell ref="AO55:AO56"/>
    <mergeCell ref="AO57:AO58"/>
    <mergeCell ref="AO32:AO33"/>
    <mergeCell ref="AO34:AO35"/>
    <mergeCell ref="AO36:AO37"/>
    <mergeCell ref="AO38:AO39"/>
    <mergeCell ref="AO40:AO41"/>
  </mergeCells>
  <phoneticPr fontId="47" type="noConversion"/>
  <conditionalFormatting sqref="F5:AJ6 F9:AJ12">
    <cfRule type="expression" dxfId="17" priority="71" stopIfTrue="1">
      <formula>IF(WEEKDAY(F$5)=1,TRUE,FALSE)</formula>
    </cfRule>
  </conditionalFormatting>
  <conditionalFormatting sqref="F9:AJ12">
    <cfRule type="expression" dxfId="16" priority="68" stopIfTrue="1">
      <formula>IF(WEEKDAY(F$5)=1,TRUE,FALSE)</formula>
    </cfRule>
  </conditionalFormatting>
  <conditionalFormatting sqref="AJ25:AJ28">
    <cfRule type="expression" dxfId="15" priority="41" stopIfTrue="1">
      <formula>IF(WEEKDAY(AJ$5)=1,TRUE,FALSE)</formula>
    </cfRule>
  </conditionalFormatting>
  <conditionalFormatting sqref="AJ25:AJ28">
    <cfRule type="expression" dxfId="14" priority="42" stopIfTrue="1">
      <formula>IF(WEEKDAY(AJ$5)=1,TRUE,FALSE)</formula>
    </cfRule>
  </conditionalFormatting>
  <conditionalFormatting sqref="AJ49:AJ58">
    <cfRule type="expression" dxfId="13" priority="34" stopIfTrue="1">
      <formula>IF(WEEKDAY(AJ$5)=1,TRUE,FALSE)</formula>
    </cfRule>
  </conditionalFormatting>
  <conditionalFormatting sqref="AJ49:AJ58">
    <cfRule type="expression" dxfId="12" priority="33" stopIfTrue="1">
      <formula>IF(WEEKDAY(AJ$5)=1,TRUE,FALSE)</formula>
    </cfRule>
  </conditionalFormatting>
  <conditionalFormatting sqref="AJ30:AJ47">
    <cfRule type="expression" dxfId="11" priority="38" stopIfTrue="1">
      <formula>IF(WEEKDAY(AJ$5)=1,TRUE,FALSE)</formula>
    </cfRule>
  </conditionalFormatting>
  <conditionalFormatting sqref="AJ30:AJ47">
    <cfRule type="expression" dxfId="10" priority="37" stopIfTrue="1">
      <formula>IF(WEEKDAY(AJ$5)=1,TRUE,FALSE)</formula>
    </cfRule>
  </conditionalFormatting>
  <conditionalFormatting sqref="F14:F23">
    <cfRule type="expression" dxfId="9" priority="10" stopIfTrue="1">
      <formula>IF(WEEKDAY(F$5)=1,TRUE,FALSE)</formula>
    </cfRule>
  </conditionalFormatting>
  <conditionalFormatting sqref="F14:F23">
    <cfRule type="expression" dxfId="8" priority="9" stopIfTrue="1">
      <formula>IF(WEEKDAY(F$5)=1,TRUE,FALSE)</formula>
    </cfRule>
  </conditionalFormatting>
  <conditionalFormatting sqref="F25:AI28">
    <cfRule type="expression" dxfId="7" priority="8" stopIfTrue="1">
      <formula>IF(WEEKDAY(F$5)=1,TRUE,FALSE)</formula>
    </cfRule>
  </conditionalFormatting>
  <conditionalFormatting sqref="F25:AI28">
    <cfRule type="expression" dxfId="6" priority="7" stopIfTrue="1">
      <formula>IF(WEEKDAY(F$5)=1,TRUE,FALSE)</formula>
    </cfRule>
  </conditionalFormatting>
  <conditionalFormatting sqref="F30:AI47">
    <cfRule type="expression" dxfId="5" priority="6" stopIfTrue="1">
      <formula>IF(WEEKDAY(F$5)=1,TRUE,FALSE)</formula>
    </cfRule>
  </conditionalFormatting>
  <conditionalFormatting sqref="F30:AI47">
    <cfRule type="expression" dxfId="4" priority="5" stopIfTrue="1">
      <formula>IF(WEEKDAY(F$5)=1,TRUE,FALSE)</formula>
    </cfRule>
  </conditionalFormatting>
  <conditionalFormatting sqref="F49:AI58">
    <cfRule type="expression" dxfId="3" priority="4" stopIfTrue="1">
      <formula>IF(WEEKDAY(F$5)=1,TRUE,FALSE)</formula>
    </cfRule>
  </conditionalFormatting>
  <conditionalFormatting sqref="F49:AI58">
    <cfRule type="expression" dxfId="2" priority="3" stopIfTrue="1">
      <formula>IF(WEEKDAY(F$5)=1,TRUE,FALSE)</formula>
    </cfRule>
  </conditionalFormatting>
  <conditionalFormatting sqref="G14:AJ23">
    <cfRule type="expression" dxfId="1" priority="2" stopIfTrue="1">
      <formula>IF(WEEKDAY(G$5)=1,TRUE,FALSE)</formula>
    </cfRule>
  </conditionalFormatting>
  <conditionalFormatting sqref="G14:AJ23">
    <cfRule type="expression" dxfId="0" priority="1" stopIfTrue="1">
      <formula>IF(WEEKDAY(G$5)=1,TRUE,FALSE)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K38"/>
  <sheetViews>
    <sheetView workbookViewId="0">
      <selection activeCell="J7" sqref="J7"/>
    </sheetView>
  </sheetViews>
  <sheetFormatPr defaultRowHeight="12.75"/>
  <cols>
    <col min="1" max="2" width="5" style="205" customWidth="1"/>
    <col min="3" max="3" width="17.42578125" style="205" customWidth="1"/>
    <col min="4" max="4" width="12.7109375" style="205" hidden="1" customWidth="1"/>
    <col min="5" max="5" width="11.7109375" style="205" customWidth="1"/>
    <col min="6" max="6" width="12.42578125" style="241" customWidth="1"/>
    <col min="7" max="7" width="10.85546875" style="241" customWidth="1"/>
    <col min="8" max="8" width="12.42578125" style="241" customWidth="1"/>
    <col min="9" max="9" width="18.28515625" style="205" customWidth="1"/>
    <col min="10" max="257" width="9.140625" style="205"/>
    <col min="258" max="258" width="5" style="205" customWidth="1"/>
    <col min="259" max="259" width="17.42578125" style="205" customWidth="1"/>
    <col min="260" max="260" width="0" style="205" hidden="1" customWidth="1"/>
    <col min="261" max="261" width="11.7109375" style="205" customWidth="1"/>
    <col min="262" max="262" width="12.42578125" style="205" customWidth="1"/>
    <col min="263" max="263" width="10.85546875" style="205" customWidth="1"/>
    <col min="264" max="264" width="12.42578125" style="205" customWidth="1"/>
    <col min="265" max="265" width="18.28515625" style="205" customWidth="1"/>
    <col min="266" max="513" width="9.140625" style="205"/>
    <col min="514" max="514" width="5" style="205" customWidth="1"/>
    <col min="515" max="515" width="17.42578125" style="205" customWidth="1"/>
    <col min="516" max="516" width="0" style="205" hidden="1" customWidth="1"/>
    <col min="517" max="517" width="11.7109375" style="205" customWidth="1"/>
    <col min="518" max="518" width="12.42578125" style="205" customWidth="1"/>
    <col min="519" max="519" width="10.85546875" style="205" customWidth="1"/>
    <col min="520" max="520" width="12.42578125" style="205" customWidth="1"/>
    <col min="521" max="521" width="18.28515625" style="205" customWidth="1"/>
    <col min="522" max="769" width="9.140625" style="205"/>
    <col min="770" max="770" width="5" style="205" customWidth="1"/>
    <col min="771" max="771" width="17.42578125" style="205" customWidth="1"/>
    <col min="772" max="772" width="0" style="205" hidden="1" customWidth="1"/>
    <col min="773" max="773" width="11.7109375" style="205" customWidth="1"/>
    <col min="774" max="774" width="12.42578125" style="205" customWidth="1"/>
    <col min="775" max="775" width="10.85546875" style="205" customWidth="1"/>
    <col min="776" max="776" width="12.42578125" style="205" customWidth="1"/>
    <col min="777" max="777" width="18.28515625" style="205" customWidth="1"/>
    <col min="778" max="1025" width="9.140625" style="205"/>
    <col min="1026" max="1026" width="5" style="205" customWidth="1"/>
    <col min="1027" max="1027" width="17.42578125" style="205" customWidth="1"/>
    <col min="1028" max="1028" width="0" style="205" hidden="1" customWidth="1"/>
    <col min="1029" max="1029" width="11.7109375" style="205" customWidth="1"/>
    <col min="1030" max="1030" width="12.42578125" style="205" customWidth="1"/>
    <col min="1031" max="1031" width="10.85546875" style="205" customWidth="1"/>
    <col min="1032" max="1032" width="12.42578125" style="205" customWidth="1"/>
    <col min="1033" max="1033" width="18.28515625" style="205" customWidth="1"/>
    <col min="1034" max="1281" width="9.140625" style="205"/>
    <col min="1282" max="1282" width="5" style="205" customWidth="1"/>
    <col min="1283" max="1283" width="17.42578125" style="205" customWidth="1"/>
    <col min="1284" max="1284" width="0" style="205" hidden="1" customWidth="1"/>
    <col min="1285" max="1285" width="11.7109375" style="205" customWidth="1"/>
    <col min="1286" max="1286" width="12.42578125" style="205" customWidth="1"/>
    <col min="1287" max="1287" width="10.85546875" style="205" customWidth="1"/>
    <col min="1288" max="1288" width="12.42578125" style="205" customWidth="1"/>
    <col min="1289" max="1289" width="18.28515625" style="205" customWidth="1"/>
    <col min="1290" max="1537" width="9.140625" style="205"/>
    <col min="1538" max="1538" width="5" style="205" customWidth="1"/>
    <col min="1539" max="1539" width="17.42578125" style="205" customWidth="1"/>
    <col min="1540" max="1540" width="0" style="205" hidden="1" customWidth="1"/>
    <col min="1541" max="1541" width="11.7109375" style="205" customWidth="1"/>
    <col min="1542" max="1542" width="12.42578125" style="205" customWidth="1"/>
    <col min="1543" max="1543" width="10.85546875" style="205" customWidth="1"/>
    <col min="1544" max="1544" width="12.42578125" style="205" customWidth="1"/>
    <col min="1545" max="1545" width="18.28515625" style="205" customWidth="1"/>
    <col min="1546" max="1793" width="9.140625" style="205"/>
    <col min="1794" max="1794" width="5" style="205" customWidth="1"/>
    <col min="1795" max="1795" width="17.42578125" style="205" customWidth="1"/>
    <col min="1796" max="1796" width="0" style="205" hidden="1" customWidth="1"/>
    <col min="1797" max="1797" width="11.7109375" style="205" customWidth="1"/>
    <col min="1798" max="1798" width="12.42578125" style="205" customWidth="1"/>
    <col min="1799" max="1799" width="10.85546875" style="205" customWidth="1"/>
    <col min="1800" max="1800" width="12.42578125" style="205" customWidth="1"/>
    <col min="1801" max="1801" width="18.28515625" style="205" customWidth="1"/>
    <col min="1802" max="2049" width="9.140625" style="205"/>
    <col min="2050" max="2050" width="5" style="205" customWidth="1"/>
    <col min="2051" max="2051" width="17.42578125" style="205" customWidth="1"/>
    <col min="2052" max="2052" width="0" style="205" hidden="1" customWidth="1"/>
    <col min="2053" max="2053" width="11.7109375" style="205" customWidth="1"/>
    <col min="2054" max="2054" width="12.42578125" style="205" customWidth="1"/>
    <col min="2055" max="2055" width="10.85546875" style="205" customWidth="1"/>
    <col min="2056" max="2056" width="12.42578125" style="205" customWidth="1"/>
    <col min="2057" max="2057" width="18.28515625" style="205" customWidth="1"/>
    <col min="2058" max="2305" width="9.140625" style="205"/>
    <col min="2306" max="2306" width="5" style="205" customWidth="1"/>
    <col min="2307" max="2307" width="17.42578125" style="205" customWidth="1"/>
    <col min="2308" max="2308" width="0" style="205" hidden="1" customWidth="1"/>
    <col min="2309" max="2309" width="11.7109375" style="205" customWidth="1"/>
    <col min="2310" max="2310" width="12.42578125" style="205" customWidth="1"/>
    <col min="2311" max="2311" width="10.85546875" style="205" customWidth="1"/>
    <col min="2312" max="2312" width="12.42578125" style="205" customWidth="1"/>
    <col min="2313" max="2313" width="18.28515625" style="205" customWidth="1"/>
    <col min="2314" max="2561" width="9.140625" style="205"/>
    <col min="2562" max="2562" width="5" style="205" customWidth="1"/>
    <col min="2563" max="2563" width="17.42578125" style="205" customWidth="1"/>
    <col min="2564" max="2564" width="0" style="205" hidden="1" customWidth="1"/>
    <col min="2565" max="2565" width="11.7109375" style="205" customWidth="1"/>
    <col min="2566" max="2566" width="12.42578125" style="205" customWidth="1"/>
    <col min="2567" max="2567" width="10.85546875" style="205" customWidth="1"/>
    <col min="2568" max="2568" width="12.42578125" style="205" customWidth="1"/>
    <col min="2569" max="2569" width="18.28515625" style="205" customWidth="1"/>
    <col min="2570" max="2817" width="9.140625" style="205"/>
    <col min="2818" max="2818" width="5" style="205" customWidth="1"/>
    <col min="2819" max="2819" width="17.42578125" style="205" customWidth="1"/>
    <col min="2820" max="2820" width="0" style="205" hidden="1" customWidth="1"/>
    <col min="2821" max="2821" width="11.7109375" style="205" customWidth="1"/>
    <col min="2822" max="2822" width="12.42578125" style="205" customWidth="1"/>
    <col min="2823" max="2823" width="10.85546875" style="205" customWidth="1"/>
    <col min="2824" max="2824" width="12.42578125" style="205" customWidth="1"/>
    <col min="2825" max="2825" width="18.28515625" style="205" customWidth="1"/>
    <col min="2826" max="3073" width="9.140625" style="205"/>
    <col min="3074" max="3074" width="5" style="205" customWidth="1"/>
    <col min="3075" max="3075" width="17.42578125" style="205" customWidth="1"/>
    <col min="3076" max="3076" width="0" style="205" hidden="1" customWidth="1"/>
    <col min="3077" max="3077" width="11.7109375" style="205" customWidth="1"/>
    <col min="3078" max="3078" width="12.42578125" style="205" customWidth="1"/>
    <col min="3079" max="3079" width="10.85546875" style="205" customWidth="1"/>
    <col min="3080" max="3080" width="12.42578125" style="205" customWidth="1"/>
    <col min="3081" max="3081" width="18.28515625" style="205" customWidth="1"/>
    <col min="3082" max="3329" width="9.140625" style="205"/>
    <col min="3330" max="3330" width="5" style="205" customWidth="1"/>
    <col min="3331" max="3331" width="17.42578125" style="205" customWidth="1"/>
    <col min="3332" max="3332" width="0" style="205" hidden="1" customWidth="1"/>
    <col min="3333" max="3333" width="11.7109375" style="205" customWidth="1"/>
    <col min="3334" max="3334" width="12.42578125" style="205" customWidth="1"/>
    <col min="3335" max="3335" width="10.85546875" style="205" customWidth="1"/>
    <col min="3336" max="3336" width="12.42578125" style="205" customWidth="1"/>
    <col min="3337" max="3337" width="18.28515625" style="205" customWidth="1"/>
    <col min="3338" max="3585" width="9.140625" style="205"/>
    <col min="3586" max="3586" width="5" style="205" customWidth="1"/>
    <col min="3587" max="3587" width="17.42578125" style="205" customWidth="1"/>
    <col min="3588" max="3588" width="0" style="205" hidden="1" customWidth="1"/>
    <col min="3589" max="3589" width="11.7109375" style="205" customWidth="1"/>
    <col min="3590" max="3590" width="12.42578125" style="205" customWidth="1"/>
    <col min="3591" max="3591" width="10.85546875" style="205" customWidth="1"/>
    <col min="3592" max="3592" width="12.42578125" style="205" customWidth="1"/>
    <col min="3593" max="3593" width="18.28515625" style="205" customWidth="1"/>
    <col min="3594" max="3841" width="9.140625" style="205"/>
    <col min="3842" max="3842" width="5" style="205" customWidth="1"/>
    <col min="3843" max="3843" width="17.42578125" style="205" customWidth="1"/>
    <col min="3844" max="3844" width="0" style="205" hidden="1" customWidth="1"/>
    <col min="3845" max="3845" width="11.7109375" style="205" customWidth="1"/>
    <col min="3846" max="3846" width="12.42578125" style="205" customWidth="1"/>
    <col min="3847" max="3847" width="10.85546875" style="205" customWidth="1"/>
    <col min="3848" max="3848" width="12.42578125" style="205" customWidth="1"/>
    <col min="3849" max="3849" width="18.28515625" style="205" customWidth="1"/>
    <col min="3850" max="4097" width="9.140625" style="205"/>
    <col min="4098" max="4098" width="5" style="205" customWidth="1"/>
    <col min="4099" max="4099" width="17.42578125" style="205" customWidth="1"/>
    <col min="4100" max="4100" width="0" style="205" hidden="1" customWidth="1"/>
    <col min="4101" max="4101" width="11.7109375" style="205" customWidth="1"/>
    <col min="4102" max="4102" width="12.42578125" style="205" customWidth="1"/>
    <col min="4103" max="4103" width="10.85546875" style="205" customWidth="1"/>
    <col min="4104" max="4104" width="12.42578125" style="205" customWidth="1"/>
    <col min="4105" max="4105" width="18.28515625" style="205" customWidth="1"/>
    <col min="4106" max="4353" width="9.140625" style="205"/>
    <col min="4354" max="4354" width="5" style="205" customWidth="1"/>
    <col min="4355" max="4355" width="17.42578125" style="205" customWidth="1"/>
    <col min="4356" max="4356" width="0" style="205" hidden="1" customWidth="1"/>
    <col min="4357" max="4357" width="11.7109375" style="205" customWidth="1"/>
    <col min="4358" max="4358" width="12.42578125" style="205" customWidth="1"/>
    <col min="4359" max="4359" width="10.85546875" style="205" customWidth="1"/>
    <col min="4360" max="4360" width="12.42578125" style="205" customWidth="1"/>
    <col min="4361" max="4361" width="18.28515625" style="205" customWidth="1"/>
    <col min="4362" max="4609" width="9.140625" style="205"/>
    <col min="4610" max="4610" width="5" style="205" customWidth="1"/>
    <col min="4611" max="4611" width="17.42578125" style="205" customWidth="1"/>
    <col min="4612" max="4612" width="0" style="205" hidden="1" customWidth="1"/>
    <col min="4613" max="4613" width="11.7109375" style="205" customWidth="1"/>
    <col min="4614" max="4614" width="12.42578125" style="205" customWidth="1"/>
    <col min="4615" max="4615" width="10.85546875" style="205" customWidth="1"/>
    <col min="4616" max="4616" width="12.42578125" style="205" customWidth="1"/>
    <col min="4617" max="4617" width="18.28515625" style="205" customWidth="1"/>
    <col min="4618" max="4865" width="9.140625" style="205"/>
    <col min="4866" max="4866" width="5" style="205" customWidth="1"/>
    <col min="4867" max="4867" width="17.42578125" style="205" customWidth="1"/>
    <col min="4868" max="4868" width="0" style="205" hidden="1" customWidth="1"/>
    <col min="4869" max="4869" width="11.7109375" style="205" customWidth="1"/>
    <col min="4870" max="4870" width="12.42578125" style="205" customWidth="1"/>
    <col min="4871" max="4871" width="10.85546875" style="205" customWidth="1"/>
    <col min="4872" max="4872" width="12.42578125" style="205" customWidth="1"/>
    <col min="4873" max="4873" width="18.28515625" style="205" customWidth="1"/>
    <col min="4874" max="5121" width="9.140625" style="205"/>
    <col min="5122" max="5122" width="5" style="205" customWidth="1"/>
    <col min="5123" max="5123" width="17.42578125" style="205" customWidth="1"/>
    <col min="5124" max="5124" width="0" style="205" hidden="1" customWidth="1"/>
    <col min="5125" max="5125" width="11.7109375" style="205" customWidth="1"/>
    <col min="5126" max="5126" width="12.42578125" style="205" customWidth="1"/>
    <col min="5127" max="5127" width="10.85546875" style="205" customWidth="1"/>
    <col min="5128" max="5128" width="12.42578125" style="205" customWidth="1"/>
    <col min="5129" max="5129" width="18.28515625" style="205" customWidth="1"/>
    <col min="5130" max="5377" width="9.140625" style="205"/>
    <col min="5378" max="5378" width="5" style="205" customWidth="1"/>
    <col min="5379" max="5379" width="17.42578125" style="205" customWidth="1"/>
    <col min="5380" max="5380" width="0" style="205" hidden="1" customWidth="1"/>
    <col min="5381" max="5381" width="11.7109375" style="205" customWidth="1"/>
    <col min="5382" max="5382" width="12.42578125" style="205" customWidth="1"/>
    <col min="5383" max="5383" width="10.85546875" style="205" customWidth="1"/>
    <col min="5384" max="5384" width="12.42578125" style="205" customWidth="1"/>
    <col min="5385" max="5385" width="18.28515625" style="205" customWidth="1"/>
    <col min="5386" max="5633" width="9.140625" style="205"/>
    <col min="5634" max="5634" width="5" style="205" customWidth="1"/>
    <col min="5635" max="5635" width="17.42578125" style="205" customWidth="1"/>
    <col min="5636" max="5636" width="0" style="205" hidden="1" customWidth="1"/>
    <col min="5637" max="5637" width="11.7109375" style="205" customWidth="1"/>
    <col min="5638" max="5638" width="12.42578125" style="205" customWidth="1"/>
    <col min="5639" max="5639" width="10.85546875" style="205" customWidth="1"/>
    <col min="5640" max="5640" width="12.42578125" style="205" customWidth="1"/>
    <col min="5641" max="5641" width="18.28515625" style="205" customWidth="1"/>
    <col min="5642" max="5889" width="9.140625" style="205"/>
    <col min="5890" max="5890" width="5" style="205" customWidth="1"/>
    <col min="5891" max="5891" width="17.42578125" style="205" customWidth="1"/>
    <col min="5892" max="5892" width="0" style="205" hidden="1" customWidth="1"/>
    <col min="5893" max="5893" width="11.7109375" style="205" customWidth="1"/>
    <col min="5894" max="5894" width="12.42578125" style="205" customWidth="1"/>
    <col min="5895" max="5895" width="10.85546875" style="205" customWidth="1"/>
    <col min="5896" max="5896" width="12.42578125" style="205" customWidth="1"/>
    <col min="5897" max="5897" width="18.28515625" style="205" customWidth="1"/>
    <col min="5898" max="6145" width="9.140625" style="205"/>
    <col min="6146" max="6146" width="5" style="205" customWidth="1"/>
    <col min="6147" max="6147" width="17.42578125" style="205" customWidth="1"/>
    <col min="6148" max="6148" width="0" style="205" hidden="1" customWidth="1"/>
    <col min="6149" max="6149" width="11.7109375" style="205" customWidth="1"/>
    <col min="6150" max="6150" width="12.42578125" style="205" customWidth="1"/>
    <col min="6151" max="6151" width="10.85546875" style="205" customWidth="1"/>
    <col min="6152" max="6152" width="12.42578125" style="205" customWidth="1"/>
    <col min="6153" max="6153" width="18.28515625" style="205" customWidth="1"/>
    <col min="6154" max="6401" width="9.140625" style="205"/>
    <col min="6402" max="6402" width="5" style="205" customWidth="1"/>
    <col min="6403" max="6403" width="17.42578125" style="205" customWidth="1"/>
    <col min="6404" max="6404" width="0" style="205" hidden="1" customWidth="1"/>
    <col min="6405" max="6405" width="11.7109375" style="205" customWidth="1"/>
    <col min="6406" max="6406" width="12.42578125" style="205" customWidth="1"/>
    <col min="6407" max="6407" width="10.85546875" style="205" customWidth="1"/>
    <col min="6408" max="6408" width="12.42578125" style="205" customWidth="1"/>
    <col min="6409" max="6409" width="18.28515625" style="205" customWidth="1"/>
    <col min="6410" max="6657" width="9.140625" style="205"/>
    <col min="6658" max="6658" width="5" style="205" customWidth="1"/>
    <col min="6659" max="6659" width="17.42578125" style="205" customWidth="1"/>
    <col min="6660" max="6660" width="0" style="205" hidden="1" customWidth="1"/>
    <col min="6661" max="6661" width="11.7109375" style="205" customWidth="1"/>
    <col min="6662" max="6662" width="12.42578125" style="205" customWidth="1"/>
    <col min="6663" max="6663" width="10.85546875" style="205" customWidth="1"/>
    <col min="6664" max="6664" width="12.42578125" style="205" customWidth="1"/>
    <col min="6665" max="6665" width="18.28515625" style="205" customWidth="1"/>
    <col min="6666" max="6913" width="9.140625" style="205"/>
    <col min="6914" max="6914" width="5" style="205" customWidth="1"/>
    <col min="6915" max="6915" width="17.42578125" style="205" customWidth="1"/>
    <col min="6916" max="6916" width="0" style="205" hidden="1" customWidth="1"/>
    <col min="6917" max="6917" width="11.7109375" style="205" customWidth="1"/>
    <col min="6918" max="6918" width="12.42578125" style="205" customWidth="1"/>
    <col min="6919" max="6919" width="10.85546875" style="205" customWidth="1"/>
    <col min="6920" max="6920" width="12.42578125" style="205" customWidth="1"/>
    <col min="6921" max="6921" width="18.28515625" style="205" customWidth="1"/>
    <col min="6922" max="7169" width="9.140625" style="205"/>
    <col min="7170" max="7170" width="5" style="205" customWidth="1"/>
    <col min="7171" max="7171" width="17.42578125" style="205" customWidth="1"/>
    <col min="7172" max="7172" width="0" style="205" hidden="1" customWidth="1"/>
    <col min="7173" max="7173" width="11.7109375" style="205" customWidth="1"/>
    <col min="7174" max="7174" width="12.42578125" style="205" customWidth="1"/>
    <col min="7175" max="7175" width="10.85546875" style="205" customWidth="1"/>
    <col min="7176" max="7176" width="12.42578125" style="205" customWidth="1"/>
    <col min="7177" max="7177" width="18.28515625" style="205" customWidth="1"/>
    <col min="7178" max="7425" width="9.140625" style="205"/>
    <col min="7426" max="7426" width="5" style="205" customWidth="1"/>
    <col min="7427" max="7427" width="17.42578125" style="205" customWidth="1"/>
    <col min="7428" max="7428" width="0" style="205" hidden="1" customWidth="1"/>
    <col min="7429" max="7429" width="11.7109375" style="205" customWidth="1"/>
    <col min="7430" max="7430" width="12.42578125" style="205" customWidth="1"/>
    <col min="7431" max="7431" width="10.85546875" style="205" customWidth="1"/>
    <col min="7432" max="7432" width="12.42578125" style="205" customWidth="1"/>
    <col min="7433" max="7433" width="18.28515625" style="205" customWidth="1"/>
    <col min="7434" max="7681" width="9.140625" style="205"/>
    <col min="7682" max="7682" width="5" style="205" customWidth="1"/>
    <col min="7683" max="7683" width="17.42578125" style="205" customWidth="1"/>
    <col min="7684" max="7684" width="0" style="205" hidden="1" customWidth="1"/>
    <col min="7685" max="7685" width="11.7109375" style="205" customWidth="1"/>
    <col min="7686" max="7686" width="12.42578125" style="205" customWidth="1"/>
    <col min="7687" max="7687" width="10.85546875" style="205" customWidth="1"/>
    <col min="7688" max="7688" width="12.42578125" style="205" customWidth="1"/>
    <col min="7689" max="7689" width="18.28515625" style="205" customWidth="1"/>
    <col min="7690" max="7937" width="9.140625" style="205"/>
    <col min="7938" max="7938" width="5" style="205" customWidth="1"/>
    <col min="7939" max="7939" width="17.42578125" style="205" customWidth="1"/>
    <col min="7940" max="7940" width="0" style="205" hidden="1" customWidth="1"/>
    <col min="7941" max="7941" width="11.7109375" style="205" customWidth="1"/>
    <col min="7942" max="7942" width="12.42578125" style="205" customWidth="1"/>
    <col min="7943" max="7943" width="10.85546875" style="205" customWidth="1"/>
    <col min="7944" max="7944" width="12.42578125" style="205" customWidth="1"/>
    <col min="7945" max="7945" width="18.28515625" style="205" customWidth="1"/>
    <col min="7946" max="8193" width="9.140625" style="205"/>
    <col min="8194" max="8194" width="5" style="205" customWidth="1"/>
    <col min="8195" max="8195" width="17.42578125" style="205" customWidth="1"/>
    <col min="8196" max="8196" width="0" style="205" hidden="1" customWidth="1"/>
    <col min="8197" max="8197" width="11.7109375" style="205" customWidth="1"/>
    <col min="8198" max="8198" width="12.42578125" style="205" customWidth="1"/>
    <col min="8199" max="8199" width="10.85546875" style="205" customWidth="1"/>
    <col min="8200" max="8200" width="12.42578125" style="205" customWidth="1"/>
    <col min="8201" max="8201" width="18.28515625" style="205" customWidth="1"/>
    <col min="8202" max="8449" width="9.140625" style="205"/>
    <col min="8450" max="8450" width="5" style="205" customWidth="1"/>
    <col min="8451" max="8451" width="17.42578125" style="205" customWidth="1"/>
    <col min="8452" max="8452" width="0" style="205" hidden="1" customWidth="1"/>
    <col min="8453" max="8453" width="11.7109375" style="205" customWidth="1"/>
    <col min="8454" max="8454" width="12.42578125" style="205" customWidth="1"/>
    <col min="8455" max="8455" width="10.85546875" style="205" customWidth="1"/>
    <col min="8456" max="8456" width="12.42578125" style="205" customWidth="1"/>
    <col min="8457" max="8457" width="18.28515625" style="205" customWidth="1"/>
    <col min="8458" max="8705" width="9.140625" style="205"/>
    <col min="8706" max="8706" width="5" style="205" customWidth="1"/>
    <col min="8707" max="8707" width="17.42578125" style="205" customWidth="1"/>
    <col min="8708" max="8708" width="0" style="205" hidden="1" customWidth="1"/>
    <col min="8709" max="8709" width="11.7109375" style="205" customWidth="1"/>
    <col min="8710" max="8710" width="12.42578125" style="205" customWidth="1"/>
    <col min="8711" max="8711" width="10.85546875" style="205" customWidth="1"/>
    <col min="8712" max="8712" width="12.42578125" style="205" customWidth="1"/>
    <col min="8713" max="8713" width="18.28515625" style="205" customWidth="1"/>
    <col min="8714" max="8961" width="9.140625" style="205"/>
    <col min="8962" max="8962" width="5" style="205" customWidth="1"/>
    <col min="8963" max="8963" width="17.42578125" style="205" customWidth="1"/>
    <col min="8964" max="8964" width="0" style="205" hidden="1" customWidth="1"/>
    <col min="8965" max="8965" width="11.7109375" style="205" customWidth="1"/>
    <col min="8966" max="8966" width="12.42578125" style="205" customWidth="1"/>
    <col min="8967" max="8967" width="10.85546875" style="205" customWidth="1"/>
    <col min="8968" max="8968" width="12.42578125" style="205" customWidth="1"/>
    <col min="8969" max="8969" width="18.28515625" style="205" customWidth="1"/>
    <col min="8970" max="9217" width="9.140625" style="205"/>
    <col min="9218" max="9218" width="5" style="205" customWidth="1"/>
    <col min="9219" max="9219" width="17.42578125" style="205" customWidth="1"/>
    <col min="9220" max="9220" width="0" style="205" hidden="1" customWidth="1"/>
    <col min="9221" max="9221" width="11.7109375" style="205" customWidth="1"/>
    <col min="9222" max="9222" width="12.42578125" style="205" customWidth="1"/>
    <col min="9223" max="9223" width="10.85546875" style="205" customWidth="1"/>
    <col min="9224" max="9224" width="12.42578125" style="205" customWidth="1"/>
    <col min="9225" max="9225" width="18.28515625" style="205" customWidth="1"/>
    <col min="9226" max="9473" width="9.140625" style="205"/>
    <col min="9474" max="9474" width="5" style="205" customWidth="1"/>
    <col min="9475" max="9475" width="17.42578125" style="205" customWidth="1"/>
    <col min="9476" max="9476" width="0" style="205" hidden="1" customWidth="1"/>
    <col min="9477" max="9477" width="11.7109375" style="205" customWidth="1"/>
    <col min="9478" max="9478" width="12.42578125" style="205" customWidth="1"/>
    <col min="9479" max="9479" width="10.85546875" style="205" customWidth="1"/>
    <col min="9480" max="9480" width="12.42578125" style="205" customWidth="1"/>
    <col min="9481" max="9481" width="18.28515625" style="205" customWidth="1"/>
    <col min="9482" max="9729" width="9.140625" style="205"/>
    <col min="9730" max="9730" width="5" style="205" customWidth="1"/>
    <col min="9731" max="9731" width="17.42578125" style="205" customWidth="1"/>
    <col min="9732" max="9732" width="0" style="205" hidden="1" customWidth="1"/>
    <col min="9733" max="9733" width="11.7109375" style="205" customWidth="1"/>
    <col min="9734" max="9734" width="12.42578125" style="205" customWidth="1"/>
    <col min="9735" max="9735" width="10.85546875" style="205" customWidth="1"/>
    <col min="9736" max="9736" width="12.42578125" style="205" customWidth="1"/>
    <col min="9737" max="9737" width="18.28515625" style="205" customWidth="1"/>
    <col min="9738" max="9985" width="9.140625" style="205"/>
    <col min="9986" max="9986" width="5" style="205" customWidth="1"/>
    <col min="9987" max="9987" width="17.42578125" style="205" customWidth="1"/>
    <col min="9988" max="9988" width="0" style="205" hidden="1" customWidth="1"/>
    <col min="9989" max="9989" width="11.7109375" style="205" customWidth="1"/>
    <col min="9990" max="9990" width="12.42578125" style="205" customWidth="1"/>
    <col min="9991" max="9991" width="10.85546875" style="205" customWidth="1"/>
    <col min="9992" max="9992" width="12.42578125" style="205" customWidth="1"/>
    <col min="9993" max="9993" width="18.28515625" style="205" customWidth="1"/>
    <col min="9994" max="10241" width="9.140625" style="205"/>
    <col min="10242" max="10242" width="5" style="205" customWidth="1"/>
    <col min="10243" max="10243" width="17.42578125" style="205" customWidth="1"/>
    <col min="10244" max="10244" width="0" style="205" hidden="1" customWidth="1"/>
    <col min="10245" max="10245" width="11.7109375" style="205" customWidth="1"/>
    <col min="10246" max="10246" width="12.42578125" style="205" customWidth="1"/>
    <col min="10247" max="10247" width="10.85546875" style="205" customWidth="1"/>
    <col min="10248" max="10248" width="12.42578125" style="205" customWidth="1"/>
    <col min="10249" max="10249" width="18.28515625" style="205" customWidth="1"/>
    <col min="10250" max="10497" width="9.140625" style="205"/>
    <col min="10498" max="10498" width="5" style="205" customWidth="1"/>
    <col min="10499" max="10499" width="17.42578125" style="205" customWidth="1"/>
    <col min="10500" max="10500" width="0" style="205" hidden="1" customWidth="1"/>
    <col min="10501" max="10501" width="11.7109375" style="205" customWidth="1"/>
    <col min="10502" max="10502" width="12.42578125" style="205" customWidth="1"/>
    <col min="10503" max="10503" width="10.85546875" style="205" customWidth="1"/>
    <col min="10504" max="10504" width="12.42578125" style="205" customWidth="1"/>
    <col min="10505" max="10505" width="18.28515625" style="205" customWidth="1"/>
    <col min="10506" max="10753" width="9.140625" style="205"/>
    <col min="10754" max="10754" width="5" style="205" customWidth="1"/>
    <col min="10755" max="10755" width="17.42578125" style="205" customWidth="1"/>
    <col min="10756" max="10756" width="0" style="205" hidden="1" customWidth="1"/>
    <col min="10757" max="10757" width="11.7109375" style="205" customWidth="1"/>
    <col min="10758" max="10758" width="12.42578125" style="205" customWidth="1"/>
    <col min="10759" max="10759" width="10.85546875" style="205" customWidth="1"/>
    <col min="10760" max="10760" width="12.42578125" style="205" customWidth="1"/>
    <col min="10761" max="10761" width="18.28515625" style="205" customWidth="1"/>
    <col min="10762" max="11009" width="9.140625" style="205"/>
    <col min="11010" max="11010" width="5" style="205" customWidth="1"/>
    <col min="11011" max="11011" width="17.42578125" style="205" customWidth="1"/>
    <col min="11012" max="11012" width="0" style="205" hidden="1" customWidth="1"/>
    <col min="11013" max="11013" width="11.7109375" style="205" customWidth="1"/>
    <col min="11014" max="11014" width="12.42578125" style="205" customWidth="1"/>
    <col min="11015" max="11015" width="10.85546875" style="205" customWidth="1"/>
    <col min="11016" max="11016" width="12.42578125" style="205" customWidth="1"/>
    <col min="11017" max="11017" width="18.28515625" style="205" customWidth="1"/>
    <col min="11018" max="11265" width="9.140625" style="205"/>
    <col min="11266" max="11266" width="5" style="205" customWidth="1"/>
    <col min="11267" max="11267" width="17.42578125" style="205" customWidth="1"/>
    <col min="11268" max="11268" width="0" style="205" hidden="1" customWidth="1"/>
    <col min="11269" max="11269" width="11.7109375" style="205" customWidth="1"/>
    <col min="11270" max="11270" width="12.42578125" style="205" customWidth="1"/>
    <col min="11271" max="11271" width="10.85546875" style="205" customWidth="1"/>
    <col min="11272" max="11272" width="12.42578125" style="205" customWidth="1"/>
    <col min="11273" max="11273" width="18.28515625" style="205" customWidth="1"/>
    <col min="11274" max="11521" width="9.140625" style="205"/>
    <col min="11522" max="11522" width="5" style="205" customWidth="1"/>
    <col min="11523" max="11523" width="17.42578125" style="205" customWidth="1"/>
    <col min="11524" max="11524" width="0" style="205" hidden="1" customWidth="1"/>
    <col min="11525" max="11525" width="11.7109375" style="205" customWidth="1"/>
    <col min="11526" max="11526" width="12.42578125" style="205" customWidth="1"/>
    <col min="11527" max="11527" width="10.85546875" style="205" customWidth="1"/>
    <col min="11528" max="11528" width="12.42578125" style="205" customWidth="1"/>
    <col min="11529" max="11529" width="18.28515625" style="205" customWidth="1"/>
    <col min="11530" max="11777" width="9.140625" style="205"/>
    <col min="11778" max="11778" width="5" style="205" customWidth="1"/>
    <col min="11779" max="11779" width="17.42578125" style="205" customWidth="1"/>
    <col min="11780" max="11780" width="0" style="205" hidden="1" customWidth="1"/>
    <col min="11781" max="11781" width="11.7109375" style="205" customWidth="1"/>
    <col min="11782" max="11782" width="12.42578125" style="205" customWidth="1"/>
    <col min="11783" max="11783" width="10.85546875" style="205" customWidth="1"/>
    <col min="11784" max="11784" width="12.42578125" style="205" customWidth="1"/>
    <col min="11785" max="11785" width="18.28515625" style="205" customWidth="1"/>
    <col min="11786" max="12033" width="9.140625" style="205"/>
    <col min="12034" max="12034" width="5" style="205" customWidth="1"/>
    <col min="12035" max="12035" width="17.42578125" style="205" customWidth="1"/>
    <col min="12036" max="12036" width="0" style="205" hidden="1" customWidth="1"/>
    <col min="12037" max="12037" width="11.7109375" style="205" customWidth="1"/>
    <col min="12038" max="12038" width="12.42578125" style="205" customWidth="1"/>
    <col min="12039" max="12039" width="10.85546875" style="205" customWidth="1"/>
    <col min="12040" max="12040" width="12.42578125" style="205" customWidth="1"/>
    <col min="12041" max="12041" width="18.28515625" style="205" customWidth="1"/>
    <col min="12042" max="12289" width="9.140625" style="205"/>
    <col min="12290" max="12290" width="5" style="205" customWidth="1"/>
    <col min="12291" max="12291" width="17.42578125" style="205" customWidth="1"/>
    <col min="12292" max="12292" width="0" style="205" hidden="1" customWidth="1"/>
    <col min="12293" max="12293" width="11.7109375" style="205" customWidth="1"/>
    <col min="12294" max="12294" width="12.42578125" style="205" customWidth="1"/>
    <col min="12295" max="12295" width="10.85546875" style="205" customWidth="1"/>
    <col min="12296" max="12296" width="12.42578125" style="205" customWidth="1"/>
    <col min="12297" max="12297" width="18.28515625" style="205" customWidth="1"/>
    <col min="12298" max="12545" width="9.140625" style="205"/>
    <col min="12546" max="12546" width="5" style="205" customWidth="1"/>
    <col min="12547" max="12547" width="17.42578125" style="205" customWidth="1"/>
    <col min="12548" max="12548" width="0" style="205" hidden="1" customWidth="1"/>
    <col min="12549" max="12549" width="11.7109375" style="205" customWidth="1"/>
    <col min="12550" max="12550" width="12.42578125" style="205" customWidth="1"/>
    <col min="12551" max="12551" width="10.85546875" style="205" customWidth="1"/>
    <col min="12552" max="12552" width="12.42578125" style="205" customWidth="1"/>
    <col min="12553" max="12553" width="18.28515625" style="205" customWidth="1"/>
    <col min="12554" max="12801" width="9.140625" style="205"/>
    <col min="12802" max="12802" width="5" style="205" customWidth="1"/>
    <col min="12803" max="12803" width="17.42578125" style="205" customWidth="1"/>
    <col min="12804" max="12804" width="0" style="205" hidden="1" customWidth="1"/>
    <col min="12805" max="12805" width="11.7109375" style="205" customWidth="1"/>
    <col min="12806" max="12806" width="12.42578125" style="205" customWidth="1"/>
    <col min="12807" max="12807" width="10.85546875" style="205" customWidth="1"/>
    <col min="12808" max="12808" width="12.42578125" style="205" customWidth="1"/>
    <col min="12809" max="12809" width="18.28515625" style="205" customWidth="1"/>
    <col min="12810" max="13057" width="9.140625" style="205"/>
    <col min="13058" max="13058" width="5" style="205" customWidth="1"/>
    <col min="13059" max="13059" width="17.42578125" style="205" customWidth="1"/>
    <col min="13060" max="13060" width="0" style="205" hidden="1" customWidth="1"/>
    <col min="13061" max="13061" width="11.7109375" style="205" customWidth="1"/>
    <col min="13062" max="13062" width="12.42578125" style="205" customWidth="1"/>
    <col min="13063" max="13063" width="10.85546875" style="205" customWidth="1"/>
    <col min="13064" max="13064" width="12.42578125" style="205" customWidth="1"/>
    <col min="13065" max="13065" width="18.28515625" style="205" customWidth="1"/>
    <col min="13066" max="13313" width="9.140625" style="205"/>
    <col min="13314" max="13314" width="5" style="205" customWidth="1"/>
    <col min="13315" max="13315" width="17.42578125" style="205" customWidth="1"/>
    <col min="13316" max="13316" width="0" style="205" hidden="1" customWidth="1"/>
    <col min="13317" max="13317" width="11.7109375" style="205" customWidth="1"/>
    <col min="13318" max="13318" width="12.42578125" style="205" customWidth="1"/>
    <col min="13319" max="13319" width="10.85546875" style="205" customWidth="1"/>
    <col min="13320" max="13320" width="12.42578125" style="205" customWidth="1"/>
    <col min="13321" max="13321" width="18.28515625" style="205" customWidth="1"/>
    <col min="13322" max="13569" width="9.140625" style="205"/>
    <col min="13570" max="13570" width="5" style="205" customWidth="1"/>
    <col min="13571" max="13571" width="17.42578125" style="205" customWidth="1"/>
    <col min="13572" max="13572" width="0" style="205" hidden="1" customWidth="1"/>
    <col min="13573" max="13573" width="11.7109375" style="205" customWidth="1"/>
    <col min="13574" max="13574" width="12.42578125" style="205" customWidth="1"/>
    <col min="13575" max="13575" width="10.85546875" style="205" customWidth="1"/>
    <col min="13576" max="13576" width="12.42578125" style="205" customWidth="1"/>
    <col min="13577" max="13577" width="18.28515625" style="205" customWidth="1"/>
    <col min="13578" max="13825" width="9.140625" style="205"/>
    <col min="13826" max="13826" width="5" style="205" customWidth="1"/>
    <col min="13827" max="13827" width="17.42578125" style="205" customWidth="1"/>
    <col min="13828" max="13828" width="0" style="205" hidden="1" customWidth="1"/>
    <col min="13829" max="13829" width="11.7109375" style="205" customWidth="1"/>
    <col min="13830" max="13830" width="12.42578125" style="205" customWidth="1"/>
    <col min="13831" max="13831" width="10.85546875" style="205" customWidth="1"/>
    <col min="13832" max="13832" width="12.42578125" style="205" customWidth="1"/>
    <col min="13833" max="13833" width="18.28515625" style="205" customWidth="1"/>
    <col min="13834" max="14081" width="9.140625" style="205"/>
    <col min="14082" max="14082" width="5" style="205" customWidth="1"/>
    <col min="14083" max="14083" width="17.42578125" style="205" customWidth="1"/>
    <col min="14084" max="14084" width="0" style="205" hidden="1" customWidth="1"/>
    <col min="14085" max="14085" width="11.7109375" style="205" customWidth="1"/>
    <col min="14086" max="14086" width="12.42578125" style="205" customWidth="1"/>
    <col min="14087" max="14087" width="10.85546875" style="205" customWidth="1"/>
    <col min="14088" max="14088" width="12.42578125" style="205" customWidth="1"/>
    <col min="14089" max="14089" width="18.28515625" style="205" customWidth="1"/>
    <col min="14090" max="14337" width="9.140625" style="205"/>
    <col min="14338" max="14338" width="5" style="205" customWidth="1"/>
    <col min="14339" max="14339" width="17.42578125" style="205" customWidth="1"/>
    <col min="14340" max="14340" width="0" style="205" hidden="1" customWidth="1"/>
    <col min="14341" max="14341" width="11.7109375" style="205" customWidth="1"/>
    <col min="14342" max="14342" width="12.42578125" style="205" customWidth="1"/>
    <col min="14343" max="14343" width="10.85546875" style="205" customWidth="1"/>
    <col min="14344" max="14344" width="12.42578125" style="205" customWidth="1"/>
    <col min="14345" max="14345" width="18.28515625" style="205" customWidth="1"/>
    <col min="14346" max="14593" width="9.140625" style="205"/>
    <col min="14594" max="14594" width="5" style="205" customWidth="1"/>
    <col min="14595" max="14595" width="17.42578125" style="205" customWidth="1"/>
    <col min="14596" max="14596" width="0" style="205" hidden="1" customWidth="1"/>
    <col min="14597" max="14597" width="11.7109375" style="205" customWidth="1"/>
    <col min="14598" max="14598" width="12.42578125" style="205" customWidth="1"/>
    <col min="14599" max="14599" width="10.85546875" style="205" customWidth="1"/>
    <col min="14600" max="14600" width="12.42578125" style="205" customWidth="1"/>
    <col min="14601" max="14601" width="18.28515625" style="205" customWidth="1"/>
    <col min="14602" max="14849" width="9.140625" style="205"/>
    <col min="14850" max="14850" width="5" style="205" customWidth="1"/>
    <col min="14851" max="14851" width="17.42578125" style="205" customWidth="1"/>
    <col min="14852" max="14852" width="0" style="205" hidden="1" customWidth="1"/>
    <col min="14853" max="14853" width="11.7109375" style="205" customWidth="1"/>
    <col min="14854" max="14854" width="12.42578125" style="205" customWidth="1"/>
    <col min="14855" max="14855" width="10.85546875" style="205" customWidth="1"/>
    <col min="14856" max="14856" width="12.42578125" style="205" customWidth="1"/>
    <col min="14857" max="14857" width="18.28515625" style="205" customWidth="1"/>
    <col min="14858" max="15105" width="9.140625" style="205"/>
    <col min="15106" max="15106" width="5" style="205" customWidth="1"/>
    <col min="15107" max="15107" width="17.42578125" style="205" customWidth="1"/>
    <col min="15108" max="15108" width="0" style="205" hidden="1" customWidth="1"/>
    <col min="15109" max="15109" width="11.7109375" style="205" customWidth="1"/>
    <col min="15110" max="15110" width="12.42578125" style="205" customWidth="1"/>
    <col min="15111" max="15111" width="10.85546875" style="205" customWidth="1"/>
    <col min="15112" max="15112" width="12.42578125" style="205" customWidth="1"/>
    <col min="15113" max="15113" width="18.28515625" style="205" customWidth="1"/>
    <col min="15114" max="15361" width="9.140625" style="205"/>
    <col min="15362" max="15362" width="5" style="205" customWidth="1"/>
    <col min="15363" max="15363" width="17.42578125" style="205" customWidth="1"/>
    <col min="15364" max="15364" width="0" style="205" hidden="1" customWidth="1"/>
    <col min="15365" max="15365" width="11.7109375" style="205" customWidth="1"/>
    <col min="15366" max="15366" width="12.42578125" style="205" customWidth="1"/>
    <col min="15367" max="15367" width="10.85546875" style="205" customWidth="1"/>
    <col min="15368" max="15368" width="12.42578125" style="205" customWidth="1"/>
    <col min="15369" max="15369" width="18.28515625" style="205" customWidth="1"/>
    <col min="15370" max="15617" width="9.140625" style="205"/>
    <col min="15618" max="15618" width="5" style="205" customWidth="1"/>
    <col min="15619" max="15619" width="17.42578125" style="205" customWidth="1"/>
    <col min="15620" max="15620" width="0" style="205" hidden="1" customWidth="1"/>
    <col min="15621" max="15621" width="11.7109375" style="205" customWidth="1"/>
    <col min="15622" max="15622" width="12.42578125" style="205" customWidth="1"/>
    <col min="15623" max="15623" width="10.85546875" style="205" customWidth="1"/>
    <col min="15624" max="15624" width="12.42578125" style="205" customWidth="1"/>
    <col min="15625" max="15625" width="18.28515625" style="205" customWidth="1"/>
    <col min="15626" max="15873" width="9.140625" style="205"/>
    <col min="15874" max="15874" width="5" style="205" customWidth="1"/>
    <col min="15875" max="15875" width="17.42578125" style="205" customWidth="1"/>
    <col min="15876" max="15876" width="0" style="205" hidden="1" customWidth="1"/>
    <col min="15877" max="15877" width="11.7109375" style="205" customWidth="1"/>
    <col min="15878" max="15878" width="12.42578125" style="205" customWidth="1"/>
    <col min="15879" max="15879" width="10.85546875" style="205" customWidth="1"/>
    <col min="15880" max="15880" width="12.42578125" style="205" customWidth="1"/>
    <col min="15881" max="15881" width="18.28515625" style="205" customWidth="1"/>
    <col min="15882" max="16129" width="9.140625" style="205"/>
    <col min="16130" max="16130" width="5" style="205" customWidth="1"/>
    <col min="16131" max="16131" width="17.42578125" style="205" customWidth="1"/>
    <col min="16132" max="16132" width="0" style="205" hidden="1" customWidth="1"/>
    <col min="16133" max="16133" width="11.7109375" style="205" customWidth="1"/>
    <col min="16134" max="16134" width="12.42578125" style="205" customWidth="1"/>
    <col min="16135" max="16135" width="10.85546875" style="205" customWidth="1"/>
    <col min="16136" max="16136" width="12.42578125" style="205" customWidth="1"/>
    <col min="16137" max="16137" width="18.28515625" style="205" customWidth="1"/>
    <col min="16138" max="16384" width="9.140625" style="205"/>
  </cols>
  <sheetData>
    <row r="1" spans="1:11" ht="27.75" customHeight="1">
      <c r="A1" s="289" t="str">
        <f>"BẢNG ỨNG LƯƠNG THÁNG"&amp;" "&amp;TEXT($K$1,"mm")&amp;" / "&amp;TEXT($K$1,"yyyy")</f>
        <v>BẢNG ỨNG LƯƠNG THÁNG 05 / 2016</v>
      </c>
      <c r="B1" s="289"/>
      <c r="C1" s="289"/>
      <c r="D1" s="289"/>
      <c r="E1" s="289"/>
      <c r="F1" s="289"/>
      <c r="G1" s="289"/>
      <c r="H1" s="289"/>
      <c r="I1" s="289"/>
      <c r="K1" s="206">
        <f>'CC -5'!AU1</f>
        <v>42491</v>
      </c>
    </row>
    <row r="2" spans="1:11" ht="55.5" customHeight="1">
      <c r="A2" s="201" t="s">
        <v>16</v>
      </c>
      <c r="B2" s="200" t="s">
        <v>3</v>
      </c>
      <c r="C2" s="201" t="s">
        <v>1</v>
      </c>
      <c r="D2" s="200" t="s">
        <v>88</v>
      </c>
      <c r="E2" s="200" t="s">
        <v>89</v>
      </c>
      <c r="F2" s="207" t="s">
        <v>90</v>
      </c>
      <c r="G2" s="207" t="s">
        <v>165</v>
      </c>
      <c r="H2" s="207" t="s">
        <v>91</v>
      </c>
      <c r="I2" s="201" t="s">
        <v>92</v>
      </c>
    </row>
    <row r="3" spans="1:11" ht="20.25" customHeight="1">
      <c r="A3" s="208" t="s">
        <v>79</v>
      </c>
      <c r="B3" s="208"/>
      <c r="C3" s="202" t="s">
        <v>93</v>
      </c>
      <c r="D3" s="203">
        <f>SUM(D4:D8)</f>
        <v>25000010</v>
      </c>
      <c r="E3" s="203">
        <f>SUM(E4:E8)</f>
        <v>18000000</v>
      </c>
      <c r="F3" s="203">
        <f>SUM(F4:F8)</f>
        <v>0</v>
      </c>
      <c r="G3" s="203">
        <f>SUM(G4:G8)</f>
        <v>0</v>
      </c>
      <c r="H3" s="203">
        <f>SUM(H4:H8)</f>
        <v>0</v>
      </c>
      <c r="I3" s="188"/>
    </row>
    <row r="4" spans="1:11" ht="20.25" customHeight="1">
      <c r="A4" s="209">
        <v>1</v>
      </c>
      <c r="B4" s="209" t="s">
        <v>121</v>
      </c>
      <c r="C4" s="82" t="str">
        <f>IF(ISNA(VLOOKUP(B4,DS,2,0)),"",VLOOKUP(B4,DS,2,0))</f>
        <v>Trần Thị Ngọc</v>
      </c>
      <c r="D4" s="83">
        <v>5000000</v>
      </c>
      <c r="E4" s="83">
        <f>IF(ISNA(VLOOKUP(B4,DS,4,0)),0,VLOOKUP(B4,DS,4,0))</f>
        <v>3200000</v>
      </c>
      <c r="F4" s="210"/>
      <c r="G4" s="211"/>
      <c r="H4" s="211">
        <f>F4-G4</f>
        <v>0</v>
      </c>
      <c r="I4" s="212"/>
    </row>
    <row r="5" spans="1:11" ht="20.25" customHeight="1">
      <c r="A5" s="213">
        <f>A4+1</f>
        <v>2</v>
      </c>
      <c r="B5" s="213" t="s">
        <v>122</v>
      </c>
      <c r="C5" s="82" t="str">
        <f>IF(ISNA(VLOOKUP(B5,DS,2,0)),"",VLOOKUP(B5,DS,2,0))</f>
        <v>Lê Thị Ngân</v>
      </c>
      <c r="D5" s="83">
        <v>5000001</v>
      </c>
      <c r="E5" s="83">
        <f>IF(ISNA(VLOOKUP(B5,DS,4,0)),0,VLOOKUP(B5,DS,4,0))</f>
        <v>3800000</v>
      </c>
      <c r="F5" s="210"/>
      <c r="G5" s="216"/>
      <c r="H5" s="216">
        <f>F5-G5</f>
        <v>0</v>
      </c>
      <c r="I5" s="217"/>
    </row>
    <row r="6" spans="1:11" ht="20.25" customHeight="1">
      <c r="A6" s="213">
        <f>A5+1</f>
        <v>3</v>
      </c>
      <c r="B6" s="213" t="s">
        <v>123</v>
      </c>
      <c r="C6" s="82" t="str">
        <f>IF(ISNA(VLOOKUP(B6,DS,2,0)),"",VLOOKUP(B6,DS,2,0))</f>
        <v>Trần Anh Nhựt</v>
      </c>
      <c r="D6" s="83">
        <v>5000002</v>
      </c>
      <c r="E6" s="83">
        <f>IF(ISNA(VLOOKUP(B6,DS,4,0)),0,VLOOKUP(B6,DS,4,0))</f>
        <v>5000000</v>
      </c>
      <c r="F6" s="210"/>
      <c r="G6" s="216"/>
      <c r="H6" s="216">
        <f>F6-G6</f>
        <v>0</v>
      </c>
      <c r="I6" s="217"/>
    </row>
    <row r="7" spans="1:11" ht="20.25" customHeight="1">
      <c r="A7" s="213">
        <f>A6+1</f>
        <v>4</v>
      </c>
      <c r="B7" s="213" t="s">
        <v>124</v>
      </c>
      <c r="C7" s="82" t="str">
        <f>IF(ISNA(VLOOKUP(B7,DS,2,0)),"",VLOOKUP(B7,DS,2,0))</f>
        <v>Hoàng Hải Bằng</v>
      </c>
      <c r="D7" s="83">
        <v>5000003</v>
      </c>
      <c r="E7" s="83">
        <f>IF(ISNA(VLOOKUP(B7,DS,4,0)),0,VLOOKUP(B7,DS,4,0))</f>
        <v>3000000</v>
      </c>
      <c r="F7" s="210"/>
      <c r="G7" s="216"/>
      <c r="H7" s="216">
        <f>F7-G7</f>
        <v>0</v>
      </c>
      <c r="I7" s="218"/>
    </row>
    <row r="8" spans="1:11" ht="20.25" customHeight="1">
      <c r="A8" s="213">
        <f>A7+1</f>
        <v>5</v>
      </c>
      <c r="B8" s="219" t="s">
        <v>125</v>
      </c>
      <c r="C8" s="82" t="str">
        <f>IF(ISNA(VLOOKUP(B8,DS,2,0)),"",VLOOKUP(B8,DS,2,0))</f>
        <v>Huỳnh Minh Toàn</v>
      </c>
      <c r="D8" s="83">
        <v>5000004</v>
      </c>
      <c r="E8" s="83">
        <f>IF(ISNA(VLOOKUP(B8,DS,4,0)),0,VLOOKUP(B8,DS,4,0))</f>
        <v>3000000</v>
      </c>
      <c r="F8" s="210"/>
      <c r="G8" s="221"/>
      <c r="H8" s="221">
        <f>F8-G8</f>
        <v>0</v>
      </c>
      <c r="I8" s="222"/>
    </row>
    <row r="9" spans="1:11" ht="20.25" customHeight="1">
      <c r="A9" s="202" t="s">
        <v>80</v>
      </c>
      <c r="B9" s="202"/>
      <c r="C9" s="223" t="s">
        <v>98</v>
      </c>
      <c r="D9" s="224">
        <f>SUM(D10:D11)</f>
        <v>10000003</v>
      </c>
      <c r="E9" s="224">
        <f>SUM(E10:E11)</f>
        <v>10500000</v>
      </c>
      <c r="F9" s="224">
        <f>SUM(F10:F11)</f>
        <v>0</v>
      </c>
      <c r="G9" s="225">
        <f>SUM(G10:G11)</f>
        <v>0</v>
      </c>
      <c r="H9" s="225">
        <f>SUM(H10:H11)</f>
        <v>0</v>
      </c>
      <c r="I9" s="188"/>
    </row>
    <row r="10" spans="1:11" ht="20.25" customHeight="1">
      <c r="A10" s="226">
        <f>A8+1</f>
        <v>6</v>
      </c>
      <c r="B10" s="226" t="s">
        <v>126</v>
      </c>
      <c r="C10" s="82" t="str">
        <f>IF(ISNA(VLOOKUP(B10,DS,2,0)),"",VLOOKUP(B10,DS,2,0))</f>
        <v>Nguyễn Hồng Tâm</v>
      </c>
      <c r="D10" s="83">
        <v>5000001</v>
      </c>
      <c r="E10" s="83">
        <f>IF(ISNA(VLOOKUP(B10,DS,4,0)),0,VLOOKUP(B10,DS,4,0))</f>
        <v>4000000</v>
      </c>
      <c r="F10" s="210"/>
      <c r="G10" s="227"/>
      <c r="H10" s="227">
        <f>F10-G10</f>
        <v>0</v>
      </c>
      <c r="I10" s="212"/>
    </row>
    <row r="11" spans="1:11" ht="20.25" customHeight="1">
      <c r="A11" s="228">
        <f>A10+1</f>
        <v>7</v>
      </c>
      <c r="B11" s="226" t="s">
        <v>127</v>
      </c>
      <c r="C11" s="82" t="str">
        <f>IF(ISNA(VLOOKUP(B11,DS,2,0)),"",VLOOKUP(B11,DS,2,0))</f>
        <v>Lê Thành Phước</v>
      </c>
      <c r="D11" s="83">
        <v>5000002</v>
      </c>
      <c r="E11" s="83">
        <f>IF(ISNA(VLOOKUP(B11,DS,4,0)),0,VLOOKUP(B11,DS,4,0))</f>
        <v>6500000</v>
      </c>
      <c r="F11" s="210"/>
      <c r="G11" s="229"/>
      <c r="H11" s="227">
        <f>F11-G11</f>
        <v>0</v>
      </c>
      <c r="I11" s="222"/>
    </row>
    <row r="12" spans="1:11" ht="20.25" customHeight="1">
      <c r="A12" s="202" t="s">
        <v>101</v>
      </c>
      <c r="B12" s="202"/>
      <c r="C12" s="223" t="s">
        <v>102</v>
      </c>
      <c r="D12" s="224">
        <f>SUM(D13:D22)</f>
        <v>50000045</v>
      </c>
      <c r="E12" s="224">
        <f>SUM(E13:E22)</f>
        <v>42100000</v>
      </c>
      <c r="F12" s="224">
        <f>SUM(F13:F22)</f>
        <v>0</v>
      </c>
      <c r="G12" s="225">
        <f>SUM(G13:G22)</f>
        <v>0</v>
      </c>
      <c r="H12" s="225">
        <f>SUM(H13:H22)</f>
        <v>0</v>
      </c>
      <c r="I12" s="188"/>
    </row>
    <row r="13" spans="1:11" ht="20.25" customHeight="1">
      <c r="A13" s="226">
        <f>A11+1</f>
        <v>8</v>
      </c>
      <c r="B13" s="226" t="s">
        <v>128</v>
      </c>
      <c r="C13" s="244" t="str">
        <f t="shared" ref="C13:C21" si="0">IF(ISNA(VLOOKUP(B13,DS,2,0)),"",VLOOKUP(B13,DS,2,0))</f>
        <v>Lê Văn Hữu</v>
      </c>
      <c r="D13" s="245">
        <v>5000001</v>
      </c>
      <c r="E13" s="245">
        <f t="shared" ref="E13:E21" si="1">IF(ISNA(VLOOKUP(B13,DS,4,0)),0,VLOOKUP(B13,DS,4,0))</f>
        <v>7000000</v>
      </c>
      <c r="F13" s="210"/>
      <c r="G13" s="227"/>
      <c r="H13" s="227">
        <f t="shared" ref="H13:H22" si="2">F13-G13</f>
        <v>0</v>
      </c>
      <c r="I13" s="246"/>
    </row>
    <row r="14" spans="1:11" s="232" customFormat="1" ht="20.25" customHeight="1">
      <c r="A14" s="213">
        <f t="shared" ref="A14:A21" si="3">A13+1</f>
        <v>9</v>
      </c>
      <c r="B14" s="213" t="s">
        <v>129</v>
      </c>
      <c r="C14" s="82" t="str">
        <f t="shared" si="0"/>
        <v>Bùi Trường Giang</v>
      </c>
      <c r="D14" s="83">
        <v>5000002</v>
      </c>
      <c r="E14" s="83">
        <f t="shared" si="1"/>
        <v>5550000</v>
      </c>
      <c r="F14" s="210"/>
      <c r="G14" s="216"/>
      <c r="H14" s="227">
        <f t="shared" si="2"/>
        <v>0</v>
      </c>
      <c r="I14" s="231"/>
    </row>
    <row r="15" spans="1:11" ht="20.25" customHeight="1">
      <c r="A15" s="213">
        <f t="shared" si="3"/>
        <v>10</v>
      </c>
      <c r="B15" s="213" t="s">
        <v>130</v>
      </c>
      <c r="C15" s="82" t="str">
        <f t="shared" si="0"/>
        <v>Nguyễn T Bích Thủy</v>
      </c>
      <c r="D15" s="83">
        <v>5000003</v>
      </c>
      <c r="E15" s="83">
        <f t="shared" si="1"/>
        <v>3450000</v>
      </c>
      <c r="F15" s="210"/>
      <c r="G15" s="216"/>
      <c r="H15" s="227">
        <f t="shared" si="2"/>
        <v>0</v>
      </c>
      <c r="I15" s="217"/>
    </row>
    <row r="16" spans="1:11" ht="20.25" customHeight="1">
      <c r="A16" s="213">
        <f t="shared" si="3"/>
        <v>11</v>
      </c>
      <c r="B16" s="213" t="s">
        <v>131</v>
      </c>
      <c r="C16" s="82" t="str">
        <f t="shared" si="0"/>
        <v>Phan Hùng Trí</v>
      </c>
      <c r="D16" s="83">
        <v>5000004</v>
      </c>
      <c r="E16" s="83">
        <f t="shared" si="1"/>
        <v>3800000</v>
      </c>
      <c r="F16" s="210"/>
      <c r="G16" s="216"/>
      <c r="H16" s="227">
        <f t="shared" si="2"/>
        <v>0</v>
      </c>
      <c r="I16" s="217"/>
    </row>
    <row r="17" spans="1:9" ht="20.25" customHeight="1">
      <c r="A17" s="213">
        <f t="shared" si="3"/>
        <v>12</v>
      </c>
      <c r="B17" s="213" t="s">
        <v>132</v>
      </c>
      <c r="C17" s="82" t="str">
        <f t="shared" si="0"/>
        <v>Lý Thanh Hải</v>
      </c>
      <c r="D17" s="83">
        <v>5000005</v>
      </c>
      <c r="E17" s="83">
        <f t="shared" si="1"/>
        <v>5550000</v>
      </c>
      <c r="F17" s="210"/>
      <c r="G17" s="216"/>
      <c r="H17" s="227">
        <f t="shared" si="2"/>
        <v>0</v>
      </c>
      <c r="I17" s="217"/>
    </row>
    <row r="18" spans="1:9" ht="20.25" customHeight="1">
      <c r="A18" s="213">
        <f t="shared" si="3"/>
        <v>13</v>
      </c>
      <c r="B18" s="213" t="s">
        <v>133</v>
      </c>
      <c r="C18" s="82" t="str">
        <f t="shared" si="0"/>
        <v>Danh Sà Phép</v>
      </c>
      <c r="D18" s="83">
        <v>5000006</v>
      </c>
      <c r="E18" s="83">
        <f t="shared" si="1"/>
        <v>5550000</v>
      </c>
      <c r="F18" s="210"/>
      <c r="G18" s="216"/>
      <c r="H18" s="227">
        <f t="shared" si="2"/>
        <v>0</v>
      </c>
      <c r="I18" s="217"/>
    </row>
    <row r="19" spans="1:9" ht="20.25" customHeight="1">
      <c r="A19" s="213">
        <f t="shared" si="3"/>
        <v>14</v>
      </c>
      <c r="B19" s="213" t="s">
        <v>134</v>
      </c>
      <c r="C19" s="82" t="str">
        <f t="shared" si="0"/>
        <v>Nguyễn Thị Sự</v>
      </c>
      <c r="D19" s="83">
        <v>5000007</v>
      </c>
      <c r="E19" s="83">
        <f t="shared" si="1"/>
        <v>5000000</v>
      </c>
      <c r="F19" s="210"/>
      <c r="G19" s="216"/>
      <c r="H19" s="227">
        <f t="shared" si="2"/>
        <v>0</v>
      </c>
      <c r="I19" s="217"/>
    </row>
    <row r="20" spans="1:9" ht="20.25" customHeight="1">
      <c r="A20" s="213">
        <f t="shared" si="3"/>
        <v>15</v>
      </c>
      <c r="B20" s="213" t="s">
        <v>135</v>
      </c>
      <c r="C20" s="82" t="str">
        <f t="shared" si="0"/>
        <v>Sơn Minh Bảo</v>
      </c>
      <c r="D20" s="83">
        <v>5000008</v>
      </c>
      <c r="E20" s="83">
        <f t="shared" si="1"/>
        <v>3000000</v>
      </c>
      <c r="F20" s="210"/>
      <c r="G20" s="216"/>
      <c r="H20" s="227">
        <f t="shared" si="2"/>
        <v>0</v>
      </c>
      <c r="I20" s="217"/>
    </row>
    <row r="21" spans="1:9" ht="20.25" customHeight="1">
      <c r="A21" s="213">
        <f t="shared" si="3"/>
        <v>16</v>
      </c>
      <c r="B21" s="213" t="s">
        <v>136</v>
      </c>
      <c r="C21" s="82" t="str">
        <f t="shared" si="0"/>
        <v>Nguyễn Trung Nghị</v>
      </c>
      <c r="D21" s="83">
        <v>5000009</v>
      </c>
      <c r="E21" s="83">
        <f t="shared" si="1"/>
        <v>3200000</v>
      </c>
      <c r="F21" s="210"/>
      <c r="G21" s="216"/>
      <c r="H21" s="227">
        <f t="shared" si="2"/>
        <v>0</v>
      </c>
      <c r="I21" s="217"/>
    </row>
    <row r="22" spans="1:9" ht="20.25" customHeight="1">
      <c r="A22" s="213"/>
      <c r="B22" s="213"/>
      <c r="C22" s="214"/>
      <c r="D22" s="215">
        <v>5000000</v>
      </c>
      <c r="E22" s="230"/>
      <c r="F22" s="210"/>
      <c r="G22" s="216"/>
      <c r="H22" s="227">
        <f t="shared" si="2"/>
        <v>0</v>
      </c>
      <c r="I22" s="217"/>
    </row>
    <row r="23" spans="1:9" ht="20.25" customHeight="1">
      <c r="A23" s="233"/>
      <c r="B23" s="233"/>
      <c r="C23" s="223" t="s">
        <v>112</v>
      </c>
      <c r="D23" s="224">
        <f>SUM(D24:D33)</f>
        <v>48000045</v>
      </c>
      <c r="E23" s="224">
        <f>SUM(E24:E33)</f>
        <v>24750000</v>
      </c>
      <c r="F23" s="224">
        <f>SUM(F24:F33)</f>
        <v>0</v>
      </c>
      <c r="G23" s="225">
        <f>SUM(G24:G33)</f>
        <v>0</v>
      </c>
      <c r="H23" s="225">
        <f>SUM(H24:H33)</f>
        <v>0</v>
      </c>
      <c r="I23" s="188"/>
    </row>
    <row r="24" spans="1:9" ht="20.25" customHeight="1">
      <c r="A24" s="226">
        <v>17</v>
      </c>
      <c r="B24" s="226" t="s">
        <v>137</v>
      </c>
      <c r="C24" s="244" t="str">
        <f t="shared" ref="C24:C32" si="4">IF(ISNA(VLOOKUP(B24,DS,2,0)),"",VLOOKUP(B24,DS,2,0))</f>
        <v>Võ Văn Kiệt</v>
      </c>
      <c r="D24" s="245">
        <v>5000001</v>
      </c>
      <c r="E24" s="245">
        <f t="shared" ref="E24:E32" si="5">IF(ISNA(VLOOKUP(B24,DS,4,0)),0,VLOOKUP(B24,DS,4,0))</f>
        <v>8100000</v>
      </c>
      <c r="F24" s="210"/>
      <c r="G24" s="211"/>
      <c r="H24" s="211">
        <f t="shared" ref="H24:H33" si="6">F24-G24</f>
        <v>0</v>
      </c>
      <c r="I24" s="212"/>
    </row>
    <row r="25" spans="1:9" ht="20.25" customHeight="1">
      <c r="A25" s="213">
        <v>18</v>
      </c>
      <c r="B25" s="213" t="s">
        <v>138</v>
      </c>
      <c r="C25" s="82" t="str">
        <f t="shared" si="4"/>
        <v>Huỳnh Văn Út</v>
      </c>
      <c r="D25" s="83">
        <v>5000002</v>
      </c>
      <c r="E25" s="83">
        <f t="shared" si="5"/>
        <v>5650000</v>
      </c>
      <c r="F25" s="210"/>
      <c r="G25" s="216"/>
      <c r="H25" s="216">
        <f t="shared" si="6"/>
        <v>0</v>
      </c>
      <c r="I25" s="217"/>
    </row>
    <row r="26" spans="1:9" s="235" customFormat="1" ht="20.25" customHeight="1">
      <c r="A26" s="213">
        <f t="shared" ref="A26:A32" si="7">A25+1</f>
        <v>19</v>
      </c>
      <c r="B26" s="213" t="s">
        <v>139</v>
      </c>
      <c r="C26" s="82" t="str">
        <f t="shared" si="4"/>
        <v>Dương Thế Kiệt</v>
      </c>
      <c r="D26" s="83">
        <v>5000003</v>
      </c>
      <c r="E26" s="83">
        <f t="shared" si="5"/>
        <v>3500000</v>
      </c>
      <c r="F26" s="210"/>
      <c r="G26" s="216"/>
      <c r="H26" s="216">
        <f t="shared" si="6"/>
        <v>0</v>
      </c>
      <c r="I26" s="234"/>
    </row>
    <row r="27" spans="1:9" ht="20.25" customHeight="1">
      <c r="A27" s="213">
        <f t="shared" si="7"/>
        <v>20</v>
      </c>
      <c r="B27" s="213" t="s">
        <v>140</v>
      </c>
      <c r="C27" s="82" t="str">
        <f t="shared" si="4"/>
        <v>Bùi Chí Long</v>
      </c>
      <c r="D27" s="83">
        <v>5000004</v>
      </c>
      <c r="E27" s="83">
        <f t="shared" si="5"/>
        <v>4000000</v>
      </c>
      <c r="F27" s="210"/>
      <c r="G27" s="216"/>
      <c r="H27" s="227">
        <f t="shared" si="6"/>
        <v>0</v>
      </c>
      <c r="I27" s="217"/>
    </row>
    <row r="28" spans="1:9" ht="20.25" customHeight="1">
      <c r="A28" s="213">
        <f t="shared" si="7"/>
        <v>21</v>
      </c>
      <c r="B28" s="213" t="s">
        <v>141</v>
      </c>
      <c r="C28" s="82" t="str">
        <f t="shared" si="4"/>
        <v>Phạm Hiếu Phụng</v>
      </c>
      <c r="D28" s="83">
        <v>5000005</v>
      </c>
      <c r="E28" s="83">
        <f t="shared" si="5"/>
        <v>3500000</v>
      </c>
      <c r="F28" s="210"/>
      <c r="G28" s="216"/>
      <c r="H28" s="227">
        <f t="shared" si="6"/>
        <v>0</v>
      </c>
      <c r="I28" s="217"/>
    </row>
    <row r="29" spans="1:9" ht="20.25" customHeight="1">
      <c r="A29" s="213">
        <f t="shared" si="7"/>
        <v>22</v>
      </c>
      <c r="B29" s="213"/>
      <c r="C29" s="82" t="str">
        <f t="shared" si="4"/>
        <v/>
      </c>
      <c r="D29" s="83">
        <v>5000006</v>
      </c>
      <c r="E29" s="83">
        <f t="shared" si="5"/>
        <v>0</v>
      </c>
      <c r="F29" s="210"/>
      <c r="G29" s="216"/>
      <c r="H29" s="227">
        <f t="shared" si="6"/>
        <v>0</v>
      </c>
      <c r="I29" s="217"/>
    </row>
    <row r="30" spans="1:9" ht="20.25" customHeight="1">
      <c r="A30" s="213">
        <f t="shared" si="7"/>
        <v>23</v>
      </c>
      <c r="B30" s="213"/>
      <c r="C30" s="82" t="str">
        <f t="shared" si="4"/>
        <v/>
      </c>
      <c r="D30" s="83">
        <v>5000007</v>
      </c>
      <c r="E30" s="83">
        <f t="shared" si="5"/>
        <v>0</v>
      </c>
      <c r="F30" s="210"/>
      <c r="G30" s="216"/>
      <c r="H30" s="227">
        <f t="shared" si="6"/>
        <v>0</v>
      </c>
      <c r="I30" s="217"/>
    </row>
    <row r="31" spans="1:9" ht="20.25" customHeight="1">
      <c r="A31" s="213">
        <f t="shared" si="7"/>
        <v>24</v>
      </c>
      <c r="B31" s="213"/>
      <c r="C31" s="82" t="str">
        <f t="shared" si="4"/>
        <v/>
      </c>
      <c r="D31" s="83">
        <v>5000008</v>
      </c>
      <c r="E31" s="83">
        <f t="shared" si="5"/>
        <v>0</v>
      </c>
      <c r="F31" s="210"/>
      <c r="G31" s="216"/>
      <c r="H31" s="227">
        <f t="shared" si="6"/>
        <v>0</v>
      </c>
      <c r="I31" s="217"/>
    </row>
    <row r="32" spans="1:9" ht="20.25" customHeight="1">
      <c r="A32" s="213">
        <f t="shared" si="7"/>
        <v>25</v>
      </c>
      <c r="B32" s="213"/>
      <c r="C32" s="82" t="str">
        <f t="shared" si="4"/>
        <v/>
      </c>
      <c r="D32" s="83">
        <v>5000009</v>
      </c>
      <c r="E32" s="83">
        <f t="shared" si="5"/>
        <v>0</v>
      </c>
      <c r="F32" s="236"/>
      <c r="G32" s="237"/>
      <c r="H32" s="227">
        <f t="shared" si="6"/>
        <v>0</v>
      </c>
      <c r="I32" s="218"/>
    </row>
    <row r="33" spans="1:9" s="235" customFormat="1" ht="20.25" customHeight="1">
      <c r="A33" s="219"/>
      <c r="B33" s="219"/>
      <c r="C33" s="238"/>
      <c r="D33" s="220">
        <v>3000000</v>
      </c>
      <c r="E33" s="220"/>
      <c r="F33" s="239"/>
      <c r="G33" s="221"/>
      <c r="H33" s="221">
        <f t="shared" si="6"/>
        <v>0</v>
      </c>
      <c r="I33" s="240"/>
    </row>
    <row r="34" spans="1:9" ht="20.25" customHeight="1">
      <c r="A34" s="290" t="s">
        <v>118</v>
      </c>
      <c r="B34" s="290"/>
      <c r="C34" s="290"/>
      <c r="D34" s="187">
        <f>D23+D12+D9+D3</f>
        <v>133000103</v>
      </c>
      <c r="E34" s="187">
        <f>E23+E12+E9+E3</f>
        <v>95350000</v>
      </c>
      <c r="F34" s="187">
        <f>F23+F12+F9+F3</f>
        <v>0</v>
      </c>
      <c r="G34" s="187">
        <f>G23+G12+G9+G3</f>
        <v>0</v>
      </c>
      <c r="H34" s="187">
        <f>H23+H12+H9+H3</f>
        <v>0</v>
      </c>
      <c r="I34" s="188"/>
    </row>
    <row r="35" spans="1:9">
      <c r="D35" s="204"/>
      <c r="E35" s="204"/>
    </row>
    <row r="36" spans="1:9">
      <c r="D36" s="242"/>
      <c r="E36" s="242"/>
    </row>
    <row r="37" spans="1:9">
      <c r="D37" s="204"/>
      <c r="E37" s="204"/>
      <c r="F37" s="243"/>
      <c r="G37" s="243"/>
      <c r="H37" s="243"/>
    </row>
    <row r="38" spans="1:9">
      <c r="D38" s="204"/>
      <c r="E38" s="204"/>
    </row>
  </sheetData>
  <mergeCells count="2">
    <mergeCell ref="A1:I1"/>
    <mergeCell ref="A34:C34"/>
  </mergeCells>
  <pageMargins left="0.75" right="0.25" top="0.25" bottom="0.23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3" tint="-0.249977111117893"/>
  </sheetPr>
  <dimension ref="A1:AF57"/>
  <sheetViews>
    <sheetView zoomScaleNormal="70" workbookViewId="0">
      <pane xSplit="3" ySplit="8" topLeftCell="D9" activePane="bottomRight" state="frozen"/>
      <selection activeCell="E5" sqref="E5:E6"/>
      <selection pane="topRight" activeCell="E5" sqref="E5:E6"/>
      <selection pane="bottomLeft" activeCell="E5" sqref="E5:E6"/>
      <selection pane="bottomRight" activeCell="F40" sqref="F40:F4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6" style="15" customWidth="1"/>
    <col min="7" max="7" width="10.5703125" style="16" customWidth="1"/>
    <col min="8" max="8" width="5.7109375" style="16" customWidth="1"/>
    <col min="9" max="9" width="9.5703125" style="16" customWidth="1"/>
    <col min="10" max="10" width="5.7109375" style="16" customWidth="1"/>
    <col min="11" max="11" width="9.5703125" style="16" customWidth="1"/>
    <col min="12" max="12" width="12" style="6" customWidth="1"/>
    <col min="13" max="14" width="9" style="6" customWidth="1"/>
    <col min="15" max="15" width="7.140625" style="6" customWidth="1"/>
    <col min="16" max="16" width="9" style="6" customWidth="1"/>
    <col min="17" max="17" width="8.85546875" style="6" customWidth="1"/>
    <col min="18" max="18" width="11.85546875" style="6" customWidth="1"/>
    <col min="19" max="20" width="9.85546875" style="6" customWidth="1"/>
    <col min="21" max="21" width="10.85546875" style="6" customWidth="1"/>
    <col min="22" max="22" width="12.28515625" style="7" customWidth="1"/>
    <col min="23" max="23" width="9.5703125" style="6" customWidth="1"/>
    <col min="24" max="24" width="7.42578125" style="7" customWidth="1"/>
    <col min="25" max="25" width="7" style="7" customWidth="1"/>
    <col min="26" max="26" width="9.140625" style="7"/>
    <col min="27" max="27" width="11.140625" style="7" bestFit="1" customWidth="1"/>
    <col min="28" max="29" width="10.85546875" style="6" bestFit="1" customWidth="1"/>
    <col min="30" max="16384" width="9.140625" style="6"/>
  </cols>
  <sheetData>
    <row r="1" spans="1:32" s="4" customFormat="1" ht="41.25" customHeight="1">
      <c r="A1" s="125"/>
      <c r="B1" s="42"/>
      <c r="C1" s="42"/>
      <c r="D1" s="296" t="str">
        <f>"BẢNG THANH TOÁN LƯƠNG THÁNG"&amp;" "&amp;TEXT($E$4,"mm")&amp;" / "&amp;TEXT($E$4,"yyyy")</f>
        <v>BẢNG THANH TOÁN LƯƠNG THÁNG 05 / 2016</v>
      </c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301" t="s">
        <v>87</v>
      </c>
      <c r="U1" s="302"/>
      <c r="V1" s="303"/>
      <c r="W1" s="119" t="s">
        <v>33</v>
      </c>
      <c r="X1" s="76"/>
      <c r="Y1" s="76"/>
      <c r="Z1" s="5"/>
      <c r="AA1" s="5"/>
    </row>
    <row r="2" spans="1:32" s="4" customFormat="1" ht="15" customHeight="1">
      <c r="A2" s="125"/>
      <c r="B2" s="42"/>
      <c r="C2" s="42"/>
      <c r="D2" s="42"/>
      <c r="E2" s="75"/>
      <c r="F2" s="42"/>
      <c r="G2" s="42"/>
      <c r="H2" s="184"/>
      <c r="I2" s="184"/>
      <c r="J2" s="42"/>
      <c r="K2" s="42"/>
      <c r="L2" s="42"/>
      <c r="M2" s="184"/>
      <c r="N2" s="184"/>
      <c r="O2" s="184"/>
      <c r="P2" s="184"/>
      <c r="Q2" s="42"/>
      <c r="R2" s="157"/>
      <c r="S2" s="42"/>
      <c r="T2" s="42"/>
      <c r="U2" s="42"/>
      <c r="V2" s="53"/>
      <c r="W2" s="74">
        <f>MAX('CC -5'!AK9:AK58)</f>
        <v>26</v>
      </c>
      <c r="X2" s="76"/>
      <c r="Y2" s="76"/>
      <c r="Z2" s="5"/>
      <c r="AA2" s="5"/>
    </row>
    <row r="3" spans="1:32" s="4" customFormat="1" ht="15" hidden="1" customHeight="1">
      <c r="A3" s="125"/>
      <c r="B3" s="42"/>
      <c r="C3" s="42"/>
      <c r="D3" s="42"/>
      <c r="E3" s="75"/>
      <c r="F3" s="42"/>
      <c r="G3" s="42"/>
      <c r="H3" s="184"/>
      <c r="I3" s="184"/>
      <c r="J3" s="42"/>
      <c r="K3" s="42"/>
      <c r="L3" s="42"/>
      <c r="M3" s="184"/>
      <c r="N3" s="184"/>
      <c r="O3" s="184"/>
      <c r="P3" s="184"/>
      <c r="Q3" s="42"/>
      <c r="R3" s="157"/>
      <c r="S3" s="42"/>
      <c r="T3" s="42"/>
      <c r="U3" s="42"/>
      <c r="V3" s="53"/>
      <c r="W3" s="120"/>
      <c r="X3" s="76"/>
      <c r="Y3" s="76"/>
      <c r="Z3" s="5"/>
      <c r="AA3" s="5"/>
    </row>
    <row r="4" spans="1:32" s="96" customFormat="1" ht="14.25" hidden="1" customHeight="1">
      <c r="A4" s="94"/>
      <c r="B4" s="95"/>
      <c r="C4" s="95"/>
      <c r="D4" s="95"/>
      <c r="E4" s="170">
        <f>'CC -5'!$AU$1</f>
        <v>42491</v>
      </c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146">
        <v>0.08</v>
      </c>
      <c r="T4" s="95"/>
      <c r="U4" s="95"/>
      <c r="V4" s="95"/>
      <c r="W4" s="95"/>
      <c r="X4" s="97"/>
      <c r="Y4" s="97"/>
      <c r="Z4" s="97"/>
      <c r="AA4" s="97"/>
    </row>
    <row r="5" spans="1:32" s="23" customFormat="1" ht="33" customHeight="1">
      <c r="A5" s="297" t="s">
        <v>16</v>
      </c>
      <c r="B5" s="297" t="s">
        <v>17</v>
      </c>
      <c r="C5" s="260" t="s">
        <v>1</v>
      </c>
      <c r="D5" s="260" t="s">
        <v>2</v>
      </c>
      <c r="E5" s="263" t="s">
        <v>31</v>
      </c>
      <c r="F5" s="292" t="s">
        <v>21</v>
      </c>
      <c r="G5" s="293"/>
      <c r="H5" s="293"/>
      <c r="I5" s="293"/>
      <c r="J5" s="293"/>
      <c r="K5" s="293"/>
      <c r="L5" s="299"/>
      <c r="M5" s="260" t="s">
        <v>28</v>
      </c>
      <c r="N5" s="260"/>
      <c r="O5" s="260"/>
      <c r="P5" s="260"/>
      <c r="Q5" s="260"/>
      <c r="R5" s="294" t="s">
        <v>5</v>
      </c>
      <c r="S5" s="292" t="s">
        <v>6</v>
      </c>
      <c r="T5" s="299"/>
      <c r="U5" s="294" t="s">
        <v>8</v>
      </c>
      <c r="V5" s="261" t="s">
        <v>9</v>
      </c>
      <c r="W5" s="95"/>
      <c r="X5" s="24"/>
      <c r="Y5" s="5"/>
      <c r="Z5" s="5"/>
      <c r="AA5" s="5"/>
      <c r="AB5" s="4"/>
      <c r="AC5" s="4"/>
      <c r="AD5" s="4"/>
      <c r="AE5" s="4"/>
      <c r="AF5" s="4"/>
    </row>
    <row r="6" spans="1:32" s="23" customFormat="1" ht="33.75" customHeight="1">
      <c r="A6" s="298"/>
      <c r="B6" s="298"/>
      <c r="C6" s="260"/>
      <c r="D6" s="260"/>
      <c r="E6" s="263"/>
      <c r="F6" s="292" t="s">
        <v>34</v>
      </c>
      <c r="G6" s="299"/>
      <c r="H6" s="292" t="s">
        <v>157</v>
      </c>
      <c r="I6" s="293"/>
      <c r="J6" s="292" t="s">
        <v>81</v>
      </c>
      <c r="K6" s="293"/>
      <c r="L6" s="294" t="s">
        <v>4</v>
      </c>
      <c r="M6" s="294" t="s">
        <v>161</v>
      </c>
      <c r="N6" s="294" t="s">
        <v>162</v>
      </c>
      <c r="O6" s="294" t="s">
        <v>158</v>
      </c>
      <c r="P6" s="294" t="s">
        <v>163</v>
      </c>
      <c r="Q6" s="294" t="s">
        <v>32</v>
      </c>
      <c r="R6" s="300"/>
      <c r="S6" s="294" t="s">
        <v>165</v>
      </c>
      <c r="T6" s="294" t="s">
        <v>7</v>
      </c>
      <c r="U6" s="300"/>
      <c r="V6" s="262"/>
      <c r="W6" s="95"/>
      <c r="X6" s="24"/>
      <c r="Y6" s="5"/>
      <c r="Z6" s="5"/>
      <c r="AA6" s="5"/>
      <c r="AB6" s="4"/>
      <c r="AC6" s="4"/>
      <c r="AD6" s="4"/>
      <c r="AE6" s="4"/>
      <c r="AF6" s="4"/>
    </row>
    <row r="7" spans="1:32" s="23" customFormat="1" ht="35.25" customHeight="1">
      <c r="A7" s="298"/>
      <c r="B7" s="298"/>
      <c r="C7" s="294"/>
      <c r="D7" s="294"/>
      <c r="E7" s="263"/>
      <c r="F7" s="30" t="s">
        <v>29</v>
      </c>
      <c r="G7" s="31" t="s">
        <v>15</v>
      </c>
      <c r="H7" s="185" t="s">
        <v>29</v>
      </c>
      <c r="I7" s="117" t="s">
        <v>15</v>
      </c>
      <c r="J7" s="154" t="s">
        <v>154</v>
      </c>
      <c r="K7" s="117" t="s">
        <v>15</v>
      </c>
      <c r="L7" s="300"/>
      <c r="M7" s="295"/>
      <c r="N7" s="295"/>
      <c r="O7" s="295"/>
      <c r="P7" s="295"/>
      <c r="Q7" s="295"/>
      <c r="R7" s="295"/>
      <c r="S7" s="295"/>
      <c r="T7" s="295"/>
      <c r="U7" s="300"/>
      <c r="V7" s="262"/>
      <c r="W7" s="95"/>
      <c r="X7" s="24"/>
      <c r="Y7" s="5"/>
      <c r="Z7" s="5"/>
      <c r="AA7" s="5"/>
      <c r="AB7" s="4"/>
      <c r="AC7" s="4"/>
      <c r="AD7" s="4"/>
      <c r="AE7" s="4"/>
      <c r="AF7" s="4"/>
    </row>
    <row r="8" spans="1:32" s="78" customFormat="1" ht="12.75" customHeight="1">
      <c r="A8" s="77">
        <v>1</v>
      </c>
      <c r="B8" s="77">
        <v>2</v>
      </c>
      <c r="C8" s="77">
        <v>3</v>
      </c>
      <c r="D8" s="77">
        <v>4</v>
      </c>
      <c r="E8" s="77">
        <v>5</v>
      </c>
      <c r="F8" s="77">
        <v>6</v>
      </c>
      <c r="G8" s="77">
        <v>7</v>
      </c>
      <c r="H8" s="77">
        <v>8</v>
      </c>
      <c r="I8" s="77">
        <v>9</v>
      </c>
      <c r="J8" s="77">
        <v>10</v>
      </c>
      <c r="K8" s="77">
        <v>11</v>
      </c>
      <c r="L8" s="77">
        <v>12</v>
      </c>
      <c r="M8" s="77">
        <v>13</v>
      </c>
      <c r="N8" s="77">
        <v>14</v>
      </c>
      <c r="O8" s="77"/>
      <c r="P8" s="77">
        <v>15</v>
      </c>
      <c r="Q8" s="77">
        <v>16</v>
      </c>
      <c r="R8" s="77">
        <v>17</v>
      </c>
      <c r="S8" s="77">
        <v>18</v>
      </c>
      <c r="T8" s="77">
        <v>22</v>
      </c>
      <c r="U8" s="77">
        <v>23</v>
      </c>
      <c r="V8" s="77">
        <v>24</v>
      </c>
      <c r="W8" s="95"/>
      <c r="X8" s="79"/>
      <c r="Y8" s="80"/>
      <c r="Z8" s="80"/>
      <c r="AA8" s="80"/>
      <c r="AB8" s="81"/>
      <c r="AC8" s="81"/>
      <c r="AD8" s="81"/>
      <c r="AE8" s="81"/>
      <c r="AF8" s="81"/>
    </row>
    <row r="9" spans="1:32" s="78" customFormat="1" ht="24" customHeight="1">
      <c r="A9" s="169" t="s">
        <v>79</v>
      </c>
      <c r="B9" s="168" t="s">
        <v>144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95"/>
      <c r="X9" s="79"/>
      <c r="Y9" s="80"/>
      <c r="Z9" s="80"/>
      <c r="AA9" s="80"/>
      <c r="AB9" s="81"/>
      <c r="AC9" s="81"/>
      <c r="AD9" s="81"/>
      <c r="AE9" s="81"/>
      <c r="AF9" s="81"/>
    </row>
    <row r="10" spans="1:32" s="32" customFormat="1" ht="24" customHeight="1">
      <c r="A10" s="34">
        <v>1</v>
      </c>
      <c r="B10" s="127" t="s">
        <v>83</v>
      </c>
      <c r="C10" s="82" t="str">
        <f>IF(ISNA(VLOOKUP(B10,DS,2,0)),"",VLOOKUP(B10,DS,2,0))</f>
        <v>Đinh Công Đoan</v>
      </c>
      <c r="D10" s="105" t="str">
        <f>IF(ISNA(VLOOKUP(B10,DS,3,0)),"",IF(VLOOKUP(B10,DS,3,0)="","",VLOOKUP(B10,DS,3,0)))</f>
        <v>Giám Đốc</v>
      </c>
      <c r="E10" s="83">
        <f>IF(ISNA(VLOOKUP(B10,DS,4,0)),0,VLOOKUP(B10,DS,4,0))</f>
        <v>5000000</v>
      </c>
      <c r="F10" s="84">
        <f>IF(ISNA(VLOOKUP(B10,'CC -5'!$B$8:$AR$58,36,0)),0,VLOOKUP(B10,'CC -5'!$B$8:$AR$58,36,0)-VLOOKUP(B10,'CC -5'!$B$8:$AR$58,42,0))</f>
        <v>24</v>
      </c>
      <c r="G10" s="131">
        <f>ROUND(E10/$W$2*F10,0)</f>
        <v>4615385</v>
      </c>
      <c r="H10" s="84">
        <f>IF(ISNA(VLOOKUP(B10,'CC -5'!$B$8:$AR$58,39,0)),0,VLOOKUP(B10,'CC -5'!$B$8:$AR$58,39,0))</f>
        <v>0</v>
      </c>
      <c r="I10" s="131">
        <f>ROUND(E10/$W$2*H10,0)*60%</f>
        <v>0</v>
      </c>
      <c r="J10" s="84">
        <f>IF(ISNA(VLOOKUP(B10,'CC -5'!$B$8:$AR$58,37,0)),0,(VLOOKUP(B10,'CC -5'!$B$8:$AR$58,37,0)+VLOOKUP(B10,'CC -5'!$B$8:$AR$58,38,0)))</f>
        <v>0</v>
      </c>
      <c r="K10" s="131">
        <f>ROUND(E10/$W$2*J10,0)</f>
        <v>0</v>
      </c>
      <c r="L10" s="35">
        <f>G10+K10+I10</f>
        <v>4615385</v>
      </c>
      <c r="M10" s="35">
        <f>IF(ISNA(VLOOKUP(B10,DS,6,0)),0,VLOOKUP(B10,DS,6,0)+VLOOKUP(B10,DS,7,0))</f>
        <v>0</v>
      </c>
      <c r="N10" s="35">
        <f>IF(ISNA(VLOOKUP(B10,DS,8,0)),0,ROUND(VLOOKUP(B10,DS,8,0)/$W$2*F10,0))</f>
        <v>0</v>
      </c>
      <c r="O10" s="35">
        <f>IF(ISNA(VLOOKUP(B10,'CC -5'!$B$9:$AR$58,40,0)),0,IF(VLOOKUP(B10,'CC -5'!$B$9:$AR$58,40,0)="A",100000,IF(VLOOKUP(B10,'CC -5'!$B$9:$AR$58,40,0)="B",75000,IF(VLOOKUP(B10,'CC -5'!$B$9:$AR$58,40,0)="C",50000,0))))</f>
        <v>100000</v>
      </c>
      <c r="P10" s="35">
        <f>IF(ISNA(VLOOKUP(B10,DS,9,0)),0,IF(F10+H10=$W$2,VLOOKUP(B10,DS,9,0),0))</f>
        <v>0</v>
      </c>
      <c r="Q10" s="83">
        <f>IF(ISNA(VLOOKUP(B10,'CC -5'!$B$9:$AR$58,41,0)),0,(F10+VLOOKUP(B10,'CC -5'!$B$9:$AR$58,41,0))*17000)</f>
        <v>408000</v>
      </c>
      <c r="R10" s="36">
        <f>SUM(L10:Q10)</f>
        <v>5123385</v>
      </c>
      <c r="S10" s="36"/>
      <c r="T10" s="35">
        <f>IF(ISNA(VLOOKUP(C10,DS_,4,0)),0,VLOOKUP(C10,DS_,4,0))</f>
        <v>0</v>
      </c>
      <c r="U10" s="40">
        <f>R10-S10-T10</f>
        <v>5123385</v>
      </c>
      <c r="V10" s="35"/>
      <c r="W10" s="95"/>
      <c r="X10" s="24"/>
      <c r="Y10" s="5"/>
      <c r="Z10" s="5"/>
      <c r="AA10" s="5"/>
      <c r="AB10" s="4"/>
      <c r="AC10" s="4"/>
      <c r="AD10" s="4"/>
      <c r="AE10" s="4"/>
      <c r="AF10" s="4"/>
    </row>
    <row r="11" spans="1:32" s="32" customFormat="1" ht="24" customHeight="1">
      <c r="A11" s="34">
        <f>IF(C11&lt;&gt;"",A10+1,"")</f>
        <v>2</v>
      </c>
      <c r="B11" s="127" t="s">
        <v>84</v>
      </c>
      <c r="C11" s="82" t="str">
        <f>IF(ISNA(VLOOKUP(B11,DS,2,0)),"",VLOOKUP(B11,DS,2,0))</f>
        <v>Lê Kim Ngọc Thảo</v>
      </c>
      <c r="D11" s="105" t="str">
        <f>IF(ISNA(VLOOKUP(B11,DS,3,0)),"",IF(VLOOKUP(B11,DS,3,0)="","",VLOOKUP(B11,DS,3,0)))</f>
        <v>Giám Đốc</v>
      </c>
      <c r="E11" s="83">
        <f>IF(ISNA(VLOOKUP(B11,DS,4,0)),0,VLOOKUP(B11,DS,4,0))</f>
        <v>10000000</v>
      </c>
      <c r="F11" s="84">
        <f>IF(ISNA(VLOOKUP(B11,'CC -5'!$B$8:$AR$58,36,0)),0,VLOOKUP(B11,'CC -5'!$B$8:$AR$58,36,0)-VLOOKUP(B11,'CC -5'!$B$8:$AR$58,42,0))</f>
        <v>26</v>
      </c>
      <c r="G11" s="131">
        <f>ROUND(E11/$W$2*F11,0)</f>
        <v>10000000</v>
      </c>
      <c r="H11" s="84">
        <f>IF(ISNA(VLOOKUP(B11,'CC -5'!$B$8:$AR$58,39,0)),0,VLOOKUP(B11,'CC -5'!$B$8:$AR$58,39,0))</f>
        <v>0</v>
      </c>
      <c r="I11" s="131">
        <f>ROUND(E11/$W$2*H11,0)*60%</f>
        <v>0</v>
      </c>
      <c r="J11" s="84">
        <f>IF(ISNA(VLOOKUP(B11,'CC -5'!$B$8:$AR$58,37,0)),0,(VLOOKUP(B11,'CC -5'!$B$8:$AR$58,37,0)+VLOOKUP(B11,'CC -5'!$B$8:$AR$58,38,0)))</f>
        <v>0</v>
      </c>
      <c r="K11" s="131">
        <f>ROUND(E11/$W$2*J11,0)</f>
        <v>0</v>
      </c>
      <c r="L11" s="35">
        <f>G11+K11+I11</f>
        <v>10000000</v>
      </c>
      <c r="M11" s="35">
        <f>IF(ISNA(VLOOKUP(B11,DS,6,0)),0,VLOOKUP(B11,DS,6,0)+VLOOKUP(B11,DS,7,0))</f>
        <v>0</v>
      </c>
      <c r="N11" s="35">
        <f>IF(ISNA(VLOOKUP(B11,DS,8,0)),0,ROUND(VLOOKUP(B11,DS,8,0)/$W$2*F11,0))</f>
        <v>0</v>
      </c>
      <c r="O11" s="35">
        <f>IF(ISNA(VLOOKUP(B11,'CC -5'!$B$9:$AR$58,40,0)),0,IF(VLOOKUP(B11,'CC -5'!$B$9:$AR$58,40,0)="A",100000,IF(VLOOKUP(B11,'CC -5'!$B$9:$AR$58,40,0)="B",75000,IF(VLOOKUP(B11,'CC -5'!$B$9:$AR$58,40,0)="C",50000,0))))</f>
        <v>100000</v>
      </c>
      <c r="P11" s="35">
        <f>IF(ISNA(VLOOKUP(B11,DS,9,0)),0,IF(F11+H11=$W$2,VLOOKUP(B11,DS,9,0),0))</f>
        <v>0</v>
      </c>
      <c r="Q11" s="83">
        <f>IF(ISNA(VLOOKUP(B11,'CC -5'!$B$9:$AR$58,41,0)),0,(F11+VLOOKUP(B11,'CC -5'!$B$9:$AR$58,41,0))*17000)</f>
        <v>442000</v>
      </c>
      <c r="R11" s="36">
        <f>SUM(L11:Q11)</f>
        <v>10542000</v>
      </c>
      <c r="S11" s="36"/>
      <c r="T11" s="35">
        <f>IF(ISNA(VLOOKUP(C11,DS_,4,0)),0,VLOOKUP(C11,DS_,4,0))</f>
        <v>0</v>
      </c>
      <c r="U11" s="40">
        <f>R11-S11-T11</f>
        <v>10542000</v>
      </c>
      <c r="V11" s="35"/>
      <c r="W11" s="95"/>
      <c r="X11" s="24"/>
      <c r="Y11" s="5"/>
      <c r="Z11" s="5"/>
      <c r="AA11" s="5"/>
      <c r="AB11" s="4"/>
      <c r="AC11" s="4"/>
      <c r="AD11" s="4"/>
      <c r="AE11" s="4"/>
      <c r="AF11" s="4"/>
    </row>
    <row r="12" spans="1:32" s="32" customFormat="1" ht="24" customHeight="1">
      <c r="A12" s="172"/>
      <c r="B12" s="173"/>
      <c r="C12" s="174"/>
      <c r="D12" s="175"/>
      <c r="E12" s="176"/>
      <c r="F12" s="177"/>
      <c r="G12" s="178"/>
      <c r="H12" s="177"/>
      <c r="I12" s="178"/>
      <c r="J12" s="177"/>
      <c r="K12" s="178"/>
      <c r="L12" s="179"/>
      <c r="M12" s="179"/>
      <c r="N12" s="179"/>
      <c r="O12" s="179"/>
      <c r="P12" s="179"/>
      <c r="Q12" s="176"/>
      <c r="R12" s="180"/>
      <c r="S12" s="180"/>
      <c r="T12" s="179"/>
      <c r="U12" s="181"/>
      <c r="V12" s="179"/>
      <c r="W12" s="95"/>
      <c r="X12" s="24"/>
      <c r="Y12" s="5"/>
      <c r="Z12" s="5"/>
      <c r="AA12" s="5"/>
      <c r="AB12" s="4"/>
      <c r="AC12" s="4"/>
      <c r="AD12" s="4"/>
      <c r="AE12" s="4"/>
      <c r="AF12" s="4"/>
    </row>
    <row r="13" spans="1:32" s="28" customFormat="1" ht="21" customHeight="1">
      <c r="A13" s="291" t="s">
        <v>20</v>
      </c>
      <c r="B13" s="291"/>
      <c r="C13" s="291"/>
      <c r="D13" s="291"/>
      <c r="E13" s="126">
        <f>SUM(E9:E11)</f>
        <v>15000000</v>
      </c>
      <c r="F13" s="126"/>
      <c r="G13" s="126">
        <f>SUM(G9:G11)</f>
        <v>14615385</v>
      </c>
      <c r="H13" s="126"/>
      <c r="I13" s="126">
        <f>SUM(I9:I11)</f>
        <v>0</v>
      </c>
      <c r="J13" s="126"/>
      <c r="K13" s="126">
        <f>SUM(K9:K11)</f>
        <v>0</v>
      </c>
      <c r="L13" s="126">
        <f>SUM(L9:L11)</f>
        <v>14615385</v>
      </c>
      <c r="M13" s="126"/>
      <c r="N13" s="126"/>
      <c r="O13" s="126"/>
      <c r="P13" s="126"/>
      <c r="Q13" s="126">
        <f>SUM(Q9:Q11)</f>
        <v>850000</v>
      </c>
      <c r="R13" s="126">
        <f>SUM(R9:R11)</f>
        <v>15665385</v>
      </c>
      <c r="S13" s="126"/>
      <c r="T13" s="126">
        <f>SUM(T9:T11)</f>
        <v>0</v>
      </c>
      <c r="U13" s="126">
        <f>SUM(U9:U11)</f>
        <v>15665385</v>
      </c>
      <c r="V13" s="22"/>
      <c r="W13" s="95"/>
      <c r="X13" s="29"/>
      <c r="Y13" s="29"/>
      <c r="Z13" s="29"/>
      <c r="AA13" s="29"/>
    </row>
    <row r="14" spans="1:32" s="78" customFormat="1" ht="24" customHeight="1">
      <c r="A14" s="169" t="s">
        <v>80</v>
      </c>
      <c r="B14" s="168" t="s">
        <v>143</v>
      </c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95"/>
      <c r="X14" s="79"/>
      <c r="Y14" s="80"/>
      <c r="Z14" s="80"/>
      <c r="AA14" s="80"/>
      <c r="AB14" s="81"/>
      <c r="AC14" s="81"/>
      <c r="AD14" s="81"/>
      <c r="AE14" s="81"/>
      <c r="AF14" s="81"/>
    </row>
    <row r="15" spans="1:32" s="32" customFormat="1" ht="24" customHeight="1">
      <c r="A15" s="34">
        <v>1</v>
      </c>
      <c r="B15" s="127" t="s">
        <v>121</v>
      </c>
      <c r="C15" s="82" t="str">
        <f>IF(ISNA(VLOOKUP(B15,DS,2,0)),"",VLOOKUP(B15,DS,2,0))</f>
        <v>Trần Thị Ngọc</v>
      </c>
      <c r="D15" s="105" t="str">
        <f>IF(ISNA(VLOOKUP(B15,DS,3,0)),"",IF(VLOOKUP(B15,DS,3,0)="","",VLOOKUP(B15,DS,3,0)))</f>
        <v>Kinh Doanh</v>
      </c>
      <c r="E15" s="83">
        <f>IF(ISNA(VLOOKUP(B15,DS,4,0)),0,VLOOKUP(B15,DS,4,0))</f>
        <v>3200000</v>
      </c>
      <c r="F15" s="84">
        <f>IF(ISNA(VLOOKUP(B15,'CC -5'!$B$8:$AR$58,36,0)),0,VLOOKUP(B15,'CC -5'!$B$8:$AR$58,36,0)-VLOOKUP(B15,'CC -5'!$B$8:$AR$58,42,0))</f>
        <v>26</v>
      </c>
      <c r="G15" s="131">
        <f>ROUND(E15/$W$2*F15,0)</f>
        <v>3200000</v>
      </c>
      <c r="H15" s="84">
        <f>IF(ISNA(VLOOKUP(B15,'CC -5'!$B$8:$AR$58,39,0)),0,VLOOKUP(B15,'CC -5'!$B$8:$AR$58,39,0))</f>
        <v>0</v>
      </c>
      <c r="I15" s="131">
        <f>ROUND(E15/$W$2*H15,0)*60%</f>
        <v>0</v>
      </c>
      <c r="J15" s="84">
        <f>IF(ISNA(VLOOKUP(B15,'CC -5'!$B$8:$AR$58,37,0)),0,(VLOOKUP(B15,'CC -5'!$B$8:$AR$58,37,0)+VLOOKUP(B15,'CC -5'!$B$8:$AR$58,38,0)))</f>
        <v>0</v>
      </c>
      <c r="K15" s="131">
        <f>ROUND(E15/$W$2*J15,0)</f>
        <v>0</v>
      </c>
      <c r="L15" s="35">
        <f>G15+K15+I15</f>
        <v>3200000</v>
      </c>
      <c r="M15" s="35">
        <f>IF(ISNA(VLOOKUP(B15,DS,6,0)),0,VLOOKUP(B15,DS,6,0)+VLOOKUP(B15,DS,7,0))</f>
        <v>0</v>
      </c>
      <c r="N15" s="35">
        <f>IF(ISNA(VLOOKUP(B15,DS,8,0)),0,ROUND(VLOOKUP(B15,DS,8,0)/$W$2*F15,0))</f>
        <v>0</v>
      </c>
      <c r="O15" s="35">
        <f>IF(ISNA(VLOOKUP(B15,'CC -5'!$B$9:$AR$58,40,0)),0,IF(VLOOKUP(B15,'CC -5'!$B$9:$AR$58,40,0)="A",100000,IF(VLOOKUP(B15,'CC -5'!$B$9:$AR$58,40,0)="B",75000,IF(VLOOKUP(B15,'CC -5'!$B$9:$AR$58,40,0)="C",50000,0))))</f>
        <v>100000</v>
      </c>
      <c r="P15" s="35">
        <f>IF(ISNA(VLOOKUP(B15,DS,9,0)),0,IF(F15+H15=$W$2,VLOOKUP(B15,DS,9,0),0))</f>
        <v>0</v>
      </c>
      <c r="Q15" s="83">
        <f>IF(ISNA(VLOOKUP(B15,'CC -5'!$B$9:$AR$58,41,0)),0,(F15+VLOOKUP(B15,'CC -5'!$B$9:$AR$58,41,0))*17000)</f>
        <v>442000</v>
      </c>
      <c r="R15" s="36">
        <f>SUM(L15:Q15)</f>
        <v>3742000</v>
      </c>
      <c r="S15" s="36"/>
      <c r="T15" s="35">
        <f>IF(ISNA(VLOOKUP(C15,DS_,4,0)),0,VLOOKUP(C15,DS_,4,0))</f>
        <v>0</v>
      </c>
      <c r="U15" s="40">
        <f>R15-S15-T15</f>
        <v>3742000</v>
      </c>
      <c r="V15" s="35"/>
      <c r="W15" s="95"/>
      <c r="X15" s="24"/>
      <c r="Y15" s="5"/>
      <c r="Z15" s="5"/>
      <c r="AA15" s="5"/>
      <c r="AB15" s="4"/>
      <c r="AC15" s="4"/>
      <c r="AD15" s="4"/>
      <c r="AE15" s="4"/>
      <c r="AF15" s="4"/>
    </row>
    <row r="16" spans="1:32" s="32" customFormat="1" ht="24" customHeight="1">
      <c r="A16" s="34">
        <f>IF(C16&lt;&gt;"",A15+1,"")</f>
        <v>2</v>
      </c>
      <c r="B16" s="127" t="s">
        <v>122</v>
      </c>
      <c r="C16" s="82" t="str">
        <f>IF(ISNA(VLOOKUP(B16,DS,2,0)),"",VLOOKUP(B16,DS,2,0))</f>
        <v>Lê Thị Ngân</v>
      </c>
      <c r="D16" s="105" t="str">
        <f>IF(ISNA(VLOOKUP(B16,DS,3,0)),"",IF(VLOOKUP(B16,DS,3,0)="","",VLOOKUP(B16,DS,3,0)))</f>
        <v>Kinh Doanh</v>
      </c>
      <c r="E16" s="83">
        <f>IF(ISNA(VLOOKUP(B16,DS,4,0)),0,VLOOKUP(B16,DS,4,0))</f>
        <v>3800000</v>
      </c>
      <c r="F16" s="84">
        <f>IF(ISNA(VLOOKUP(B16,'CC -5'!$B$8:$AR$58,36,0)),0,VLOOKUP(B16,'CC -5'!$B$8:$AR$58,36,0)-VLOOKUP(B16,'CC -5'!$B$8:$AR$58,42,0))</f>
        <v>26</v>
      </c>
      <c r="G16" s="131">
        <f>ROUND(E16/$W$2*F16,0)</f>
        <v>3800000</v>
      </c>
      <c r="H16" s="84">
        <f>IF(ISNA(VLOOKUP(B16,'CC -5'!$B$8:$AR$58,39,0)),0,VLOOKUP(B16,'CC -5'!$B$8:$AR$58,39,0))</f>
        <v>0</v>
      </c>
      <c r="I16" s="131">
        <f>ROUND(E16/$W$2*H16,0)*60%</f>
        <v>0</v>
      </c>
      <c r="J16" s="84">
        <f>IF(ISNA(VLOOKUP(B16,'CC -5'!$B$8:$AR$58,37,0)),0,(VLOOKUP(B16,'CC -5'!$B$8:$AR$58,37,0)+VLOOKUP(B16,'CC -5'!$B$8:$AR$58,38,0)))</f>
        <v>0</v>
      </c>
      <c r="K16" s="131">
        <f>ROUND(E16/$W$2*J16,0)</f>
        <v>0</v>
      </c>
      <c r="L16" s="35">
        <f t="shared" ref="L16:L19" si="0">G16+K16+I16</f>
        <v>3800000</v>
      </c>
      <c r="M16" s="35">
        <f>IF(ISNA(VLOOKUP(B16,DS,6,0)),0,VLOOKUP(B16,DS,6,0)+VLOOKUP(B16,DS,7,0))</f>
        <v>0</v>
      </c>
      <c r="N16" s="35">
        <f>IF(ISNA(VLOOKUP(B16,DS,8,0)),0,ROUND(VLOOKUP(B16,DS,8,0)/$W$2*F16,0))</f>
        <v>0</v>
      </c>
      <c r="O16" s="35">
        <f>IF(ISNA(VLOOKUP(B16,'CC -5'!$B$9:$AR$58,40,0)),0,IF(VLOOKUP(B16,'CC -5'!$B$9:$AR$58,40,0)="A",100000,IF(VLOOKUP(B16,'CC -5'!$B$9:$AR$58,40,0)="B",75000,IF(VLOOKUP(B16,'CC -5'!$B$9:$AR$58,40,0)="C",50000,0))))</f>
        <v>100000</v>
      </c>
      <c r="P16" s="35">
        <f>IF(ISNA(VLOOKUP(B16,DS,9,0)),0,IF(F16+H16=$W$2,VLOOKUP(B16,DS,9,0),0))</f>
        <v>0</v>
      </c>
      <c r="Q16" s="83">
        <f>IF(ISNA(VLOOKUP(B16,'CC -5'!$B$9:$AR$58,41,0)),0,(F16+VLOOKUP(B16,'CC -5'!$B$9:$AR$58,41,0))*17000)</f>
        <v>442000</v>
      </c>
      <c r="R16" s="36">
        <f t="shared" ref="R16:R19" si="1">SUM(L16:Q16)</f>
        <v>4342000</v>
      </c>
      <c r="S16" s="36"/>
      <c r="T16" s="35">
        <f>IF(ISNA(VLOOKUP(C16,DS_,4,0)),0,VLOOKUP(C16,DS_,4,0))</f>
        <v>0</v>
      </c>
      <c r="U16" s="40">
        <f t="shared" ref="U16:U19" si="2">R16-S16-T16</f>
        <v>4342000</v>
      </c>
      <c r="V16" s="35"/>
      <c r="W16" s="95"/>
      <c r="X16" s="24"/>
      <c r="Y16" s="5"/>
      <c r="Z16" s="5"/>
      <c r="AA16" s="5"/>
      <c r="AB16" s="4"/>
      <c r="AC16" s="4"/>
      <c r="AD16" s="4"/>
      <c r="AE16" s="4"/>
      <c r="AF16" s="4"/>
    </row>
    <row r="17" spans="1:32" s="32" customFormat="1" ht="24" customHeight="1">
      <c r="A17" s="34">
        <f t="shared" ref="A17:A19" si="3">IF(C17&lt;&gt;"",A16+1,"")</f>
        <v>3</v>
      </c>
      <c r="B17" s="127" t="s">
        <v>123</v>
      </c>
      <c r="C17" s="82" t="str">
        <f>IF(ISNA(VLOOKUP(B17,DS,2,0)),"",VLOOKUP(B17,DS,2,0))</f>
        <v>Trần Anh Nhựt</v>
      </c>
      <c r="D17" s="105" t="str">
        <f>IF(ISNA(VLOOKUP(B17,DS,3,0)),"",IF(VLOOKUP(B17,DS,3,0)="","",VLOOKUP(B17,DS,3,0)))</f>
        <v>Kinh Doanh</v>
      </c>
      <c r="E17" s="83">
        <f>IF(ISNA(VLOOKUP(B17,DS,4,0)),0,VLOOKUP(B17,DS,4,0))</f>
        <v>5000000</v>
      </c>
      <c r="F17" s="84">
        <f>IF(ISNA(VLOOKUP(B17,'CC -5'!$B$8:$AR$58,36,0)),0,VLOOKUP(B17,'CC -5'!$B$8:$AR$58,36,0)-VLOOKUP(B17,'CC -5'!$B$8:$AR$58,42,0))</f>
        <v>26</v>
      </c>
      <c r="G17" s="131">
        <f>ROUND(E17/$W$2*F17,0)</f>
        <v>5000000</v>
      </c>
      <c r="H17" s="84">
        <f>IF(ISNA(VLOOKUP(B17,'CC -5'!$B$8:$AR$58,39,0)),0,VLOOKUP(B17,'CC -5'!$B$8:$AR$58,39,0))</f>
        <v>0</v>
      </c>
      <c r="I17" s="131">
        <f>ROUND(E17/$W$2*H17,0)*60%</f>
        <v>0</v>
      </c>
      <c r="J17" s="84">
        <f>IF(ISNA(VLOOKUP(B17,'CC -5'!$B$8:$AR$58,37,0)),0,(VLOOKUP(B17,'CC -5'!$B$8:$AR$58,37,0)+VLOOKUP(B17,'CC -5'!$B$8:$AR$58,38,0)))</f>
        <v>0</v>
      </c>
      <c r="K17" s="131">
        <f>ROUND(E17/$W$2*J17,0)</f>
        <v>0</v>
      </c>
      <c r="L17" s="35">
        <f t="shared" si="0"/>
        <v>5000000</v>
      </c>
      <c r="M17" s="35">
        <f>IF(ISNA(VLOOKUP(B17,DS,6,0)),0,VLOOKUP(B17,DS,6,0)+VLOOKUP(B17,DS,7,0))</f>
        <v>0</v>
      </c>
      <c r="N17" s="35">
        <f>IF(ISNA(VLOOKUP(B17,DS,8,0)),0,ROUND(VLOOKUP(B17,DS,8,0)/$W$2*F17,0))</f>
        <v>400000</v>
      </c>
      <c r="O17" s="35">
        <f>IF(ISNA(VLOOKUP(B17,'CC -5'!$B$9:$AR$58,40,0)),0,IF(VLOOKUP(B17,'CC -5'!$B$9:$AR$58,40,0)="A",100000,IF(VLOOKUP(B17,'CC -5'!$B$9:$AR$58,40,0)="B",75000,IF(VLOOKUP(B17,'CC -5'!$B$9:$AR$58,40,0)="C",50000,0))))</f>
        <v>100000</v>
      </c>
      <c r="P17" s="35">
        <f>IF(ISNA(VLOOKUP(B17,DS,9,0)),0,IF(F17+H17=$W$2,VLOOKUP(B17,DS,9,0),0))</f>
        <v>0</v>
      </c>
      <c r="Q17" s="83">
        <f>IF(ISNA(VLOOKUP(B17,'CC -5'!$B$9:$AR$58,41,0)),0,(F17+VLOOKUP(B17,'CC -5'!$B$9:$AR$58,41,0))*17000)</f>
        <v>442000</v>
      </c>
      <c r="R17" s="36">
        <f t="shared" si="1"/>
        <v>5942000</v>
      </c>
      <c r="S17" s="36"/>
      <c r="T17" s="35">
        <f>IF(ISNA(VLOOKUP(C17,DS_,4,0)),0,VLOOKUP(C17,DS_,4,0))</f>
        <v>0</v>
      </c>
      <c r="U17" s="40">
        <f t="shared" si="2"/>
        <v>5942000</v>
      </c>
      <c r="V17" s="35"/>
      <c r="W17" s="95"/>
      <c r="X17" s="24"/>
      <c r="Y17" s="5"/>
      <c r="Z17" s="5"/>
      <c r="AA17" s="5"/>
      <c r="AB17" s="4"/>
      <c r="AC17" s="4"/>
      <c r="AD17" s="4"/>
      <c r="AE17" s="4"/>
      <c r="AF17" s="4"/>
    </row>
    <row r="18" spans="1:32" s="32" customFormat="1" ht="24" customHeight="1">
      <c r="A18" s="34">
        <f t="shared" si="3"/>
        <v>4</v>
      </c>
      <c r="B18" s="127" t="s">
        <v>124</v>
      </c>
      <c r="C18" s="82" t="str">
        <f>IF(ISNA(VLOOKUP(B18,DS,2,0)),"",VLOOKUP(B18,DS,2,0))</f>
        <v>Hoàng Hải Bằng</v>
      </c>
      <c r="D18" s="105" t="str">
        <f>IF(ISNA(VLOOKUP(B18,DS,3,0)),"",IF(VLOOKUP(B18,DS,3,0)="","",VLOOKUP(B18,DS,3,0)))</f>
        <v>Kinh Doanh</v>
      </c>
      <c r="E18" s="83">
        <f>IF(ISNA(VLOOKUP(B18,DS,4,0)),0,VLOOKUP(B18,DS,4,0))</f>
        <v>3000000</v>
      </c>
      <c r="F18" s="84">
        <f>IF(ISNA(VLOOKUP(B18,'CC -5'!$B$8:$AR$58,36,0)),0,VLOOKUP(B18,'CC -5'!$B$8:$AR$58,36,0)-VLOOKUP(B18,'CC -5'!$B$8:$AR$58,42,0))</f>
        <v>26</v>
      </c>
      <c r="G18" s="131">
        <f>ROUND(E18/$W$2*F18,0)</f>
        <v>3000000</v>
      </c>
      <c r="H18" s="84">
        <f>IF(ISNA(VLOOKUP(B18,'CC -5'!$B$8:$AR$58,39,0)),0,VLOOKUP(B18,'CC -5'!$B$8:$AR$58,39,0))</f>
        <v>0</v>
      </c>
      <c r="I18" s="131">
        <f>ROUND(E18/$W$2*H18,0)*60%</f>
        <v>0</v>
      </c>
      <c r="J18" s="84">
        <f>IF(ISNA(VLOOKUP(B18,'CC -5'!$B$8:$AR$58,37,0)),0,(VLOOKUP(B18,'CC -5'!$B$8:$AR$58,37,0)+VLOOKUP(B18,'CC -5'!$B$8:$AR$58,38,0)))</f>
        <v>0</v>
      </c>
      <c r="K18" s="131">
        <f>ROUND(E18/$W$2*J18,0)</f>
        <v>0</v>
      </c>
      <c r="L18" s="35">
        <f t="shared" si="0"/>
        <v>3000000</v>
      </c>
      <c r="M18" s="35">
        <f>IF(ISNA(VLOOKUP(B18,DS,6,0)),0,VLOOKUP(B18,DS,6,0)+VLOOKUP(B18,DS,7,0))</f>
        <v>0</v>
      </c>
      <c r="N18" s="35">
        <f>IF(ISNA(VLOOKUP(B18,DS,8,0)),0,ROUND(VLOOKUP(B18,DS,8,0)/$W$2*F18,0))</f>
        <v>400000</v>
      </c>
      <c r="O18" s="35">
        <f>IF(ISNA(VLOOKUP(B18,'CC -5'!$B$9:$AR$58,40,0)),0,IF(VLOOKUP(B18,'CC -5'!$B$9:$AR$58,40,0)="A",100000,IF(VLOOKUP(B18,'CC -5'!$B$9:$AR$58,40,0)="B",75000,IF(VLOOKUP(B18,'CC -5'!$B$9:$AR$58,40,0)="C",50000,0))))</f>
        <v>100000</v>
      </c>
      <c r="P18" s="35">
        <f>IF(ISNA(VLOOKUP(B18,DS,9,0)),0,IF(F18+H18=$W$2,VLOOKUP(B18,DS,9,0),0))</f>
        <v>0</v>
      </c>
      <c r="Q18" s="83">
        <f>IF(ISNA(VLOOKUP(B18,'CC -5'!$B$9:$AR$58,41,0)),0,(F18+VLOOKUP(B18,'CC -5'!$B$9:$AR$58,41,0))*17000)</f>
        <v>442000</v>
      </c>
      <c r="R18" s="36">
        <f t="shared" si="1"/>
        <v>3942000</v>
      </c>
      <c r="S18" s="36"/>
      <c r="T18" s="35">
        <f>IF(ISNA(VLOOKUP(C18,DS_,4,0)),0,VLOOKUP(C18,DS_,4,0))</f>
        <v>0</v>
      </c>
      <c r="U18" s="40">
        <f t="shared" si="2"/>
        <v>3942000</v>
      </c>
      <c r="V18" s="35"/>
      <c r="W18" s="95"/>
      <c r="X18" s="24"/>
      <c r="Y18" s="5"/>
      <c r="Z18" s="5"/>
      <c r="AA18" s="5"/>
      <c r="AB18" s="4"/>
      <c r="AC18" s="4"/>
      <c r="AD18" s="4"/>
      <c r="AE18" s="4"/>
      <c r="AF18" s="4"/>
    </row>
    <row r="19" spans="1:32" s="32" customFormat="1" ht="24" customHeight="1">
      <c r="A19" s="34">
        <f t="shared" si="3"/>
        <v>5</v>
      </c>
      <c r="B19" s="127" t="s">
        <v>125</v>
      </c>
      <c r="C19" s="82" t="str">
        <f>IF(ISNA(VLOOKUP(B19,DS,2,0)),"",VLOOKUP(B19,DS,2,0))</f>
        <v>Huỳnh Minh Toàn</v>
      </c>
      <c r="D19" s="105" t="str">
        <f>IF(ISNA(VLOOKUP(B19,DS,3,0)),"",IF(VLOOKUP(B19,DS,3,0)="","",VLOOKUP(B19,DS,3,0)))</f>
        <v>Kinh Doanh</v>
      </c>
      <c r="E19" s="83">
        <f>IF(ISNA(VLOOKUP(B19,DS,4,0)),0,VLOOKUP(B19,DS,4,0))</f>
        <v>3000000</v>
      </c>
      <c r="F19" s="84">
        <f>IF(ISNA(VLOOKUP(B19,'CC -5'!$B$8:$AR$58,36,0)),0,VLOOKUP(B19,'CC -5'!$B$8:$AR$58,36,0)-VLOOKUP(B19,'CC -5'!$B$8:$AR$58,42,0))</f>
        <v>26</v>
      </c>
      <c r="G19" s="131">
        <f>ROUND(E19/$W$2*F19,0)</f>
        <v>3000000</v>
      </c>
      <c r="H19" s="84">
        <f>IF(ISNA(VLOOKUP(B19,'CC -5'!$B$8:$AR$58,39,0)),0,VLOOKUP(B19,'CC -5'!$B$8:$AR$58,39,0))</f>
        <v>0</v>
      </c>
      <c r="I19" s="131">
        <f>ROUND(E19/$W$2*H19,0)*60%</f>
        <v>0</v>
      </c>
      <c r="J19" s="84">
        <f>IF(ISNA(VLOOKUP(B19,'CC -5'!$B$8:$AR$58,37,0)),0,(VLOOKUP(B19,'CC -5'!$B$8:$AR$58,37,0)+VLOOKUP(B19,'CC -5'!$B$8:$AR$58,38,0)))</f>
        <v>0</v>
      </c>
      <c r="K19" s="131">
        <f>ROUND(E19/$W$2*J19,0)</f>
        <v>0</v>
      </c>
      <c r="L19" s="35">
        <f t="shared" si="0"/>
        <v>3000000</v>
      </c>
      <c r="M19" s="35">
        <f>IF(ISNA(VLOOKUP(B19,DS,6,0)),0,VLOOKUP(B19,DS,6,0)+VLOOKUP(B19,DS,7,0))</f>
        <v>400000</v>
      </c>
      <c r="N19" s="35">
        <f>IF(ISNA(VLOOKUP(B19,DS,8,0)),0,ROUND(VLOOKUP(B19,DS,8,0)/$W$2*F19,0))</f>
        <v>400000</v>
      </c>
      <c r="O19" s="35">
        <f>IF(ISNA(VLOOKUP(B19,'CC -5'!$B$9:$AR$58,40,0)),0,IF(VLOOKUP(B19,'CC -5'!$B$9:$AR$58,40,0)="A",100000,IF(VLOOKUP(B19,'CC -5'!$B$9:$AR$58,40,0)="B",75000,IF(VLOOKUP(B19,'CC -5'!$B$9:$AR$58,40,0)="C",50000,0))))</f>
        <v>100000</v>
      </c>
      <c r="P19" s="35">
        <f>IF(ISNA(VLOOKUP(B19,DS,9,0)),0,IF(F19+H19=$W$2,VLOOKUP(B19,DS,9,0),0))</f>
        <v>0</v>
      </c>
      <c r="Q19" s="83">
        <f>IF(ISNA(VLOOKUP(B19,'CC -5'!$B$9:$AR$58,41,0)),0,(F19+VLOOKUP(B19,'CC -5'!$B$9:$AR$58,41,0))*17000)</f>
        <v>442000</v>
      </c>
      <c r="R19" s="36">
        <f t="shared" si="1"/>
        <v>4342000</v>
      </c>
      <c r="S19" s="36"/>
      <c r="T19" s="35">
        <f>IF(ISNA(VLOOKUP(C19,DS_,4,0)),0,VLOOKUP(C19,DS_,4,0))</f>
        <v>0</v>
      </c>
      <c r="U19" s="40">
        <f t="shared" si="2"/>
        <v>4342000</v>
      </c>
      <c r="V19" s="35"/>
      <c r="W19" s="95"/>
      <c r="X19" s="24"/>
      <c r="Y19" s="5"/>
      <c r="Z19" s="5"/>
      <c r="AA19" s="5"/>
      <c r="AB19" s="4"/>
      <c r="AC19" s="4"/>
      <c r="AD19" s="4"/>
      <c r="AE19" s="4"/>
      <c r="AF19" s="4"/>
    </row>
    <row r="20" spans="1:32" s="32" customFormat="1" ht="22.5" customHeight="1">
      <c r="A20" s="37"/>
      <c r="B20" s="166"/>
      <c r="C20" s="38"/>
      <c r="D20" s="3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165"/>
      <c r="S20" s="39"/>
      <c r="T20" s="39"/>
      <c r="U20" s="39"/>
      <c r="V20" s="35"/>
      <c r="W20" s="95"/>
      <c r="X20" s="33"/>
      <c r="Y20" s="33"/>
      <c r="Z20" s="33"/>
      <c r="AA20" s="33"/>
    </row>
    <row r="21" spans="1:32" s="28" customFormat="1" ht="21" customHeight="1">
      <c r="A21" s="291" t="s">
        <v>20</v>
      </c>
      <c r="B21" s="291"/>
      <c r="C21" s="291"/>
      <c r="D21" s="291"/>
      <c r="E21" s="126">
        <f>SUM(E14:E20)</f>
        <v>18000000</v>
      </c>
      <c r="F21" s="126"/>
      <c r="G21" s="126">
        <f>SUM(G14:G20)</f>
        <v>18000000</v>
      </c>
      <c r="H21" s="126"/>
      <c r="I21" s="126">
        <f>SUM(I14:I20)</f>
        <v>0</v>
      </c>
      <c r="J21" s="126"/>
      <c r="K21" s="126">
        <f>SUM(K14:K20)</f>
        <v>0</v>
      </c>
      <c r="L21" s="126">
        <f>SUM(L14:L20)</f>
        <v>18000000</v>
      </c>
      <c r="M21" s="126"/>
      <c r="N21" s="126"/>
      <c r="O21" s="126"/>
      <c r="P21" s="126"/>
      <c r="Q21" s="126">
        <f>SUM(Q14:Q20)</f>
        <v>2210000</v>
      </c>
      <c r="R21" s="126">
        <f>SUM(R14:R20)</f>
        <v>22310000</v>
      </c>
      <c r="S21" s="126"/>
      <c r="T21" s="126">
        <f>SUM(T14:T20)</f>
        <v>0</v>
      </c>
      <c r="U21" s="126">
        <f>SUM(U14:U20)</f>
        <v>22310000</v>
      </c>
      <c r="V21" s="22"/>
      <c r="W21" s="95"/>
      <c r="X21" s="29"/>
      <c r="Y21" s="29"/>
      <c r="Z21" s="29"/>
      <c r="AA21" s="29"/>
    </row>
    <row r="22" spans="1:32" s="78" customFormat="1" ht="24" customHeight="1">
      <c r="A22" s="169" t="s">
        <v>101</v>
      </c>
      <c r="B22" s="168" t="s">
        <v>145</v>
      </c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95"/>
      <c r="X22" s="79"/>
      <c r="Y22" s="80"/>
      <c r="Z22" s="80"/>
      <c r="AA22" s="80"/>
      <c r="AB22" s="81"/>
      <c r="AC22" s="81"/>
      <c r="AD22" s="81"/>
      <c r="AE22" s="81"/>
      <c r="AF22" s="81"/>
    </row>
    <row r="23" spans="1:32" s="32" customFormat="1" ht="24" customHeight="1">
      <c r="A23" s="34">
        <v>1</v>
      </c>
      <c r="B23" s="127" t="s">
        <v>126</v>
      </c>
      <c r="C23" s="82" t="str">
        <f>IF(ISNA(VLOOKUP(B23,DS,2,0)),"",VLOOKUP(B23,DS,2,0))</f>
        <v>Nguyễn Hồng Tâm</v>
      </c>
      <c r="D23" s="105" t="str">
        <f>IF(ISNA(VLOOKUP(B23,DS,3,0)),"",IF(VLOOKUP(B23,DS,3,0)="","",VLOOKUP(B23,DS,3,0)))</f>
        <v>Công Đoạn 1</v>
      </c>
      <c r="E23" s="83">
        <f>IF(ISNA(VLOOKUP(B23,DS,4,0)),0,VLOOKUP(B23,DS,4,0))</f>
        <v>4000000</v>
      </c>
      <c r="F23" s="84">
        <f>IF(ISNA(VLOOKUP(B23,'CC -5'!$B$8:$AR$58,36,0)),0,VLOOKUP(B23,'CC -5'!$B$8:$AR$58,36,0)-VLOOKUP(B23,'CC -5'!$B$8:$AR$58,42,0))</f>
        <v>21</v>
      </c>
      <c r="G23" s="131">
        <f>ROUND(E23/$W$2*F23,0)</f>
        <v>3230769</v>
      </c>
      <c r="H23" s="84">
        <f>IF(ISNA(VLOOKUP(B23,'CC -5'!$B$8:$AR$58,39,0)),0,VLOOKUP(B23,'CC -5'!$B$8:$AR$58,39,0))</f>
        <v>0</v>
      </c>
      <c r="I23" s="131">
        <f>ROUND(E23/$W$2*H23,0)*60%</f>
        <v>0</v>
      </c>
      <c r="J23" s="84">
        <f>IF(ISNA(VLOOKUP(B23,'CC -5'!$B$8:$AR$58,37,0)),0,(VLOOKUP(B23,'CC -5'!$B$8:$AR$58,37,0)+VLOOKUP(B23,'CC -5'!$B$8:$AR$58,38,0)))</f>
        <v>8</v>
      </c>
      <c r="K23" s="131">
        <f>ROUND(E23/$W$2*J23,0)</f>
        <v>1230769</v>
      </c>
      <c r="L23" s="35">
        <f>G23+K23+I23</f>
        <v>4461538</v>
      </c>
      <c r="M23" s="35">
        <f>IF(ISNA(VLOOKUP(B23,DS,6,0)),0,VLOOKUP(B23,DS,6,0)+VLOOKUP(B23,DS,7,0))</f>
        <v>0</v>
      </c>
      <c r="N23" s="35">
        <f>IF(ISNA(VLOOKUP(B23,DS,8,0)),0,ROUND(VLOOKUP(B23,DS,8,0)/$W$2*F23,0))</f>
        <v>323077</v>
      </c>
      <c r="O23" s="35">
        <f>IF(ISNA(VLOOKUP(B23,'CC -5'!$B$9:$AR$58,40,0)),0,IF(VLOOKUP(B23,'CC -5'!$B$9:$AR$58,40,0)="A",100000,IF(VLOOKUP(B23,'CC -5'!$B$9:$AR$58,40,0)="B",75000,IF(VLOOKUP(B23,'CC -5'!$B$9:$AR$58,40,0)="C",50000,0))))</f>
        <v>100000</v>
      </c>
      <c r="P23" s="35">
        <f>IF(ISNA(VLOOKUP(B23,DS,9,0)),0,IF(F23+H23=$W$2,VLOOKUP(B23,DS,9,0),0))</f>
        <v>0</v>
      </c>
      <c r="Q23" s="83">
        <f>IF(ISNA(VLOOKUP(B23,'CC -5'!$B$9:$AR$58,41,0)),0,(F23+VLOOKUP(B23,'CC -5'!$B$9:$AR$58,41,0))*17000)</f>
        <v>357000</v>
      </c>
      <c r="R23" s="36">
        <f>SUM(L23:Q23)</f>
        <v>5241615</v>
      </c>
      <c r="S23" s="36"/>
      <c r="T23" s="35">
        <f>IF(ISNA(VLOOKUP(C23,DS_,4,0)),0,VLOOKUP(C23,DS_,4,0))</f>
        <v>0</v>
      </c>
      <c r="U23" s="40">
        <f>R23-S23-T23</f>
        <v>5241615</v>
      </c>
      <c r="V23" s="35"/>
      <c r="W23" s="95"/>
      <c r="X23" s="24"/>
      <c r="Y23" s="5"/>
      <c r="Z23" s="5"/>
      <c r="AA23" s="5"/>
      <c r="AB23" s="4"/>
      <c r="AC23" s="4"/>
      <c r="AD23" s="4"/>
      <c r="AE23" s="4"/>
      <c r="AF23" s="4"/>
    </row>
    <row r="24" spans="1:32" s="32" customFormat="1" ht="24" customHeight="1">
      <c r="A24" s="34">
        <f>IF(C24&lt;&gt;"",A23+1,"")</f>
        <v>2</v>
      </c>
      <c r="B24" s="127" t="s">
        <v>127</v>
      </c>
      <c r="C24" s="82" t="str">
        <f>IF(ISNA(VLOOKUP(B24,DS,2,0)),"",VLOOKUP(B24,DS,2,0))</f>
        <v>Lê Thành Phước</v>
      </c>
      <c r="D24" s="105" t="str">
        <f>IF(ISNA(VLOOKUP(B24,DS,3,0)),"",IF(VLOOKUP(B24,DS,3,0)="","",VLOOKUP(B24,DS,3,0)))</f>
        <v>Công Đoạn 1</v>
      </c>
      <c r="E24" s="83">
        <f>IF(ISNA(VLOOKUP(B24,DS,4,0)),0,VLOOKUP(B24,DS,4,0))</f>
        <v>6500000</v>
      </c>
      <c r="F24" s="84">
        <f>IF(ISNA(VLOOKUP(B24,'CC -5'!$B$8:$AR$58,36,0)),0,VLOOKUP(B24,'CC -5'!$B$8:$AR$58,36,0)-VLOOKUP(B24,'CC -5'!$B$8:$AR$58,42,0))</f>
        <v>21</v>
      </c>
      <c r="G24" s="131">
        <f>ROUND(E24/$W$2*F24,0)</f>
        <v>5250000</v>
      </c>
      <c r="H24" s="84">
        <f>IF(ISNA(VLOOKUP(B24,'CC -5'!$B$8:$AR$58,39,0)),0,VLOOKUP(B24,'CC -5'!$B$8:$AR$58,39,0))</f>
        <v>0</v>
      </c>
      <c r="I24" s="131">
        <f>ROUND(E24/$W$2*H24,0)*60%</f>
        <v>0</v>
      </c>
      <c r="J24" s="84">
        <f>IF(ISNA(VLOOKUP(B24,'CC -5'!$B$8:$AR$58,37,0)),0,(VLOOKUP(B24,'CC -5'!$B$8:$AR$58,37,0)+VLOOKUP(B24,'CC -5'!$B$8:$AR$58,38,0)))</f>
        <v>8</v>
      </c>
      <c r="K24" s="131">
        <f>ROUND(E24/$W$2*J24,0)</f>
        <v>2000000</v>
      </c>
      <c r="L24" s="35">
        <f>G24+K24+I24</f>
        <v>7250000</v>
      </c>
      <c r="M24" s="35">
        <f>IF(ISNA(VLOOKUP(B24,DS,6,0)),0,VLOOKUP(B24,DS,6,0)+VLOOKUP(B24,DS,7,0))</f>
        <v>0</v>
      </c>
      <c r="N24" s="35">
        <f>IF(ISNA(VLOOKUP(B24,DS,8,0)),0,ROUND(VLOOKUP(B24,DS,8,0)/$W$2*F24,0))</f>
        <v>323077</v>
      </c>
      <c r="O24" s="35">
        <f>IF(ISNA(VLOOKUP(B24,'CC -5'!$B$9:$AR$58,40,0)),0,IF(VLOOKUP(B24,'CC -5'!$B$9:$AR$58,40,0)="A",100000,IF(VLOOKUP(B24,'CC -5'!$B$9:$AR$58,40,0)="B",75000,IF(VLOOKUP(B24,'CC -5'!$B$9:$AR$58,40,0)="C",50000,0))))</f>
        <v>100000</v>
      </c>
      <c r="P24" s="35">
        <f>IF(ISNA(VLOOKUP(B24,DS,9,0)),0,IF(F24+H24=$W$2,VLOOKUP(B24,DS,9,0),0))</f>
        <v>0</v>
      </c>
      <c r="Q24" s="83">
        <f>IF(ISNA(VLOOKUP(B24,'CC -5'!$B$9:$AR$58,41,0)),0,(F24+VLOOKUP(B24,'CC -5'!$B$9:$AR$58,41,0))*17000)</f>
        <v>357000</v>
      </c>
      <c r="R24" s="36">
        <f>SUM(L24:Q24)</f>
        <v>8030077</v>
      </c>
      <c r="S24" s="36"/>
      <c r="T24" s="35">
        <f>IF(ISNA(VLOOKUP(C24,DS_,4,0)),0,VLOOKUP(C24,DS_,4,0))</f>
        <v>0</v>
      </c>
      <c r="U24" s="40">
        <f>R24-S24-T24</f>
        <v>8030077</v>
      </c>
      <c r="V24" s="35"/>
      <c r="W24" s="95"/>
      <c r="X24" s="24"/>
      <c r="Y24" s="5"/>
      <c r="Z24" s="5"/>
      <c r="AA24" s="5"/>
      <c r="AB24" s="4"/>
      <c r="AC24" s="4"/>
      <c r="AD24" s="4"/>
      <c r="AE24" s="4"/>
      <c r="AF24" s="4"/>
    </row>
    <row r="25" spans="1:32" s="32" customFormat="1" ht="22.5" customHeight="1">
      <c r="A25" s="37"/>
      <c r="B25" s="166"/>
      <c r="C25" s="38"/>
      <c r="D25" s="3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165"/>
      <c r="S25" s="39"/>
      <c r="T25" s="39"/>
      <c r="U25" s="39"/>
      <c r="V25" s="35"/>
      <c r="W25" s="95"/>
      <c r="X25" s="33"/>
      <c r="Y25" s="33"/>
      <c r="Z25" s="33"/>
      <c r="AA25" s="33"/>
    </row>
    <row r="26" spans="1:32" s="28" customFormat="1" ht="21" customHeight="1">
      <c r="A26" s="291" t="s">
        <v>20</v>
      </c>
      <c r="B26" s="291"/>
      <c r="C26" s="291"/>
      <c r="D26" s="291"/>
      <c r="E26" s="126">
        <f>SUM(E22:E25)</f>
        <v>10500000</v>
      </c>
      <c r="F26" s="126"/>
      <c r="G26" s="126">
        <f>SUM(G22:G25)</f>
        <v>8480769</v>
      </c>
      <c r="H26" s="126"/>
      <c r="I26" s="126">
        <f>SUM(I22:I25)</f>
        <v>0</v>
      </c>
      <c r="J26" s="126"/>
      <c r="K26" s="126">
        <f>SUM(K22:K25)</f>
        <v>3230769</v>
      </c>
      <c r="L26" s="126">
        <f>SUM(L22:L25)</f>
        <v>11711538</v>
      </c>
      <c r="M26" s="126"/>
      <c r="N26" s="126"/>
      <c r="O26" s="126"/>
      <c r="P26" s="126"/>
      <c r="Q26" s="126">
        <f>SUM(Q22:Q25)</f>
        <v>714000</v>
      </c>
      <c r="R26" s="126">
        <f>SUM(R22:R25)</f>
        <v>13271692</v>
      </c>
      <c r="S26" s="126"/>
      <c r="T26" s="126">
        <f>SUM(T22:T25)</f>
        <v>0</v>
      </c>
      <c r="U26" s="126">
        <f>SUM(U22:U25)</f>
        <v>13271692</v>
      </c>
      <c r="V26" s="22"/>
      <c r="W26" s="95"/>
      <c r="X26" s="29"/>
      <c r="Y26" s="29"/>
      <c r="Z26" s="29"/>
      <c r="AA26" s="29"/>
    </row>
    <row r="27" spans="1:32" s="78" customFormat="1" ht="24" customHeight="1">
      <c r="A27" s="169" t="s">
        <v>148</v>
      </c>
      <c r="B27" s="168" t="s">
        <v>146</v>
      </c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95"/>
      <c r="X27" s="79"/>
      <c r="Y27" s="80"/>
      <c r="Z27" s="80"/>
      <c r="AA27" s="80"/>
      <c r="AB27" s="81"/>
      <c r="AC27" s="81"/>
      <c r="AD27" s="81"/>
      <c r="AE27" s="81"/>
      <c r="AF27" s="81"/>
    </row>
    <row r="28" spans="1:32" s="32" customFormat="1" ht="24" customHeight="1">
      <c r="A28" s="34">
        <v>1</v>
      </c>
      <c r="B28" s="127" t="s">
        <v>128</v>
      </c>
      <c r="C28" s="82" t="str">
        <f t="shared" ref="C28:C36" si="4">IF(ISNA(VLOOKUP(B28,DS,2,0)),"",VLOOKUP(B28,DS,2,0))</f>
        <v>Lê Văn Hữu</v>
      </c>
      <c r="D28" s="105" t="str">
        <f t="shared" ref="D28:D36" si="5">IF(ISNA(VLOOKUP(B28,DS,3,0)),"",IF(VLOOKUP(B28,DS,3,0)="","",VLOOKUP(B28,DS,3,0)))</f>
        <v>Công Đoạn 1</v>
      </c>
      <c r="E28" s="83">
        <f t="shared" ref="E28:E36" si="6">IF(ISNA(VLOOKUP(B28,DS,4,0)),0,VLOOKUP(B28,DS,4,0))</f>
        <v>7000000</v>
      </c>
      <c r="F28" s="84">
        <f>IF(ISNA(VLOOKUP(B28,'CC -5'!$B$8:$AR$58,36,0)),0,VLOOKUP(B28,'CC -5'!$B$8:$AR$58,36,0)-VLOOKUP(B28,'CC -5'!$B$8:$AR$58,42,0))</f>
        <v>21</v>
      </c>
      <c r="G28" s="131">
        <f t="shared" ref="G28:G36" si="7">ROUND(E28/$W$2*F28,0)</f>
        <v>5653846</v>
      </c>
      <c r="H28" s="84">
        <f>IF(ISNA(VLOOKUP(B28,'CC -5'!$B$8:$AR$58,39,0)),0,VLOOKUP(B28,'CC -5'!$B$8:$AR$58,39,0))</f>
        <v>0</v>
      </c>
      <c r="I28" s="131">
        <f t="shared" ref="I28:I36" si="8">ROUND(E28/$W$2*H28,0)*60%</f>
        <v>0</v>
      </c>
      <c r="J28" s="84">
        <f>IF(ISNA(VLOOKUP(B28,'CC -5'!$B$8:$AR$58,37,0)),0,(VLOOKUP(B28,'CC -5'!$B$8:$AR$58,37,0)+VLOOKUP(B28,'CC -5'!$B$8:$AR$58,38,0)))</f>
        <v>8</v>
      </c>
      <c r="K28" s="131">
        <f t="shared" ref="K28:K36" si="9">ROUND(E28/$W$2*J28,0)</f>
        <v>2153846</v>
      </c>
      <c r="L28" s="35">
        <f>G28+K28+I28</f>
        <v>7807692</v>
      </c>
      <c r="M28" s="35">
        <f t="shared" ref="M28:M36" si="10">IF(ISNA(VLOOKUP(B28,DS,6,0)),0,VLOOKUP(B28,DS,6,0)+VLOOKUP(B28,DS,7,0))</f>
        <v>700000</v>
      </c>
      <c r="N28" s="35">
        <f t="shared" ref="N28:N36" si="11">IF(ISNA(VLOOKUP(B28,DS,8,0)),0,ROUND(VLOOKUP(B28,DS,8,0)/$W$2*F28,0))</f>
        <v>323077</v>
      </c>
      <c r="O28" s="35">
        <f>IF(ISNA(VLOOKUP(B28,'CC -5'!$B$9:$AR$58,40,0)),0,IF(VLOOKUP(B28,'CC -5'!$B$9:$AR$58,40,0)="A",100000,IF(VLOOKUP(B28,'CC -5'!$B$9:$AR$58,40,0)="B",75000,IF(VLOOKUP(B28,'CC -5'!$B$9:$AR$58,40,0)="C",50000,0))))</f>
        <v>100000</v>
      </c>
      <c r="P28" s="35">
        <f t="shared" ref="P28:P36" si="12">IF(ISNA(VLOOKUP(B28,DS,9,0)),0,IF(F28+H28=$W$2,VLOOKUP(B28,DS,9,0),0))</f>
        <v>0</v>
      </c>
      <c r="Q28" s="83">
        <f>IF(ISNA(VLOOKUP(B28,'CC -5'!$B$9:$AR$58,41,0)),0,(F28+VLOOKUP(B28,'CC -5'!$B$9:$AR$58,41,0))*17000)</f>
        <v>357000</v>
      </c>
      <c r="R28" s="36">
        <f>SUM(L28:Q28)</f>
        <v>9287769</v>
      </c>
      <c r="S28" s="36"/>
      <c r="T28" s="35">
        <f t="shared" ref="T28:T36" si="13">IF(ISNA(VLOOKUP(C28,DS_,4,0)),0,VLOOKUP(C28,DS_,4,0))</f>
        <v>0</v>
      </c>
      <c r="U28" s="40">
        <f>R28-S28-T28</f>
        <v>9287769</v>
      </c>
      <c r="V28" s="35"/>
      <c r="W28" s="95"/>
      <c r="X28" s="24"/>
      <c r="Y28" s="5"/>
      <c r="Z28" s="5"/>
      <c r="AA28" s="5"/>
      <c r="AB28" s="4"/>
      <c r="AC28" s="4"/>
      <c r="AD28" s="4"/>
      <c r="AE28" s="4"/>
      <c r="AF28" s="4"/>
    </row>
    <row r="29" spans="1:32" s="32" customFormat="1" ht="24" customHeight="1">
      <c r="A29" s="34">
        <f>IF(C29&lt;&gt;"",A28+1,"")</f>
        <v>2</v>
      </c>
      <c r="B29" s="127" t="s">
        <v>129</v>
      </c>
      <c r="C29" s="82" t="str">
        <f t="shared" si="4"/>
        <v>Bùi Trường Giang</v>
      </c>
      <c r="D29" s="105" t="str">
        <f t="shared" si="5"/>
        <v>Công Đoạn 1</v>
      </c>
      <c r="E29" s="83">
        <f t="shared" si="6"/>
        <v>5550000</v>
      </c>
      <c r="F29" s="84">
        <f>IF(ISNA(VLOOKUP(B29,'CC -5'!$B$8:$AR$58,36,0)),0,VLOOKUP(B29,'CC -5'!$B$8:$AR$58,36,0)-VLOOKUP(B29,'CC -5'!$B$8:$AR$58,42,0))</f>
        <v>21</v>
      </c>
      <c r="G29" s="131">
        <f t="shared" si="7"/>
        <v>4482692</v>
      </c>
      <c r="H29" s="84">
        <f>IF(ISNA(VLOOKUP(B29,'CC -5'!$B$8:$AR$58,39,0)),0,VLOOKUP(B29,'CC -5'!$B$8:$AR$58,39,0))</f>
        <v>0</v>
      </c>
      <c r="I29" s="131">
        <f t="shared" si="8"/>
        <v>0</v>
      </c>
      <c r="J29" s="84">
        <f>IF(ISNA(VLOOKUP(B29,'CC -5'!$B$8:$AR$58,37,0)),0,(VLOOKUP(B29,'CC -5'!$B$8:$AR$58,37,0)+VLOOKUP(B29,'CC -5'!$B$8:$AR$58,38,0)))</f>
        <v>8</v>
      </c>
      <c r="K29" s="131">
        <f t="shared" si="9"/>
        <v>1707692</v>
      </c>
      <c r="L29" s="35">
        <f t="shared" ref="L29:L36" si="14">G29+K29+I29</f>
        <v>6190384</v>
      </c>
      <c r="M29" s="35">
        <f t="shared" si="10"/>
        <v>100000</v>
      </c>
      <c r="N29" s="35">
        <f t="shared" si="11"/>
        <v>323077</v>
      </c>
      <c r="O29" s="35">
        <f>IF(ISNA(VLOOKUP(B29,'CC -5'!$B$9:$AR$58,40,0)),0,IF(VLOOKUP(B29,'CC -5'!$B$9:$AR$58,40,0)="A",100000,IF(VLOOKUP(B29,'CC -5'!$B$9:$AR$58,40,0)="B",75000,IF(VLOOKUP(B29,'CC -5'!$B$9:$AR$58,40,0)="C",50000,0))))</f>
        <v>100000</v>
      </c>
      <c r="P29" s="35">
        <f t="shared" si="12"/>
        <v>0</v>
      </c>
      <c r="Q29" s="83">
        <f>IF(ISNA(VLOOKUP(B29,'CC -5'!$B$9:$AR$58,41,0)),0,(F29+VLOOKUP(B29,'CC -5'!$B$9:$AR$58,41,0))*17000)</f>
        <v>357000</v>
      </c>
      <c r="R29" s="36">
        <f t="shared" ref="R29:R36" si="15">SUM(L29:Q29)</f>
        <v>7070461</v>
      </c>
      <c r="S29" s="36"/>
      <c r="T29" s="35">
        <f t="shared" si="13"/>
        <v>0</v>
      </c>
      <c r="U29" s="40">
        <f t="shared" ref="U29:U36" si="16">R29-S29-T29</f>
        <v>7070461</v>
      </c>
      <c r="V29" s="35"/>
      <c r="W29" s="95"/>
      <c r="X29" s="24"/>
      <c r="Y29" s="5"/>
      <c r="Z29" s="5"/>
      <c r="AA29" s="5"/>
      <c r="AB29" s="4"/>
      <c r="AC29" s="4"/>
      <c r="AD29" s="4"/>
      <c r="AE29" s="4"/>
      <c r="AF29" s="4"/>
    </row>
    <row r="30" spans="1:32" s="32" customFormat="1" ht="24" customHeight="1">
      <c r="A30" s="34">
        <f t="shared" ref="A30:A36" si="17">IF(C30&lt;&gt;"",A29+1,"")</f>
        <v>3</v>
      </c>
      <c r="B30" s="127" t="s">
        <v>130</v>
      </c>
      <c r="C30" s="82" t="str">
        <f t="shared" si="4"/>
        <v>Nguyễn T Bích Thủy</v>
      </c>
      <c r="D30" s="105" t="str">
        <f t="shared" si="5"/>
        <v>Công Đoạn 1</v>
      </c>
      <c r="E30" s="83">
        <f t="shared" si="6"/>
        <v>3450000</v>
      </c>
      <c r="F30" s="84">
        <f>IF(ISNA(VLOOKUP(B30,'CC -5'!$B$8:$AR$58,36,0)),0,VLOOKUP(B30,'CC -5'!$B$8:$AR$58,36,0)-VLOOKUP(B30,'CC -5'!$B$8:$AR$58,42,0))</f>
        <v>21</v>
      </c>
      <c r="G30" s="131">
        <f t="shared" si="7"/>
        <v>2786538</v>
      </c>
      <c r="H30" s="84">
        <f>IF(ISNA(VLOOKUP(B30,'CC -5'!$B$8:$AR$58,39,0)),0,VLOOKUP(B30,'CC -5'!$B$8:$AR$58,39,0))</f>
        <v>0</v>
      </c>
      <c r="I30" s="131">
        <f t="shared" si="8"/>
        <v>0</v>
      </c>
      <c r="J30" s="84">
        <f>IF(ISNA(VLOOKUP(B30,'CC -5'!$B$8:$AR$58,37,0)),0,(VLOOKUP(B30,'CC -5'!$B$8:$AR$58,37,0)+VLOOKUP(B30,'CC -5'!$B$8:$AR$58,38,0)))</f>
        <v>8</v>
      </c>
      <c r="K30" s="131">
        <f t="shared" si="9"/>
        <v>1061538</v>
      </c>
      <c r="L30" s="35">
        <f t="shared" si="14"/>
        <v>3848076</v>
      </c>
      <c r="M30" s="35">
        <f t="shared" si="10"/>
        <v>0</v>
      </c>
      <c r="N30" s="35">
        <f t="shared" si="11"/>
        <v>161538</v>
      </c>
      <c r="O30" s="35">
        <f>IF(ISNA(VLOOKUP(B30,'CC -5'!$B$9:$AR$58,40,0)),0,IF(VLOOKUP(B30,'CC -5'!$B$9:$AR$58,40,0)="A",100000,IF(VLOOKUP(B30,'CC -5'!$B$9:$AR$58,40,0)="B",75000,IF(VLOOKUP(B30,'CC -5'!$B$9:$AR$58,40,0)="C",50000,0))))</f>
        <v>100000</v>
      </c>
      <c r="P30" s="35">
        <f t="shared" si="12"/>
        <v>0</v>
      </c>
      <c r="Q30" s="83">
        <f>IF(ISNA(VLOOKUP(B30,'CC -5'!$B$9:$AR$58,41,0)),0,(F30+VLOOKUP(B30,'CC -5'!$B$9:$AR$58,41,0))*17000)</f>
        <v>357000</v>
      </c>
      <c r="R30" s="36">
        <f t="shared" si="15"/>
        <v>4466614</v>
      </c>
      <c r="S30" s="36"/>
      <c r="T30" s="35">
        <f t="shared" si="13"/>
        <v>0</v>
      </c>
      <c r="U30" s="40">
        <f t="shared" si="16"/>
        <v>4466614</v>
      </c>
      <c r="V30" s="35"/>
      <c r="W30" s="95"/>
      <c r="X30" s="24"/>
      <c r="Y30" s="5"/>
      <c r="Z30" s="5"/>
      <c r="AA30" s="5"/>
      <c r="AB30" s="4"/>
      <c r="AC30" s="4"/>
      <c r="AD30" s="4"/>
      <c r="AE30" s="4"/>
      <c r="AF30" s="4"/>
    </row>
    <row r="31" spans="1:32" s="32" customFormat="1" ht="24" customHeight="1">
      <c r="A31" s="34">
        <f t="shared" si="17"/>
        <v>4</v>
      </c>
      <c r="B31" s="127" t="s">
        <v>131</v>
      </c>
      <c r="C31" s="82" t="str">
        <f t="shared" si="4"/>
        <v>Phan Hùng Trí</v>
      </c>
      <c r="D31" s="105" t="str">
        <f t="shared" si="5"/>
        <v>Công Đoạn 1</v>
      </c>
      <c r="E31" s="83">
        <f t="shared" si="6"/>
        <v>3800000</v>
      </c>
      <c r="F31" s="84">
        <f>IF(ISNA(VLOOKUP(B31,'CC -5'!$B$8:$AR$58,36,0)),0,VLOOKUP(B31,'CC -5'!$B$8:$AR$58,36,0)-VLOOKUP(B31,'CC -5'!$B$8:$AR$58,42,0))</f>
        <v>21</v>
      </c>
      <c r="G31" s="131">
        <f t="shared" si="7"/>
        <v>3069231</v>
      </c>
      <c r="H31" s="84">
        <f>IF(ISNA(VLOOKUP(B31,'CC -5'!$B$8:$AR$58,39,0)),0,VLOOKUP(B31,'CC -5'!$B$8:$AR$58,39,0))</f>
        <v>0</v>
      </c>
      <c r="I31" s="131">
        <f t="shared" si="8"/>
        <v>0</v>
      </c>
      <c r="J31" s="84">
        <f>IF(ISNA(VLOOKUP(B31,'CC -5'!$B$8:$AR$58,37,0)),0,(VLOOKUP(B31,'CC -5'!$B$8:$AR$58,37,0)+VLOOKUP(B31,'CC -5'!$B$8:$AR$58,38,0)))</f>
        <v>8</v>
      </c>
      <c r="K31" s="131">
        <f t="shared" si="9"/>
        <v>1169231</v>
      </c>
      <c r="L31" s="35">
        <f t="shared" si="14"/>
        <v>4238462</v>
      </c>
      <c r="M31" s="35">
        <f t="shared" si="10"/>
        <v>0</v>
      </c>
      <c r="N31" s="35">
        <f t="shared" si="11"/>
        <v>323077</v>
      </c>
      <c r="O31" s="35">
        <f>IF(ISNA(VLOOKUP(B31,'CC -5'!$B$9:$AR$58,40,0)),0,IF(VLOOKUP(B31,'CC -5'!$B$9:$AR$58,40,0)="A",100000,IF(VLOOKUP(B31,'CC -5'!$B$9:$AR$58,40,0)="B",75000,IF(VLOOKUP(B31,'CC -5'!$B$9:$AR$58,40,0)="C",50000,0))))</f>
        <v>100000</v>
      </c>
      <c r="P31" s="35">
        <f t="shared" si="12"/>
        <v>0</v>
      </c>
      <c r="Q31" s="83">
        <f>IF(ISNA(VLOOKUP(B31,'CC -5'!$B$9:$AR$58,41,0)),0,(F31+VLOOKUP(B31,'CC -5'!$B$9:$AR$58,41,0))*17000)</f>
        <v>357000</v>
      </c>
      <c r="R31" s="36">
        <f t="shared" si="15"/>
        <v>5018539</v>
      </c>
      <c r="S31" s="36"/>
      <c r="T31" s="35">
        <f t="shared" si="13"/>
        <v>0</v>
      </c>
      <c r="U31" s="40">
        <f t="shared" si="16"/>
        <v>5018539</v>
      </c>
      <c r="V31" s="35"/>
      <c r="W31" s="95"/>
      <c r="X31" s="24"/>
      <c r="Y31" s="5"/>
      <c r="Z31" s="5"/>
      <c r="AA31" s="5"/>
      <c r="AB31" s="4"/>
      <c r="AC31" s="4"/>
      <c r="AD31" s="4"/>
      <c r="AE31" s="4"/>
      <c r="AF31" s="4"/>
    </row>
    <row r="32" spans="1:32" s="32" customFormat="1" ht="24" customHeight="1">
      <c r="A32" s="34">
        <f t="shared" si="17"/>
        <v>5</v>
      </c>
      <c r="B32" s="127" t="s">
        <v>132</v>
      </c>
      <c r="C32" s="82" t="str">
        <f t="shared" si="4"/>
        <v>Lý Thanh Hải</v>
      </c>
      <c r="D32" s="105" t="str">
        <f t="shared" si="5"/>
        <v>Công Đoạn 1</v>
      </c>
      <c r="E32" s="83">
        <f t="shared" si="6"/>
        <v>5550000</v>
      </c>
      <c r="F32" s="84">
        <f>IF(ISNA(VLOOKUP(B32,'CC -5'!$B$8:$AR$58,36,0)),0,VLOOKUP(B32,'CC -5'!$B$8:$AR$58,36,0)-VLOOKUP(B32,'CC -5'!$B$8:$AR$58,42,0))</f>
        <v>21</v>
      </c>
      <c r="G32" s="131">
        <f t="shared" si="7"/>
        <v>4482692</v>
      </c>
      <c r="H32" s="84">
        <f>IF(ISNA(VLOOKUP(B32,'CC -5'!$B$8:$AR$58,39,0)),0,VLOOKUP(B32,'CC -5'!$B$8:$AR$58,39,0))</f>
        <v>0</v>
      </c>
      <c r="I32" s="131">
        <f t="shared" si="8"/>
        <v>0</v>
      </c>
      <c r="J32" s="84">
        <f>IF(ISNA(VLOOKUP(B32,'CC -5'!$B$8:$AR$58,37,0)),0,(VLOOKUP(B32,'CC -5'!$B$8:$AR$58,37,0)+VLOOKUP(B32,'CC -5'!$B$8:$AR$58,38,0)))</f>
        <v>8</v>
      </c>
      <c r="K32" s="131">
        <f t="shared" si="9"/>
        <v>1707692</v>
      </c>
      <c r="L32" s="35">
        <f t="shared" si="14"/>
        <v>6190384</v>
      </c>
      <c r="M32" s="35">
        <f t="shared" si="10"/>
        <v>100000</v>
      </c>
      <c r="N32" s="35">
        <f t="shared" si="11"/>
        <v>323077</v>
      </c>
      <c r="O32" s="35">
        <f>IF(ISNA(VLOOKUP(B32,'CC -5'!$B$9:$AR$58,40,0)),0,IF(VLOOKUP(B32,'CC -5'!$B$9:$AR$58,40,0)="A",100000,IF(VLOOKUP(B32,'CC -5'!$B$9:$AR$58,40,0)="B",75000,IF(VLOOKUP(B32,'CC -5'!$B$9:$AR$58,40,0)="C",50000,0))))</f>
        <v>100000</v>
      </c>
      <c r="P32" s="35">
        <f t="shared" si="12"/>
        <v>0</v>
      </c>
      <c r="Q32" s="83">
        <f>IF(ISNA(VLOOKUP(B32,'CC -5'!$B$9:$AR$58,41,0)),0,(F32+VLOOKUP(B32,'CC -5'!$B$9:$AR$58,41,0))*17000)</f>
        <v>357000</v>
      </c>
      <c r="R32" s="36">
        <f t="shared" si="15"/>
        <v>7070461</v>
      </c>
      <c r="S32" s="36"/>
      <c r="T32" s="35">
        <f t="shared" si="13"/>
        <v>0</v>
      </c>
      <c r="U32" s="40">
        <f t="shared" si="16"/>
        <v>7070461</v>
      </c>
      <c r="V32" s="35"/>
      <c r="W32" s="95"/>
      <c r="X32" s="24"/>
      <c r="Y32" s="5"/>
      <c r="Z32" s="5"/>
      <c r="AA32" s="5"/>
      <c r="AB32" s="4"/>
      <c r="AC32" s="4"/>
      <c r="AD32" s="4"/>
      <c r="AE32" s="4"/>
      <c r="AF32" s="4"/>
    </row>
    <row r="33" spans="1:32" s="32" customFormat="1" ht="24" customHeight="1">
      <c r="A33" s="34">
        <f t="shared" si="17"/>
        <v>6</v>
      </c>
      <c r="B33" s="127" t="s">
        <v>133</v>
      </c>
      <c r="C33" s="82" t="str">
        <f t="shared" si="4"/>
        <v>Danh Sà Phép</v>
      </c>
      <c r="D33" s="105" t="str">
        <f t="shared" si="5"/>
        <v>Công Đoạn 1</v>
      </c>
      <c r="E33" s="83">
        <f t="shared" si="6"/>
        <v>5550000</v>
      </c>
      <c r="F33" s="84">
        <f>IF(ISNA(VLOOKUP(B33,'CC -5'!$B$8:$AR$58,36,0)),0,VLOOKUP(B33,'CC -5'!$B$8:$AR$58,36,0)-VLOOKUP(B33,'CC -5'!$B$8:$AR$58,42,0))</f>
        <v>21</v>
      </c>
      <c r="G33" s="131">
        <f t="shared" si="7"/>
        <v>4482692</v>
      </c>
      <c r="H33" s="84">
        <f>IF(ISNA(VLOOKUP(B33,'CC -5'!$B$8:$AR$58,39,0)),0,VLOOKUP(B33,'CC -5'!$B$8:$AR$58,39,0))</f>
        <v>0</v>
      </c>
      <c r="I33" s="131">
        <f t="shared" si="8"/>
        <v>0</v>
      </c>
      <c r="J33" s="84">
        <f>IF(ISNA(VLOOKUP(B33,'CC -5'!$B$8:$AR$58,37,0)),0,(VLOOKUP(B33,'CC -5'!$B$8:$AR$58,37,0)+VLOOKUP(B33,'CC -5'!$B$8:$AR$58,38,0)))</f>
        <v>8</v>
      </c>
      <c r="K33" s="131">
        <f t="shared" si="9"/>
        <v>1707692</v>
      </c>
      <c r="L33" s="35">
        <f t="shared" si="14"/>
        <v>6190384</v>
      </c>
      <c r="M33" s="35">
        <f t="shared" si="10"/>
        <v>100000</v>
      </c>
      <c r="N33" s="35">
        <f t="shared" si="11"/>
        <v>323077</v>
      </c>
      <c r="O33" s="35">
        <f>IF(ISNA(VLOOKUP(B33,'CC -5'!$B$9:$AR$58,40,0)),0,IF(VLOOKUP(B33,'CC -5'!$B$9:$AR$58,40,0)="A",100000,IF(VLOOKUP(B33,'CC -5'!$B$9:$AR$58,40,0)="B",75000,IF(VLOOKUP(B33,'CC -5'!$B$9:$AR$58,40,0)="C",50000,0))))</f>
        <v>100000</v>
      </c>
      <c r="P33" s="35">
        <f t="shared" si="12"/>
        <v>0</v>
      </c>
      <c r="Q33" s="83">
        <f>IF(ISNA(VLOOKUP(B33,'CC -5'!$B$9:$AR$58,41,0)),0,(F33+VLOOKUP(B33,'CC -5'!$B$9:$AR$58,41,0))*17000)</f>
        <v>357000</v>
      </c>
      <c r="R33" s="36">
        <f t="shared" si="15"/>
        <v>7070461</v>
      </c>
      <c r="S33" s="36"/>
      <c r="T33" s="35">
        <f t="shared" si="13"/>
        <v>0</v>
      </c>
      <c r="U33" s="40">
        <f t="shared" si="16"/>
        <v>7070461</v>
      </c>
      <c r="V33" s="35"/>
      <c r="W33" s="95"/>
      <c r="X33" s="24"/>
      <c r="Y33" s="5"/>
      <c r="Z33" s="5"/>
      <c r="AA33" s="5"/>
      <c r="AB33" s="4"/>
      <c r="AC33" s="4"/>
      <c r="AD33" s="4"/>
      <c r="AE33" s="4"/>
      <c r="AF33" s="4"/>
    </row>
    <row r="34" spans="1:32" s="32" customFormat="1" ht="24" customHeight="1">
      <c r="A34" s="34">
        <f t="shared" si="17"/>
        <v>7</v>
      </c>
      <c r="B34" s="127" t="s">
        <v>134</v>
      </c>
      <c r="C34" s="82" t="str">
        <f t="shared" si="4"/>
        <v>Nguyễn Thị Sự</v>
      </c>
      <c r="D34" s="105" t="str">
        <f t="shared" si="5"/>
        <v>Công Đoạn 1</v>
      </c>
      <c r="E34" s="83">
        <f t="shared" si="6"/>
        <v>5000000</v>
      </c>
      <c r="F34" s="84">
        <f>IF(ISNA(VLOOKUP(B34,'CC -5'!$B$8:$AR$58,36,0)),0,VLOOKUP(B34,'CC -5'!$B$8:$AR$58,36,0)-VLOOKUP(B34,'CC -5'!$B$8:$AR$58,42,0))</f>
        <v>21</v>
      </c>
      <c r="G34" s="131">
        <f t="shared" si="7"/>
        <v>4038462</v>
      </c>
      <c r="H34" s="84">
        <f>IF(ISNA(VLOOKUP(B34,'CC -5'!$B$8:$AR$58,39,0)),0,VLOOKUP(B34,'CC -5'!$B$8:$AR$58,39,0))</f>
        <v>0</v>
      </c>
      <c r="I34" s="131">
        <f t="shared" si="8"/>
        <v>0</v>
      </c>
      <c r="J34" s="84">
        <f>IF(ISNA(VLOOKUP(B34,'CC -5'!$B$8:$AR$58,37,0)),0,(VLOOKUP(B34,'CC -5'!$B$8:$AR$58,37,0)+VLOOKUP(B34,'CC -5'!$B$8:$AR$58,38,0)))</f>
        <v>8</v>
      </c>
      <c r="K34" s="131">
        <f t="shared" si="9"/>
        <v>1538462</v>
      </c>
      <c r="L34" s="35">
        <f t="shared" si="14"/>
        <v>5576924</v>
      </c>
      <c r="M34" s="35">
        <f t="shared" si="10"/>
        <v>100000</v>
      </c>
      <c r="N34" s="35">
        <f t="shared" si="11"/>
        <v>80769</v>
      </c>
      <c r="O34" s="35">
        <f>IF(ISNA(VLOOKUP(B34,'CC -5'!$B$9:$AR$58,40,0)),0,IF(VLOOKUP(B34,'CC -5'!$B$9:$AR$58,40,0)="A",100000,IF(VLOOKUP(B34,'CC -5'!$B$9:$AR$58,40,0)="B",75000,IF(VLOOKUP(B34,'CC -5'!$B$9:$AR$58,40,0)="C",50000,0))))</f>
        <v>100000</v>
      </c>
      <c r="P34" s="35">
        <f t="shared" si="12"/>
        <v>0</v>
      </c>
      <c r="Q34" s="83">
        <f>IF(ISNA(VLOOKUP(B34,'CC -5'!$B$9:$AR$58,41,0)),0,(F34+VLOOKUP(B34,'CC -5'!$B$9:$AR$58,41,0))*17000)</f>
        <v>357000</v>
      </c>
      <c r="R34" s="36">
        <f t="shared" si="15"/>
        <v>6214693</v>
      </c>
      <c r="S34" s="36"/>
      <c r="T34" s="35">
        <f t="shared" si="13"/>
        <v>0</v>
      </c>
      <c r="U34" s="40">
        <f t="shared" si="16"/>
        <v>6214693</v>
      </c>
      <c r="V34" s="35"/>
      <c r="W34" s="95"/>
      <c r="X34" s="24"/>
      <c r="Y34" s="5"/>
      <c r="Z34" s="5"/>
      <c r="AA34" s="5"/>
      <c r="AB34" s="4"/>
      <c r="AC34" s="4"/>
      <c r="AD34" s="4"/>
      <c r="AE34" s="4"/>
      <c r="AF34" s="4"/>
    </row>
    <row r="35" spans="1:32" s="32" customFormat="1" ht="24" customHeight="1">
      <c r="A35" s="34">
        <f t="shared" si="17"/>
        <v>8</v>
      </c>
      <c r="B35" s="127" t="s">
        <v>135</v>
      </c>
      <c r="C35" s="82" t="str">
        <f t="shared" si="4"/>
        <v>Sơn Minh Bảo</v>
      </c>
      <c r="D35" s="105" t="str">
        <f t="shared" si="5"/>
        <v>Công Đoạn 1</v>
      </c>
      <c r="E35" s="83">
        <f t="shared" si="6"/>
        <v>3000000</v>
      </c>
      <c r="F35" s="84">
        <f>IF(ISNA(VLOOKUP(B35,'CC -5'!$B$8:$AR$58,36,0)),0,VLOOKUP(B35,'CC -5'!$B$8:$AR$58,36,0)-VLOOKUP(B35,'CC -5'!$B$8:$AR$58,42,0))</f>
        <v>21</v>
      </c>
      <c r="G35" s="131">
        <f t="shared" si="7"/>
        <v>2423077</v>
      </c>
      <c r="H35" s="84">
        <f>IF(ISNA(VLOOKUP(B35,'CC -5'!$B$8:$AR$58,39,0)),0,VLOOKUP(B35,'CC -5'!$B$8:$AR$58,39,0))</f>
        <v>0</v>
      </c>
      <c r="I35" s="131">
        <f t="shared" si="8"/>
        <v>0</v>
      </c>
      <c r="J35" s="84">
        <f>IF(ISNA(VLOOKUP(B35,'CC -5'!$B$8:$AR$58,37,0)),0,(VLOOKUP(B35,'CC -5'!$B$8:$AR$58,37,0)+VLOOKUP(B35,'CC -5'!$B$8:$AR$58,38,0)))</f>
        <v>8</v>
      </c>
      <c r="K35" s="131">
        <f t="shared" si="9"/>
        <v>923077</v>
      </c>
      <c r="L35" s="35">
        <f t="shared" si="14"/>
        <v>3346154</v>
      </c>
      <c r="M35" s="35">
        <f t="shared" si="10"/>
        <v>0</v>
      </c>
      <c r="N35" s="35">
        <f t="shared" si="11"/>
        <v>323077</v>
      </c>
      <c r="O35" s="35">
        <f>IF(ISNA(VLOOKUP(B35,'CC -5'!$B$9:$AR$58,40,0)),0,IF(VLOOKUP(B35,'CC -5'!$B$9:$AR$58,40,0)="A",100000,IF(VLOOKUP(B35,'CC -5'!$B$9:$AR$58,40,0)="B",75000,IF(VLOOKUP(B35,'CC -5'!$B$9:$AR$58,40,0)="C",50000,0))))</f>
        <v>100000</v>
      </c>
      <c r="P35" s="35">
        <f t="shared" si="12"/>
        <v>0</v>
      </c>
      <c r="Q35" s="83">
        <f>IF(ISNA(VLOOKUP(B35,'CC -5'!$B$9:$AR$58,41,0)),0,(F35+VLOOKUP(B35,'CC -5'!$B$9:$AR$58,41,0))*17000)</f>
        <v>357000</v>
      </c>
      <c r="R35" s="36">
        <f t="shared" si="15"/>
        <v>4126231</v>
      </c>
      <c r="S35" s="36"/>
      <c r="T35" s="35">
        <f t="shared" si="13"/>
        <v>0</v>
      </c>
      <c r="U35" s="40">
        <f t="shared" si="16"/>
        <v>4126231</v>
      </c>
      <c r="V35" s="35"/>
      <c r="W35" s="95"/>
      <c r="X35" s="24"/>
      <c r="Y35" s="5"/>
      <c r="Z35" s="5"/>
      <c r="AA35" s="5"/>
      <c r="AB35" s="4"/>
      <c r="AC35" s="4"/>
      <c r="AD35" s="4"/>
      <c r="AE35" s="4"/>
      <c r="AF35" s="4"/>
    </row>
    <row r="36" spans="1:32" s="32" customFormat="1" ht="24" customHeight="1">
      <c r="A36" s="34">
        <f t="shared" si="17"/>
        <v>9</v>
      </c>
      <c r="B36" s="127" t="s">
        <v>136</v>
      </c>
      <c r="C36" s="82" t="str">
        <f t="shared" si="4"/>
        <v>Nguyễn Trung Nghị</v>
      </c>
      <c r="D36" s="105" t="str">
        <f t="shared" si="5"/>
        <v>Công Đoạn 1</v>
      </c>
      <c r="E36" s="83">
        <f t="shared" si="6"/>
        <v>3200000</v>
      </c>
      <c r="F36" s="84">
        <f>IF(ISNA(VLOOKUP(B36,'CC -5'!$B$8:$AR$58,36,0)),0,VLOOKUP(B36,'CC -5'!$B$8:$AR$58,36,0)-VLOOKUP(B36,'CC -5'!$B$8:$AR$58,42,0))</f>
        <v>21</v>
      </c>
      <c r="G36" s="131">
        <f t="shared" si="7"/>
        <v>2584615</v>
      </c>
      <c r="H36" s="84">
        <f>IF(ISNA(VLOOKUP(B36,'CC -5'!$B$8:$AR$58,39,0)),0,VLOOKUP(B36,'CC -5'!$B$8:$AR$58,39,0))</f>
        <v>0</v>
      </c>
      <c r="I36" s="131">
        <f t="shared" si="8"/>
        <v>0</v>
      </c>
      <c r="J36" s="84">
        <f>IF(ISNA(VLOOKUP(B36,'CC -5'!$B$8:$AR$58,37,0)),0,(VLOOKUP(B36,'CC -5'!$B$8:$AR$58,37,0)+VLOOKUP(B36,'CC -5'!$B$8:$AR$58,38,0)))</f>
        <v>8</v>
      </c>
      <c r="K36" s="131">
        <f t="shared" si="9"/>
        <v>984615</v>
      </c>
      <c r="L36" s="35">
        <f t="shared" si="14"/>
        <v>3569230</v>
      </c>
      <c r="M36" s="35">
        <f t="shared" si="10"/>
        <v>0</v>
      </c>
      <c r="N36" s="35">
        <f t="shared" si="11"/>
        <v>323077</v>
      </c>
      <c r="O36" s="35">
        <f>IF(ISNA(VLOOKUP(B36,'CC -5'!$B$9:$AR$58,40,0)),0,IF(VLOOKUP(B36,'CC -5'!$B$9:$AR$58,40,0)="A",100000,IF(VLOOKUP(B36,'CC -5'!$B$9:$AR$58,40,0)="B",75000,IF(VLOOKUP(B36,'CC -5'!$B$9:$AR$58,40,0)="C",50000,0))))</f>
        <v>100000</v>
      </c>
      <c r="P36" s="35">
        <f t="shared" si="12"/>
        <v>0</v>
      </c>
      <c r="Q36" s="83">
        <f>IF(ISNA(VLOOKUP(B36,'CC -5'!$B$9:$AR$58,41,0)),0,(F36+VLOOKUP(B36,'CC -5'!$B$9:$AR$58,41,0))*17000)</f>
        <v>357000</v>
      </c>
      <c r="R36" s="36">
        <f t="shared" si="15"/>
        <v>4349307</v>
      </c>
      <c r="S36" s="36"/>
      <c r="T36" s="35">
        <f t="shared" si="13"/>
        <v>0</v>
      </c>
      <c r="U36" s="40">
        <f t="shared" si="16"/>
        <v>4349307</v>
      </c>
      <c r="V36" s="35"/>
      <c r="W36" s="95"/>
      <c r="X36" s="24"/>
      <c r="Y36" s="5"/>
      <c r="Z36" s="5"/>
      <c r="AA36" s="5"/>
      <c r="AB36" s="4"/>
      <c r="AC36" s="4"/>
      <c r="AD36" s="4"/>
      <c r="AE36" s="4"/>
      <c r="AF36" s="4"/>
    </row>
    <row r="37" spans="1:32" s="32" customFormat="1" ht="22.5" customHeight="1">
      <c r="A37" s="37"/>
      <c r="B37" s="166"/>
      <c r="C37" s="38"/>
      <c r="D37" s="3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165"/>
      <c r="S37" s="39"/>
      <c r="T37" s="39"/>
      <c r="U37" s="39"/>
      <c r="V37" s="35"/>
      <c r="W37" s="95"/>
      <c r="X37" s="33"/>
      <c r="Y37" s="33"/>
      <c r="Z37" s="33"/>
      <c r="AA37" s="33"/>
    </row>
    <row r="38" spans="1:32" s="28" customFormat="1" ht="21" customHeight="1">
      <c r="A38" s="291" t="s">
        <v>20</v>
      </c>
      <c r="B38" s="291"/>
      <c r="C38" s="291"/>
      <c r="D38" s="291"/>
      <c r="E38" s="126">
        <f>SUM(E27:E37)</f>
        <v>42100000</v>
      </c>
      <c r="F38" s="126"/>
      <c r="G38" s="126">
        <f t="shared" ref="G38" si="18">SUM(G27:G37)</f>
        <v>34003845</v>
      </c>
      <c r="H38" s="126"/>
      <c r="I38" s="126">
        <f t="shared" ref="I38:K38" si="19">SUM(I27:I37)</f>
        <v>0</v>
      </c>
      <c r="J38" s="126"/>
      <c r="K38" s="126">
        <f t="shared" si="19"/>
        <v>12953845</v>
      </c>
      <c r="L38" s="126">
        <f t="shared" ref="L38:U38" si="20">SUM(L27:L37)</f>
        <v>46957690</v>
      </c>
      <c r="M38" s="126"/>
      <c r="N38" s="126"/>
      <c r="O38" s="126"/>
      <c r="P38" s="126"/>
      <c r="Q38" s="126">
        <f t="shared" si="20"/>
        <v>3213000</v>
      </c>
      <c r="R38" s="126">
        <f t="shared" si="20"/>
        <v>54674536</v>
      </c>
      <c r="S38" s="126"/>
      <c r="T38" s="126">
        <f t="shared" si="20"/>
        <v>0</v>
      </c>
      <c r="U38" s="126">
        <f t="shared" si="20"/>
        <v>54674536</v>
      </c>
      <c r="V38" s="22"/>
      <c r="W38" s="95"/>
      <c r="X38" s="29"/>
      <c r="Y38" s="29"/>
      <c r="Z38" s="29"/>
      <c r="AA38" s="29"/>
    </row>
    <row r="39" spans="1:32" s="78" customFormat="1" ht="24" customHeight="1">
      <c r="A39" s="169" t="s">
        <v>149</v>
      </c>
      <c r="B39" s="168" t="s">
        <v>147</v>
      </c>
      <c r="C39" s="167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95"/>
      <c r="X39" s="79"/>
      <c r="Y39" s="80"/>
      <c r="Z39" s="80"/>
      <c r="AA39" s="80"/>
      <c r="AB39" s="81"/>
      <c r="AC39" s="81"/>
      <c r="AD39" s="81"/>
      <c r="AE39" s="81"/>
      <c r="AF39" s="81"/>
    </row>
    <row r="40" spans="1:32" s="32" customFormat="1" ht="24" customHeight="1">
      <c r="A40" s="34">
        <v>1</v>
      </c>
      <c r="B40" s="127" t="s">
        <v>137</v>
      </c>
      <c r="C40" s="82" t="str">
        <f>IF(ISNA(VLOOKUP(B40,DS,2,0)),"",VLOOKUP(B40,DS,2,0))</f>
        <v>Võ Văn Kiệt</v>
      </c>
      <c r="D40" s="105" t="str">
        <f>IF(ISNA(VLOOKUP(B40,DS,3,0)),"",IF(VLOOKUP(B40,DS,3,0)="","",VLOOKUP(B40,DS,3,0)))</f>
        <v>Công Đoạn 2</v>
      </c>
      <c r="E40" s="83">
        <f>IF(ISNA(VLOOKUP(B40,DS,4,0)),0,VLOOKUP(B40,DS,4,0))</f>
        <v>8100000</v>
      </c>
      <c r="F40" s="84">
        <f>IF(ISNA(VLOOKUP(B40,'CC -5'!$B$8:$AR$58,36,0)),0,VLOOKUP(B40,'CC -5'!$B$8:$AR$58,36,0)-VLOOKUP(B40,'CC -5'!$B$8:$AR$58,42,0))</f>
        <v>21</v>
      </c>
      <c r="G40" s="131">
        <f>ROUND(E40/$W$2*F40,0)</f>
        <v>6542308</v>
      </c>
      <c r="H40" s="84">
        <f>IF(ISNA(VLOOKUP(B40,'CC -5'!$B$8:$AR$58,39,0)),0,VLOOKUP(B40,'CC -5'!$B$8:$AR$58,39,0))</f>
        <v>0</v>
      </c>
      <c r="I40" s="131">
        <f>ROUND(E40/$W$2*H40,0)*60%</f>
        <v>0</v>
      </c>
      <c r="J40" s="84">
        <f>IF(ISNA(VLOOKUP(B40,'CC -5'!$B$8:$AR$58,37,0)),0,(VLOOKUP(B40,'CC -5'!$B$8:$AR$58,37,0)+VLOOKUP(B40,'CC -5'!$B$8:$AR$58,38,0)))</f>
        <v>8</v>
      </c>
      <c r="K40" s="131">
        <f>ROUND(E40/$W$2*J40,0)</f>
        <v>2492308</v>
      </c>
      <c r="L40" s="35">
        <f>G40+K40</f>
        <v>9034616</v>
      </c>
      <c r="M40" s="35">
        <f>IF(ISNA(VLOOKUP(B40,DS,6,0)),0,VLOOKUP(B40,DS,6,0)+VLOOKUP(B40,DS,7,0))</f>
        <v>700000</v>
      </c>
      <c r="N40" s="35"/>
      <c r="O40" s="35">
        <f>IF(ISNA(VLOOKUP(B40,'CC -5'!$B$9:$AR$58,40,0)),0,IF(VLOOKUP(B40,'CC -5'!$B$9:$AR$58,40,0)="A",100000,IF(VLOOKUP(B40,'CC -5'!$B$9:$AR$58,40,0)="B",75000,IF(VLOOKUP(B40,'CC -5'!$B$9:$AR$58,40,0)="C",50000,0))))</f>
        <v>100000</v>
      </c>
      <c r="P40" s="35">
        <f>IF(ISNA(VLOOKUP(B40,DS,9,0)),0,IF(F40+H40=$W$2,VLOOKUP(B40,DS,9,0),0))</f>
        <v>0</v>
      </c>
      <c r="Q40" s="83">
        <f>IF(ISNA(VLOOKUP(B40,'CC -5'!$B$9:$AR$58,41,0)),0,(F40+VLOOKUP(B40,'CC -5'!$B$9:$AR$58,41,0))*17000)</f>
        <v>357000</v>
      </c>
      <c r="R40" s="36">
        <f>SUM(L40:Q40)</f>
        <v>10191616</v>
      </c>
      <c r="S40" s="36"/>
      <c r="T40" s="35">
        <f>IF(ISNA(VLOOKUP(C40,DS_,4,0)),0,VLOOKUP(C40,DS_,4,0))</f>
        <v>0</v>
      </c>
      <c r="U40" s="40">
        <f t="shared" ref="U40:U44" si="21">R40-S40-T40</f>
        <v>10191616</v>
      </c>
      <c r="V40" s="35"/>
      <c r="W40" s="95"/>
      <c r="X40" s="24"/>
      <c r="Y40" s="5"/>
      <c r="Z40" s="5"/>
      <c r="AA40" s="5"/>
      <c r="AB40" s="4"/>
      <c r="AC40" s="4"/>
      <c r="AD40" s="4"/>
      <c r="AE40" s="4"/>
      <c r="AF40" s="4"/>
    </row>
    <row r="41" spans="1:32" s="32" customFormat="1" ht="24" customHeight="1">
      <c r="A41" s="34">
        <f>IF(C41&lt;&gt;"",A40+1,"")</f>
        <v>2</v>
      </c>
      <c r="B41" s="127" t="s">
        <v>138</v>
      </c>
      <c r="C41" s="82" t="str">
        <f>IF(ISNA(VLOOKUP(B41,DS,2,0)),"",VLOOKUP(B41,DS,2,0))</f>
        <v>Huỳnh Văn Út</v>
      </c>
      <c r="D41" s="105" t="str">
        <f>IF(ISNA(VLOOKUP(B41,DS,3,0)),"",IF(VLOOKUP(B41,DS,3,0)="","",VLOOKUP(B41,DS,3,0)))</f>
        <v>Công Đoạn 2</v>
      </c>
      <c r="E41" s="83">
        <f>IF(ISNA(VLOOKUP(B41,DS,4,0)),0,VLOOKUP(B41,DS,4,0))</f>
        <v>5650000</v>
      </c>
      <c r="F41" s="84">
        <f>IF(ISNA(VLOOKUP(B41,'CC -5'!$B$8:$AR$58,36,0)),0,VLOOKUP(B41,'CC -5'!$B$8:$AR$58,36,0)-VLOOKUP(B41,'CC -5'!$B$8:$AR$58,42,0))</f>
        <v>21</v>
      </c>
      <c r="G41" s="131">
        <f>ROUND(E41/$W$2*F41,0)</f>
        <v>4563462</v>
      </c>
      <c r="H41" s="84">
        <f>IF(ISNA(VLOOKUP(B41,'CC -5'!$B$8:$AR$58,39,0)),0,VLOOKUP(B41,'CC -5'!$B$8:$AR$58,39,0))</f>
        <v>0</v>
      </c>
      <c r="I41" s="131">
        <f>ROUND(E41/$W$2*H41,0)*60%</f>
        <v>0</v>
      </c>
      <c r="J41" s="84">
        <f>IF(ISNA(VLOOKUP(B41,'CC -5'!$B$8:$AR$58,37,0)),0,(VLOOKUP(B41,'CC -5'!$B$8:$AR$58,37,0)+VLOOKUP(B41,'CC -5'!$B$8:$AR$58,38,0)))</f>
        <v>8</v>
      </c>
      <c r="K41" s="131">
        <f>ROUND(E41/$W$2*J41,0)</f>
        <v>1738462</v>
      </c>
      <c r="L41" s="35">
        <f>G41+K41</f>
        <v>6301924</v>
      </c>
      <c r="M41" s="35">
        <f>IF(ISNA(VLOOKUP(B41,DS,6,0)),0,VLOOKUP(B41,DS,6,0)+VLOOKUP(B41,DS,7,0))</f>
        <v>0</v>
      </c>
      <c r="N41" s="35"/>
      <c r="O41" s="35">
        <f>IF(ISNA(VLOOKUP(B41,'CC -5'!$B$9:$AR$58,40,0)),0,IF(VLOOKUP(B41,'CC -5'!$B$9:$AR$58,40,0)="A",100000,IF(VLOOKUP(B41,'CC -5'!$B$9:$AR$58,40,0)="B",75000,IF(VLOOKUP(B41,'CC -5'!$B$9:$AR$58,40,0)="C",50000,0))))</f>
        <v>100000</v>
      </c>
      <c r="P41" s="35">
        <f>IF(ISNA(VLOOKUP(B41,DS,9,0)),0,IF(F41+H41=$W$2,VLOOKUP(B41,DS,9,0),0))</f>
        <v>0</v>
      </c>
      <c r="Q41" s="83">
        <f>IF(ISNA(VLOOKUP(B41,'CC -5'!$B$9:$AR$58,41,0)),0,(F41+VLOOKUP(B41,'CC -5'!$B$9:$AR$58,41,0))*17000)</f>
        <v>357000</v>
      </c>
      <c r="R41" s="36">
        <f t="shared" ref="R41:R44" si="22">SUM(L41:Q41)</f>
        <v>6758924</v>
      </c>
      <c r="S41" s="36"/>
      <c r="T41" s="35">
        <f>IF(ISNA(VLOOKUP(C41,DS_,4,0)),0,VLOOKUP(C41,DS_,4,0))</f>
        <v>0</v>
      </c>
      <c r="U41" s="40">
        <f t="shared" si="21"/>
        <v>6758924</v>
      </c>
      <c r="V41" s="35"/>
      <c r="W41" s="95"/>
      <c r="X41" s="24"/>
      <c r="Y41" s="5"/>
      <c r="Z41" s="5"/>
      <c r="AA41" s="5"/>
      <c r="AB41" s="4"/>
      <c r="AC41" s="4"/>
      <c r="AD41" s="4"/>
      <c r="AE41" s="4"/>
      <c r="AF41" s="4"/>
    </row>
    <row r="42" spans="1:32" s="32" customFormat="1" ht="24" customHeight="1">
      <c r="A42" s="34">
        <f>IF(C42&lt;&gt;"",A41+1,"")</f>
        <v>3</v>
      </c>
      <c r="B42" s="127" t="s">
        <v>139</v>
      </c>
      <c r="C42" s="82" t="str">
        <f>IF(ISNA(VLOOKUP(B42,DS,2,0)),"",VLOOKUP(B42,DS,2,0))</f>
        <v>Dương Thế Kiệt</v>
      </c>
      <c r="D42" s="105" t="str">
        <f>IF(ISNA(VLOOKUP(B42,DS,3,0)),"",IF(VLOOKUP(B42,DS,3,0)="","",VLOOKUP(B42,DS,3,0)))</f>
        <v>Công Đoạn 2</v>
      </c>
      <c r="E42" s="83">
        <f>IF(ISNA(VLOOKUP(B42,DS,4,0)),0,VLOOKUP(B42,DS,4,0))</f>
        <v>3500000</v>
      </c>
      <c r="F42" s="84">
        <f>IF(ISNA(VLOOKUP(B42,'CC -5'!$B$8:$AR$58,36,0)),0,VLOOKUP(B42,'CC -5'!$B$8:$AR$58,36,0)-VLOOKUP(B42,'CC -5'!$B$8:$AR$58,42,0))</f>
        <v>21</v>
      </c>
      <c r="G42" s="131">
        <f>ROUND(E42/$W$2*F42,0)</f>
        <v>2826923</v>
      </c>
      <c r="H42" s="84">
        <f>IF(ISNA(VLOOKUP(B42,'CC -5'!$B$8:$AR$58,39,0)),0,VLOOKUP(B42,'CC -5'!$B$8:$AR$58,39,0))</f>
        <v>0</v>
      </c>
      <c r="I42" s="131">
        <f>ROUND(E42/$W$2*H42,0)*60%</f>
        <v>0</v>
      </c>
      <c r="J42" s="84">
        <f>IF(ISNA(VLOOKUP(B42,'CC -5'!$B$8:$AR$58,37,0)),0,(VLOOKUP(B42,'CC -5'!$B$8:$AR$58,37,0)+VLOOKUP(B42,'CC -5'!$B$8:$AR$58,38,0)))</f>
        <v>8</v>
      </c>
      <c r="K42" s="131">
        <f>ROUND(E42/$W$2*J42,0)</f>
        <v>1076923</v>
      </c>
      <c r="L42" s="35">
        <f>G42+K42</f>
        <v>3903846</v>
      </c>
      <c r="M42" s="35">
        <f>IF(ISNA(VLOOKUP(B42,DS,6,0)),0,VLOOKUP(B42,DS,6,0)+VLOOKUP(B42,DS,7,0))</f>
        <v>100000</v>
      </c>
      <c r="N42" s="35"/>
      <c r="O42" s="35">
        <f>IF(ISNA(VLOOKUP(B42,'CC -5'!$B$9:$AR$58,40,0)),0,IF(VLOOKUP(B42,'CC -5'!$B$9:$AR$58,40,0)="A",100000,IF(VLOOKUP(B42,'CC -5'!$B$9:$AR$58,40,0)="B",75000,IF(VLOOKUP(B42,'CC -5'!$B$9:$AR$58,40,0)="C",50000,0))))</f>
        <v>100000</v>
      </c>
      <c r="P42" s="35">
        <f>IF(ISNA(VLOOKUP(B42,DS,9,0)),0,IF(F42+H42=$W$2,VLOOKUP(B42,DS,9,0),0))</f>
        <v>0</v>
      </c>
      <c r="Q42" s="83">
        <f>IF(ISNA(VLOOKUP(B42,'CC -5'!$B$9:$AR$58,41,0)),0,(F42+VLOOKUP(B42,'CC -5'!$B$9:$AR$58,41,0))*17000)</f>
        <v>357000</v>
      </c>
      <c r="R42" s="36">
        <f t="shared" si="22"/>
        <v>4460846</v>
      </c>
      <c r="S42" s="36"/>
      <c r="T42" s="35">
        <f>IF(ISNA(VLOOKUP(C42,DS_,4,0)),0,VLOOKUP(C42,DS_,4,0))</f>
        <v>0</v>
      </c>
      <c r="U42" s="40">
        <f t="shared" si="21"/>
        <v>4460846</v>
      </c>
      <c r="V42" s="35"/>
      <c r="W42" s="95"/>
      <c r="X42" s="24"/>
      <c r="Y42" s="5"/>
      <c r="Z42" s="5"/>
      <c r="AA42" s="5"/>
      <c r="AB42" s="4"/>
      <c r="AC42" s="4"/>
      <c r="AD42" s="4"/>
      <c r="AE42" s="4"/>
      <c r="AF42" s="4"/>
    </row>
    <row r="43" spans="1:32" s="32" customFormat="1" ht="24" customHeight="1">
      <c r="A43" s="34">
        <f t="shared" ref="A43:A44" si="23">IF(C43&lt;&gt;"",A42+1,"")</f>
        <v>4</v>
      </c>
      <c r="B43" s="127" t="s">
        <v>140</v>
      </c>
      <c r="C43" s="82" t="str">
        <f>IF(ISNA(VLOOKUP(B43,DS,2,0)),"",VLOOKUP(B43,DS,2,0))</f>
        <v>Bùi Chí Long</v>
      </c>
      <c r="D43" s="105" t="str">
        <f>IF(ISNA(VLOOKUP(B43,DS,3,0)),"",IF(VLOOKUP(B43,DS,3,0)="","",VLOOKUP(B43,DS,3,0)))</f>
        <v>Công Đoạn 2</v>
      </c>
      <c r="E43" s="83">
        <f>IF(ISNA(VLOOKUP(B43,DS,4,0)),0,VLOOKUP(B43,DS,4,0))</f>
        <v>4000000</v>
      </c>
      <c r="F43" s="84">
        <f>IF(ISNA(VLOOKUP(B43,'CC -5'!$B$8:$AR$58,36,0)),0,VLOOKUP(B43,'CC -5'!$B$8:$AR$58,36,0)-VLOOKUP(B43,'CC -5'!$B$8:$AR$58,42,0))</f>
        <v>21</v>
      </c>
      <c r="G43" s="131">
        <f>ROUND(E43/$W$2*F43,0)</f>
        <v>3230769</v>
      </c>
      <c r="H43" s="84">
        <f>IF(ISNA(VLOOKUP(B43,'CC -5'!$B$8:$AR$58,39,0)),0,VLOOKUP(B43,'CC -5'!$B$8:$AR$58,39,0))</f>
        <v>0</v>
      </c>
      <c r="I43" s="131">
        <f>ROUND(E43/$W$2*H43,0)*60%</f>
        <v>0</v>
      </c>
      <c r="J43" s="84">
        <f>IF(ISNA(VLOOKUP(B43,'CC -5'!$B$8:$AR$58,37,0)),0,(VLOOKUP(B43,'CC -5'!$B$8:$AR$58,37,0)+VLOOKUP(B43,'CC -5'!$B$8:$AR$58,38,0)))</f>
        <v>8</v>
      </c>
      <c r="K43" s="131">
        <f>ROUND(E43/$W$2*J43,0)</f>
        <v>1230769</v>
      </c>
      <c r="L43" s="35">
        <f>G43+K43</f>
        <v>4461538</v>
      </c>
      <c r="M43" s="35">
        <f>IF(ISNA(VLOOKUP(B43,DS,6,0)),0,VLOOKUP(B43,DS,6,0)+VLOOKUP(B43,DS,7,0))</f>
        <v>0</v>
      </c>
      <c r="N43" s="35"/>
      <c r="O43" s="35">
        <f>IF(ISNA(VLOOKUP(B43,'CC -5'!$B$9:$AR$58,40,0)),0,IF(VLOOKUP(B43,'CC -5'!$B$9:$AR$58,40,0)="A",100000,IF(VLOOKUP(B43,'CC -5'!$B$9:$AR$58,40,0)="B",75000,IF(VLOOKUP(B43,'CC -5'!$B$9:$AR$58,40,0)="C",50000,0))))</f>
        <v>100000</v>
      </c>
      <c r="P43" s="35">
        <f>IF(ISNA(VLOOKUP(B43,DS,9,0)),0,IF(F43+H43=$W$2,VLOOKUP(B43,DS,9,0),0))</f>
        <v>0</v>
      </c>
      <c r="Q43" s="83">
        <f>IF(ISNA(VLOOKUP(B43,'CC -5'!$B$9:$AR$58,41,0)),0,(F43+VLOOKUP(B43,'CC -5'!$B$9:$AR$58,41,0))*17000)</f>
        <v>357000</v>
      </c>
      <c r="R43" s="36">
        <f t="shared" si="22"/>
        <v>4918538</v>
      </c>
      <c r="S43" s="36"/>
      <c r="T43" s="35">
        <f>IF(ISNA(VLOOKUP(C43,DS_,4,0)),0,VLOOKUP(C43,DS_,4,0))</f>
        <v>0</v>
      </c>
      <c r="U43" s="40">
        <f t="shared" si="21"/>
        <v>4918538</v>
      </c>
      <c r="V43" s="35"/>
      <c r="W43" s="95"/>
      <c r="X43" s="24"/>
      <c r="Y43" s="5"/>
      <c r="Z43" s="5"/>
      <c r="AA43" s="5"/>
      <c r="AB43" s="4"/>
      <c r="AC43" s="4"/>
      <c r="AD43" s="4"/>
      <c r="AE43" s="4"/>
      <c r="AF43" s="4"/>
    </row>
    <row r="44" spans="1:32" s="32" customFormat="1" ht="24" customHeight="1">
      <c r="A44" s="34">
        <f t="shared" si="23"/>
        <v>5</v>
      </c>
      <c r="B44" s="127" t="s">
        <v>141</v>
      </c>
      <c r="C44" s="82" t="str">
        <f>IF(ISNA(VLOOKUP(B44,DS,2,0)),"",VLOOKUP(B44,DS,2,0))</f>
        <v>Phạm Hiếu Phụng</v>
      </c>
      <c r="D44" s="105" t="str">
        <f>IF(ISNA(VLOOKUP(B44,DS,3,0)),"",IF(VLOOKUP(B44,DS,3,0)="","",VLOOKUP(B44,DS,3,0)))</f>
        <v>Công Đoạn 2</v>
      </c>
      <c r="E44" s="83">
        <f>IF(ISNA(VLOOKUP(B44,DS,4,0)),0,VLOOKUP(B44,DS,4,0))</f>
        <v>3500000</v>
      </c>
      <c r="F44" s="84">
        <f>IF(ISNA(VLOOKUP(B44,'CC -5'!$B$8:$AR$58,36,0)),0,VLOOKUP(B44,'CC -5'!$B$8:$AR$58,36,0)-VLOOKUP(B44,'CC -5'!$B$8:$AR$58,42,0))</f>
        <v>21</v>
      </c>
      <c r="G44" s="131">
        <f>ROUND(E44/$W$2*F44,0)</f>
        <v>2826923</v>
      </c>
      <c r="H44" s="84">
        <f>IF(ISNA(VLOOKUP(B44,'CC -5'!$B$8:$AR$58,39,0)),0,VLOOKUP(B44,'CC -5'!$B$8:$AR$58,39,0))</f>
        <v>0</v>
      </c>
      <c r="I44" s="131">
        <f>ROUND(E44/$W$2*H44,0)*60%</f>
        <v>0</v>
      </c>
      <c r="J44" s="84">
        <f>IF(ISNA(VLOOKUP(B44,'CC -5'!$B$8:$AR$58,37,0)),0,(VLOOKUP(B44,'CC -5'!$B$8:$AR$58,37,0)+VLOOKUP(B44,'CC -5'!$B$8:$AR$58,38,0)))</f>
        <v>8</v>
      </c>
      <c r="K44" s="131">
        <f>ROUND(E44/$W$2*J44,0)</f>
        <v>1076923</v>
      </c>
      <c r="L44" s="35">
        <f>G44+K44</f>
        <v>3903846</v>
      </c>
      <c r="M44" s="35">
        <f>IF(ISNA(VLOOKUP(B44,DS,6,0)),0,VLOOKUP(B44,DS,6,0)+VLOOKUP(B44,DS,7,0))</f>
        <v>0</v>
      </c>
      <c r="N44" s="35"/>
      <c r="O44" s="35">
        <f>IF(ISNA(VLOOKUP(B44,'CC -5'!$B$9:$AR$58,40,0)),0,IF(VLOOKUP(B44,'CC -5'!$B$9:$AR$58,40,0)="A",100000,IF(VLOOKUP(B44,'CC -5'!$B$9:$AR$58,40,0)="B",75000,IF(VLOOKUP(B44,'CC -5'!$B$9:$AR$58,40,0)="C",50000,0))))</f>
        <v>100000</v>
      </c>
      <c r="P44" s="35">
        <f>IF(ISNA(VLOOKUP(B44,DS,9,0)),0,IF(F44+H44=$W$2,VLOOKUP(B44,DS,9,0),0))</f>
        <v>0</v>
      </c>
      <c r="Q44" s="83">
        <f>IF(ISNA(VLOOKUP(B44,'CC -5'!$B$9:$AR$58,41,0)),0,(F44+VLOOKUP(B44,'CC -5'!$B$9:$AR$58,41,0))*17000)</f>
        <v>357000</v>
      </c>
      <c r="R44" s="36">
        <f t="shared" si="22"/>
        <v>4360846</v>
      </c>
      <c r="S44" s="36"/>
      <c r="T44" s="35">
        <f>IF(ISNA(VLOOKUP(C44,DS_,4,0)),0,VLOOKUP(C44,DS_,4,0))</f>
        <v>0</v>
      </c>
      <c r="U44" s="40">
        <f t="shared" si="21"/>
        <v>4360846</v>
      </c>
      <c r="V44" s="35"/>
      <c r="W44" s="95"/>
      <c r="X44" s="24"/>
      <c r="Y44" s="5"/>
      <c r="Z44" s="5"/>
      <c r="AA44" s="5"/>
      <c r="AB44" s="4"/>
      <c r="AC44" s="4"/>
      <c r="AD44" s="4"/>
      <c r="AE44" s="4"/>
      <c r="AF44" s="4"/>
    </row>
    <row r="45" spans="1:32" s="32" customFormat="1" ht="22.5" customHeight="1">
      <c r="A45" s="37"/>
      <c r="B45" s="166"/>
      <c r="C45" s="38"/>
      <c r="D45" s="3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165"/>
      <c r="S45" s="39"/>
      <c r="T45" s="39"/>
      <c r="U45" s="39"/>
      <c r="V45" s="35"/>
      <c r="W45" s="95"/>
      <c r="X45" s="33"/>
      <c r="Y45" s="33"/>
      <c r="Z45" s="33"/>
      <c r="AA45" s="33"/>
    </row>
    <row r="46" spans="1:32" s="28" customFormat="1" ht="21" customHeight="1">
      <c r="A46" s="291" t="s">
        <v>20</v>
      </c>
      <c r="B46" s="291"/>
      <c r="C46" s="291"/>
      <c r="D46" s="291"/>
      <c r="E46" s="126">
        <f>SUM(E39:E45)</f>
        <v>24750000</v>
      </c>
      <c r="F46" s="126"/>
      <c r="G46" s="126">
        <f t="shared" ref="G46:U46" si="24">SUM(G39:G45)</f>
        <v>19990385</v>
      </c>
      <c r="H46" s="126"/>
      <c r="I46" s="126">
        <f t="shared" ref="I46" si="25">SUM(I39:I45)</f>
        <v>0</v>
      </c>
      <c r="J46" s="126"/>
      <c r="K46" s="126">
        <f t="shared" si="24"/>
        <v>7615385</v>
      </c>
      <c r="L46" s="126">
        <f t="shared" si="24"/>
        <v>27605770</v>
      </c>
      <c r="M46" s="126"/>
      <c r="N46" s="126"/>
      <c r="O46" s="126"/>
      <c r="P46" s="126"/>
      <c r="Q46" s="126">
        <f t="shared" si="24"/>
        <v>1785000</v>
      </c>
      <c r="R46" s="126">
        <f t="shared" si="24"/>
        <v>30690770</v>
      </c>
      <c r="S46" s="126"/>
      <c r="T46" s="126">
        <f t="shared" si="24"/>
        <v>0</v>
      </c>
      <c r="U46" s="126">
        <f t="shared" si="24"/>
        <v>30690770</v>
      </c>
      <c r="V46" s="22"/>
      <c r="W46" s="95"/>
      <c r="X46" s="29"/>
      <c r="Y46" s="29"/>
      <c r="Z46" s="29"/>
      <c r="AA46" s="29"/>
    </row>
    <row r="47" spans="1:32" ht="11.25" customHeight="1">
      <c r="A47" s="8"/>
      <c r="B47" s="8"/>
      <c r="C47" s="9"/>
      <c r="D47" s="106"/>
      <c r="E47" s="85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3"/>
      <c r="S47" s="9"/>
      <c r="T47" s="9"/>
      <c r="U47" s="9"/>
      <c r="V47" s="9"/>
      <c r="W47" s="95"/>
    </row>
    <row r="48" spans="1:32" s="32" customFormat="1" ht="11.25" customHeight="1">
      <c r="A48" s="72"/>
      <c r="B48" s="72"/>
      <c r="C48" s="72"/>
      <c r="D48" s="121"/>
      <c r="E48" s="122"/>
      <c r="F48" s="72"/>
      <c r="G48" s="72"/>
      <c r="H48" s="72"/>
      <c r="I48" s="72"/>
      <c r="J48" s="72"/>
      <c r="K48" s="72"/>
      <c r="L48" s="122"/>
      <c r="M48" s="122"/>
      <c r="N48" s="122"/>
      <c r="O48" s="122"/>
      <c r="P48" s="122"/>
      <c r="Q48" s="72"/>
      <c r="R48" s="72"/>
      <c r="S48" s="72"/>
      <c r="T48" s="72"/>
      <c r="U48" s="99" t="str">
        <f>"Long An, ngày  30"&amp;"   tháng   "&amp;TEXT(E4,"mm")&amp;"   năm "&amp;TEXT(E4,"yyyy")</f>
        <v>Long An, ngày  30   tháng   05   năm 2016</v>
      </c>
      <c r="V48" s="72"/>
      <c r="W48" s="123"/>
      <c r="X48" s="33"/>
      <c r="Y48" s="33"/>
      <c r="Z48" s="33"/>
      <c r="AA48" s="33"/>
    </row>
    <row r="49" spans="1:27" s="32" customFormat="1" ht="12.75">
      <c r="A49" s="25"/>
      <c r="B49" s="25"/>
      <c r="C49" s="25" t="s">
        <v>35</v>
      </c>
      <c r="D49" s="124"/>
      <c r="E49" s="73"/>
      <c r="F49" s="123"/>
      <c r="G49" s="73"/>
      <c r="H49" s="73"/>
      <c r="I49" s="73"/>
      <c r="J49" s="73"/>
      <c r="K49" s="73"/>
      <c r="L49" s="33"/>
      <c r="M49" s="33"/>
      <c r="N49" s="33"/>
      <c r="O49" s="33"/>
      <c r="P49" s="33"/>
      <c r="Q49" s="25"/>
      <c r="R49" s="132"/>
      <c r="S49" s="18"/>
      <c r="U49" s="123" t="s">
        <v>19</v>
      </c>
      <c r="V49" s="123"/>
      <c r="W49" s="123"/>
      <c r="X49" s="33"/>
      <c r="Y49" s="33"/>
      <c r="Z49" s="33"/>
      <c r="AA49" s="33"/>
    </row>
    <row r="50" spans="1:27" ht="12">
      <c r="A50" s="8"/>
      <c r="B50" s="8"/>
      <c r="C50" s="15"/>
      <c r="E50" s="13"/>
      <c r="F50" s="12"/>
      <c r="G50" s="13"/>
      <c r="H50" s="13"/>
      <c r="I50" s="13"/>
      <c r="J50" s="13"/>
      <c r="K50" s="13"/>
      <c r="L50" s="7"/>
      <c r="M50" s="7"/>
      <c r="N50" s="7"/>
      <c r="O50" s="7"/>
      <c r="P50" s="7"/>
      <c r="Q50" s="15"/>
      <c r="S50" s="11"/>
      <c r="U50" s="11"/>
      <c r="V50" s="12"/>
      <c r="W50" s="95"/>
    </row>
    <row r="51" spans="1:27" ht="12">
      <c r="C51" s="15"/>
      <c r="Q51" s="15"/>
      <c r="V51" s="15"/>
      <c r="W51" s="95"/>
    </row>
    <row r="52" spans="1:27" ht="12">
      <c r="W52" s="95"/>
    </row>
    <row r="53" spans="1:27" ht="12">
      <c r="W53" s="95"/>
    </row>
    <row r="54" spans="1:27" ht="12">
      <c r="W54" s="95"/>
    </row>
    <row r="55" spans="1:27" ht="12">
      <c r="W55" s="95"/>
    </row>
    <row r="56" spans="1:27" ht="12">
      <c r="W56" s="95"/>
    </row>
    <row r="57" spans="1:27" ht="12">
      <c r="W57" s="95"/>
    </row>
  </sheetData>
  <protectedRanges>
    <protectedRange password="CC78" sqref="X45:IL46 C5:D7 B49:C49 B45:B48 B50 X39 M5 Q49 W58:W85 X52:IL85 L45:Q45 AG39:IL39 X13:IL13 X25:IL26 A25:B26 X22 L25:Q25 AG22:IL22 X20:IL21 A20:B21 X14 L20:Q20 AG14:IL14 X5:X12 AG5:IL12 X37:IL38 A37:B38 X27 L37:Q37 AG27:IL27 A41:A50 A24 A29:A36 A15:A19 A10:B13 T52:V85 T86:IL65353 E5:K6 L6:Q7 D13:V13 S37:U37 T5:V7 S45:U45 S25:U25 S20:U20 A52:S65353 D38:V38 D21:V21 D26:V26 D46:V46 S5:S6 T10:U12 T15:U19 T23:U24 T28:U36 T40:U44" name="Range1"/>
    <protectedRange password="CC78" sqref="J7 F7:H7" name="Range1_4"/>
    <protectedRange password="CC78" sqref="X49:IL50 U49:V50 E49:K50 S49:S50" name="Range1_1_1"/>
    <protectedRange password="CC78" sqref="W1 X1:IL4 T2:U3 W45:W57 Y39:AF39 Y22:AF22 W20:W22 Y14:AF14 W4:W14 Y5:AF12 W37:W39 Y27:AF27 W25:W27 B1:K4 L4:V4 L1:S3" name="Range1_2"/>
    <protectedRange password="CC78" sqref="A1" name="Range1_2_1_1"/>
    <protectedRange password="CC78" sqref="K7 I7" name="Range1_4_1"/>
    <protectedRange password="CC78" sqref="W2:W3" name="Range1_2_2_1"/>
    <protectedRange password="CC78" sqref="A40 AG40:IL44 X40:X44 AG23:IL24 X23:X24 A23:B23 X15:X19 AG28:IL36 X28:X36 A28:B28 B29:B36 B24 AG15:IL19 B15:B19" name="Range1_5"/>
    <protectedRange password="CC78" sqref="Y40:AF44 W40:W44 W23:W24 Y15:AF19 W28:W36 Y23:AF24 Y28:AF36 W15:W19" name="Range1_2_3"/>
    <protectedRange password="CC78" sqref="L10:P12 L15:P19 L23:P24 L40:P44 L28:P36" name="Range1_6"/>
    <protectedRange password="CC78" sqref="A2:A3" name="Range1_2_1_3"/>
    <protectedRange password="CC78" sqref="B40:B44" name="Range1_6_2"/>
  </protectedRanges>
  <autoFilter ref="A7:AF10"/>
  <mergeCells count="29">
    <mergeCell ref="U5:U7"/>
    <mergeCell ref="R5:R7"/>
    <mergeCell ref="T1:V1"/>
    <mergeCell ref="S6:S7"/>
    <mergeCell ref="V5:V7"/>
    <mergeCell ref="S5:T5"/>
    <mergeCell ref="T6:T7"/>
    <mergeCell ref="A46:D46"/>
    <mergeCell ref="D1:S1"/>
    <mergeCell ref="A5:A7"/>
    <mergeCell ref="B5:B7"/>
    <mergeCell ref="F6:G6"/>
    <mergeCell ref="C5:C7"/>
    <mergeCell ref="D5:D7"/>
    <mergeCell ref="F5:L5"/>
    <mergeCell ref="L6:L7"/>
    <mergeCell ref="J6:K6"/>
    <mergeCell ref="E5:E7"/>
    <mergeCell ref="A26:D26"/>
    <mergeCell ref="A21:D21"/>
    <mergeCell ref="A38:D38"/>
    <mergeCell ref="H6:I6"/>
    <mergeCell ref="M5:Q5"/>
    <mergeCell ref="M6:M7"/>
    <mergeCell ref="N6:N7"/>
    <mergeCell ref="P6:P7"/>
    <mergeCell ref="Q6:Q7"/>
    <mergeCell ref="O6:O7"/>
    <mergeCell ref="A13:D13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TH</vt:lpstr>
      <vt:lpstr>CC -5</vt:lpstr>
      <vt:lpstr>UL</vt:lpstr>
      <vt:lpstr>L - 5</vt:lpstr>
      <vt:lpstr>DS</vt:lpstr>
      <vt:lpstr>DS_</vt:lpstr>
      <vt:lpstr>'CC -5'!Print_Area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2016-04-19T05:27:53Z</cp:lastPrinted>
  <dcterms:created xsi:type="dcterms:W3CDTF">2011-06-27T04:19:15Z</dcterms:created>
  <dcterms:modified xsi:type="dcterms:W3CDTF">2016-06-01T06:18:43Z</dcterms:modified>
</cp:coreProperties>
</file>